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<sst xmlns="http://schemas.openxmlformats.org/spreadsheetml/2006/main" count="10001" uniqueCount="10001">
  <si>
    <t>product_url</t>
  </si>
  <si>
    <t>hashid</t>
  </si>
  <si>
    <t>aebe9ee3c71ef3ae484a0400896304c6</t>
  </si>
  <si>
    <t>36b16cbfde7df7d60ff444a523e8a5b6</t>
  </si>
  <si>
    <t>56dba7c1580b1d820f07e0171efa263f</t>
  </si>
  <si>
    <t>858a0c5e071bd050563ff681758e36fc</t>
  </si>
  <si>
    <t>bd3c9e1939cca5507b6f0fa15e797f22</t>
  </si>
  <si>
    <t>63a6b13ef4a5baeee895c28e4083bba4</t>
  </si>
  <si>
    <t>9fbe31d722e159f7ed6c3e861512c673</t>
  </si>
  <si>
    <t>591172925e934f5f4990d44bf3f0ab9d</t>
  </si>
  <si>
    <t>6ca09bfb409c8f0a4ee06693aabbcf3b</t>
  </si>
  <si>
    <t>5c4bee869cc2d23cdaaea8f1f0a7912b</t>
  </si>
  <si>
    <t>afb228188fc5b5f5de1dfcbb9c253180</t>
  </si>
  <si>
    <t>5ee2d504a80e030dd5ca0221876d3504</t>
  </si>
  <si>
    <t>00ff26ed428470d675a158afb2999877</t>
  </si>
  <si>
    <t>c6a66c53e20c497a87c946c5d31fc39f</t>
  </si>
  <si>
    <t>ba15ba37ad7e94cc7528fed9fcc709c9</t>
  </si>
  <si>
    <t>ef1e7c7982c82cd8a906095e66840154</t>
  </si>
  <si>
    <t>d5c3e74c0fb12001ac9abcbe7ae9865f</t>
  </si>
  <si>
    <t>6816026e093b459b97f1a1e6aaec2237</t>
  </si>
  <si>
    <t>8d08275089f37743224f6a064fdc2d1b</t>
  </si>
  <si>
    <t>61634868570dbdaf7741d79d779785a7</t>
  </si>
  <si>
    <t>3f21e6d8e06632089929c9834d8507f0</t>
  </si>
  <si>
    <t>5e2c91a7a7c0413b0ee18bde1c5ca964</t>
  </si>
  <si>
    <t>6ed4b2ca784280a2af2ba645408ed5df</t>
  </si>
  <si>
    <t>52790131efe08ececf5469bfc5a4af2f</t>
  </si>
  <si>
    <t>60b70ae56551eec542ca0e807cfed393</t>
  </si>
  <si>
    <t>f360800a1b841a33519778977b07c009</t>
  </si>
  <si>
    <t>069dd5a9f6bcd082ad579a0e3c98f0e7</t>
  </si>
  <si>
    <t>c061fc7cc0c9ac6758954e0bee79ef02</t>
  </si>
  <si>
    <t>1b82d0a43dde906c5248d518910ff6ae</t>
  </si>
  <si>
    <t>774f9e28d284cac8c9dd29b8c94037c7</t>
  </si>
  <si>
    <t>68eb9c51f5a9ea76e8b2f9faf7adc960</t>
  </si>
  <si>
    <t>6449783987d49c90fe00ab382688a26e</t>
  </si>
  <si>
    <t>f86edc36bfff638450d5f54ae13ef2bd</t>
  </si>
  <si>
    <t>f54dae32bbb292abb6e492c2d60b72d7</t>
  </si>
  <si>
    <t>e3665f628c30ffaba11e435e70a2c161</t>
  </si>
  <si>
    <t>7033c030b783a1a0c1742f7fc7575d1a</t>
  </si>
  <si>
    <t>56208cbb690742986ff995b0b244e544</t>
  </si>
  <si>
    <t>43e1ab2550d83762a96d53bfd347b46f</t>
  </si>
  <si>
    <t>c2657341b9a95a30c64c905dd377aeb9</t>
  </si>
  <si>
    <t>bfe3278e1df971ad59aa4ebf70f86e50</t>
  </si>
  <si>
    <t>a94b0adfa21b77afffc156dbc277430a</t>
  </si>
  <si>
    <t>45084d42f9017fb3da4e1d8d4cecf63b</t>
  </si>
  <si>
    <t>7cdb7763461b3cdc27aa18bc7530a977</t>
  </si>
  <si>
    <t>5b5e4f85fced39be44a077a9e8fd4eb1</t>
  </si>
  <si>
    <t>09f1a2494261200721dbcce438b27db5</t>
  </si>
  <si>
    <t>873a8e17862345b0e706a0876fa8498b</t>
  </si>
  <si>
    <t>8dfa85e7a68f6a96724ee22e4c3b5d50</t>
  </si>
  <si>
    <t>df7fc68be35b1551b5de942320f31a78</t>
  </si>
  <si>
    <t>8fe828961aa14aacdab27f4a4b4230fc</t>
  </si>
  <si>
    <t>0e86d37b95d43de007efc87e941bbb4c</t>
  </si>
  <si>
    <t>bce65037763fbe5639f39c9c9fbd2374</t>
  </si>
  <si>
    <t>1262674fc1159df08e51716d11184727</t>
  </si>
  <si>
    <t>c6e13689447b77e0ca22dd3db47f7de9</t>
  </si>
  <si>
    <t>d5809bec70564433dabbf2b4ac5e51fe</t>
  </si>
  <si>
    <t>3a5278ae578480dadac92d895529badf</t>
  </si>
  <si>
    <t>fb44411e8cc67623ed0fb2e19adc296a</t>
  </si>
  <si>
    <t>e50ea091015b1e443463bbdfd153808c</t>
  </si>
  <si>
    <t>081c55dc5f9bb7e887b226b3913947f4</t>
  </si>
  <si>
    <t>503096b9f4858103ef17e37e2ada605d</t>
  </si>
  <si>
    <t>d6a49432e743c2f94cf05aa3ee98b851</t>
  </si>
  <si>
    <t>b5eacc4bdc2c7fff8b1284bb7ce32cd8</t>
  </si>
  <si>
    <t>4fd2c75f627c6c8d4aabf636dc320d5e</t>
  </si>
  <si>
    <t>ac10fbb725524ce4ead36d964b7b403a</t>
  </si>
  <si>
    <t>cc1db8383231f000fb8fcc4328e3b2ad</t>
  </si>
  <si>
    <t>2d53af95a361f2bc5643a68c0ee5bbd3</t>
  </si>
  <si>
    <t>d087ae19460bff656ba30f8b34ee4ab0</t>
  </si>
  <si>
    <t>23169aaf7e658abce76bbeca0f83a513</t>
  </si>
  <si>
    <t>3283e075dbe2a15c609b540f38393067</t>
  </si>
  <si>
    <t>33f9ed4524954c724bae2535e3915975</t>
  </si>
  <si>
    <t>82ff917355f6fc66e93e11d9492acd84</t>
  </si>
  <si>
    <t>3d16405e743fca8aa38e7089f1a8b10d</t>
  </si>
  <si>
    <t>7ef9ac47fcf27ac05ba1f455f2ac4606</t>
  </si>
  <si>
    <t>ac3920550bd973b86e1b646e109c2d77</t>
  </si>
  <si>
    <t>48e9dbc9aab8e5f25d4853fcb55e95a2</t>
  </si>
  <si>
    <t>2171d0e3a21b62ad727aa43df0712bae</t>
  </si>
  <si>
    <t>a92ad7ef41061f54744f34d50fe48b5e</t>
  </si>
  <si>
    <t>29a0ab0eb3cbe62dbd41b8e0ac4d123f</t>
  </si>
  <si>
    <t>cfb5f2802886b4835f0360d09d1b377a</t>
  </si>
  <si>
    <t>a54480e0faa609e6e89f4349c83d169f</t>
  </si>
  <si>
    <t>9aa847653793ea601255c412588638bd</t>
  </si>
  <si>
    <t>3a5edee1f5991b204bdc7186f3d60d3a</t>
  </si>
  <si>
    <t>15cb655ce12779e6bfe848dbd3e1cb1d</t>
  </si>
  <si>
    <t>295ecc4403f8ec83cc8d709f9e2f85e6</t>
  </si>
  <si>
    <t>8e501b549e4419dbf74d1e3bc1336889</t>
  </si>
  <si>
    <t>3fe0cf59b19be80ef4ede203fa99e5b2</t>
  </si>
  <si>
    <t>745784f53e487a22f189f4e079d8269b</t>
  </si>
  <si>
    <t>72c6d076e84e4caa3cab4131577d4c95</t>
  </si>
  <si>
    <t>fe810a8abbb0ffa3db962c2cc29a2288</t>
  </si>
  <si>
    <t>0ef46815e50ad362a00831532a7b95af</t>
  </si>
  <si>
    <t>b12d2b1372fd0636898cb3331a6da365</t>
  </si>
  <si>
    <t>a9b1bc28aa08e1678bbbed13658d06df</t>
  </si>
  <si>
    <t>e5d413d9a983029c8e8bac560b36efdb</t>
  </si>
  <si>
    <t>27a5036149f97025b67600e35be5bb2a</t>
  </si>
  <si>
    <t>b2dac3ba56a5b0f1b196e26570a6196c</t>
  </si>
  <si>
    <t>6c380fc2d47b1be94d9ff0d808329a4a</t>
  </si>
  <si>
    <t>d95fbf4858c315a2e2d6806c330e69c4</t>
  </si>
  <si>
    <t>6db2ce5670993ae3e86471c68174a9c7</t>
  </si>
  <si>
    <t>132aeee5290d8dc55385c770513f17ff</t>
  </si>
  <si>
    <t>7ac4bc7467842b3d87c516d39b17c3a9</t>
  </si>
  <si>
    <t>f3bfc1a81dcb56fe8a2ec0512d48a95d</t>
  </si>
  <si>
    <t>fb562438e42a4407062f738747c1a9c4</t>
  </si>
  <si>
    <t>94a8da85fd59d5115f9ba1dd64e4eaaa</t>
  </si>
  <si>
    <t>f9f25045a2aaa38642fe44ea042e27e9</t>
  </si>
  <si>
    <t>9ef4039b69ec2b5f4122c4a11488d634</t>
  </si>
  <si>
    <t>de774eb1a2a4f31566bdec8389e0446e</t>
  </si>
  <si>
    <t>847e9c8f3b166a87a551729743a011ca</t>
  </si>
  <si>
    <t>5a81d696df3b9950eccb0e04d063c344</t>
  </si>
  <si>
    <t>2f3ce24b3ad434fc769ef77a9febeb0f</t>
  </si>
  <si>
    <t>da44ca8d526fbb274c5beb5ce05efd60</t>
  </si>
  <si>
    <t>ee7ff70cefed6a55d1e3f8647ddb3478</t>
  </si>
  <si>
    <t>ad02d4c4c767e5728315b0d210b9467b</t>
  </si>
  <si>
    <t>9205b2bf1b45362339e696506d0c6726</t>
  </si>
  <si>
    <t>fe3b3eac44ca201216c3a1895b5ccc1e</t>
  </si>
  <si>
    <t>2d89c076393c8a2a81c6b70b249bb8ce</t>
  </si>
  <si>
    <t>b3b22739ff15240907d12ea1968c216b</t>
  </si>
  <si>
    <t>c717f57505646ff936e48109160c746f</t>
  </si>
  <si>
    <t>143baf964defba3f2ce55a20e1187b8f</t>
  </si>
  <si>
    <t>e79e69d1d52e7d933e2157819e760f2e</t>
  </si>
  <si>
    <t>e9194e47d7386dacf9ac0f6f00dfd7b9</t>
  </si>
  <si>
    <t>65fb159bf9a90a301bee888dfad6d85c</t>
  </si>
  <si>
    <t>3f32f13cf43971d81069914f85cdb8d0</t>
  </si>
  <si>
    <t>6728eb2afa94b6fdeae716f159b9cf19</t>
  </si>
  <si>
    <t>f830260ddc5ef1075ad021ce81085c2b</t>
  </si>
  <si>
    <t>acdc7b9dbbad96a6b2eeaebd3257b12d</t>
  </si>
  <si>
    <t>5680e442d8ebd5abd2243129ede4fde5</t>
  </si>
  <si>
    <t>4cb956c68e5f9e809d968b66a521525e</t>
  </si>
  <si>
    <t>486fd4001756b2f335732c68d2a0d6f6</t>
  </si>
  <si>
    <t>a413911ad16d7165c327a3463f7240fe</t>
  </si>
  <si>
    <t>bc50b45e1d5d8042ae37be49582b5d28</t>
  </si>
  <si>
    <t>968c093df04cb0058fb28498adaa8543</t>
  </si>
  <si>
    <t>126d82084cb8fb25d40daddd698c805c</t>
  </si>
  <si>
    <t>9b2a1d545cbcdf1d3e59611a31c3a941</t>
  </si>
  <si>
    <t>430907d072b7e4e9ab9d50c477b0023f</t>
  </si>
  <si>
    <t>35415f9678c42bcade3104471bc78bf7</t>
  </si>
  <si>
    <t>6cc006050f6f78d68bedc08ac7e820b2</t>
  </si>
  <si>
    <t>64f80ee514e6d20cb4ad5fd990428f63</t>
  </si>
  <si>
    <t>bb94e3757397a5c14903ec3840302b87</t>
  </si>
  <si>
    <t>f76ac0cf45f34ac646f804772e744f46</t>
  </si>
  <si>
    <t>bc097d5981359a3977ffb7e6cdfe7426</t>
  </si>
  <si>
    <t>d5f052b4fc7af6e44d670ca5237ef950</t>
  </si>
  <si>
    <t>36daa2adb4dcac32ee0e24e1967ae465</t>
  </si>
  <si>
    <t>b632b2fe705fdb2cb8d0a3ec2bb5e4f6</t>
  </si>
  <si>
    <t>129bcffdb0dbc8e4645e7c98f7b7f9c6</t>
  </si>
  <si>
    <t>20a282264b14cb817011c56173fad456</t>
  </si>
  <si>
    <t>ae818ce7b59ae09479405f24d9028a2a</t>
  </si>
  <si>
    <t>643387564703491d886814a428da6428</t>
  </si>
  <si>
    <t>38317a4a8321ee412850abecb6baac87</t>
  </si>
  <si>
    <t>06598cb06bb6ab3f7819c0f790474752</t>
  </si>
  <si>
    <t>afea80c8f1fd70f801ce6dc93ec55a71</t>
  </si>
  <si>
    <t>77eb0d25fb926be1c5114f5762e6ad24</t>
  </si>
  <si>
    <t>417edeb9dd107e2d8a1ef24a1cf53d8e</t>
  </si>
  <si>
    <t>28fa813f10fd1c9539732dcd66212f8f</t>
  </si>
  <si>
    <t>0b0a5210f0136bffa0cdad039fad0047</t>
  </si>
  <si>
    <t>0f70c7240eb00cdf01131977b85a287a</t>
  </si>
  <si>
    <t>466324d002531c8479826dc53301478c</t>
  </si>
  <si>
    <t>609e228a4dd8d8437c9c778b18ab8e78</t>
  </si>
  <si>
    <t>5e0309a84fff24a2ce3a0a028d6d68be</t>
  </si>
  <si>
    <t>6e3bf44788202500f00403e2dd4f1828</t>
  </si>
  <si>
    <t>0db34d6273bdf1a31fecc60f25ef78f1</t>
  </si>
  <si>
    <t>6ec7827cf2cad7a2bbb77d689f3e4ce4</t>
  </si>
  <si>
    <t>7e9066cef19a752981deb7ce62c14b76</t>
  </si>
  <si>
    <t>92b00c06101256830c5c6239497c0294</t>
  </si>
  <si>
    <t>cd4f7405513f767303b0ae867915c51e</t>
  </si>
  <si>
    <t>c5beda9ea23388f825b86689ba978e1a</t>
  </si>
  <si>
    <t>25cffa6ee59612de2756b6b15383e8dc</t>
  </si>
  <si>
    <t>538c7aa71cbb006500bd0a3b636b2a60</t>
  </si>
  <si>
    <t>eb7918342eb91382cee7346352512296</t>
  </si>
  <si>
    <t>fb7c3d20efd378b97c22d316f41f8828</t>
  </si>
  <si>
    <t>e066e5b954d8a0e5d9326d938e3bf074</t>
  </si>
  <si>
    <t>9573e79146b9441cca866a26c25c632a</t>
  </si>
  <si>
    <t>b8ab7a61e32adb3819dd3bd2fb54ac3b</t>
  </si>
  <si>
    <t>bd987c56ccfcfbf4040cd89fa8cd657c</t>
  </si>
  <si>
    <t>048d549d1f5de42765a45d0f18f9c8bd</t>
  </si>
  <si>
    <t>758c8a9655477ea257a91597f836fa1c</t>
  </si>
  <si>
    <t>0cac66f124705bca73336c4bcf7598be</t>
  </si>
  <si>
    <t>f317ce0d6459a9a60b3f27d09e7b9fa0</t>
  </si>
  <si>
    <t>8792760ed4b31e1539ef8788d93a67bf</t>
  </si>
  <si>
    <t>7e5bad6b9ed69e5b010b5e38949661b1</t>
  </si>
  <si>
    <t>ae76db6c47bb1cdce5ae832e62ac4c57</t>
  </si>
  <si>
    <t>1d9d0ccc2c929c8dd3550c488beb8eaa</t>
  </si>
  <si>
    <t>fb682a9540e7c7a6c9e9bfb0b3eec0ab</t>
  </si>
  <si>
    <t>0f58fbabb6573a80b318d3bea36ff4fc</t>
  </si>
  <si>
    <t>d885c590e75df0fad0314ddc1be41442</t>
  </si>
  <si>
    <t>284e83d719be86b2ff9828d7926009c0</t>
  </si>
  <si>
    <t>6ffd139d02e29d15db63d02638112ded</t>
  </si>
  <si>
    <t>81edab2efb3f6e3a59a27ad724db6597</t>
  </si>
  <si>
    <t>11368f550717cbcd32246736aaf7a1db</t>
  </si>
  <si>
    <t>b2e4273d88e04543f72503a6e949e32d</t>
  </si>
  <si>
    <t>984881d1030d4fc281e2d41270f0a270</t>
  </si>
  <si>
    <t>392600e71a0211233c665773338fa30a</t>
  </si>
  <si>
    <t>1f806946913f42134e16691db0d93155</t>
  </si>
  <si>
    <t>f6c00dc6ff10f6bfc3753dc1ef458b55</t>
  </si>
  <si>
    <t>ec19131991c40ad79147cae68ac899e5</t>
  </si>
  <si>
    <t>a58c0fd2fbb72b339f0c6d15a9127b80</t>
  </si>
  <si>
    <t>de588f09e91830836602dfe36a9a5b4c</t>
  </si>
  <si>
    <t>5c4ceb2a6f3852e5aee2373a59d44035</t>
  </si>
  <si>
    <t>d4c8e4992a102c75b3db498ef4736f18</t>
  </si>
  <si>
    <t>29b49b6ccaa0a2f23949d6627ffe4be4</t>
  </si>
  <si>
    <t>7a972e9fad27d757cfd0a4efc2bfe17e</t>
  </si>
  <si>
    <t>5351ea3b533869d4d26a297cfbfa2b73</t>
  </si>
  <si>
    <t>472716808be4af85d530b43385164308</t>
  </si>
  <si>
    <t>06c7ba3834cadf4d49a53ed8d7e5bb6b</t>
  </si>
  <si>
    <t>729d8225acb1388af953454a672ff062</t>
  </si>
  <si>
    <t>4422c551c1bd4a74a6b6591794e3f4f5</t>
  </si>
  <si>
    <t>4be9cafb0fe71396c4e420764f710a06</t>
  </si>
  <si>
    <t>e5a19212811fea7263938331f4ab8523</t>
  </si>
  <si>
    <t>fcb0bdf8e9199cc2ff834215e536caef</t>
  </si>
  <si>
    <t>40e73cf93a6782c9ed37d5443b93f633</t>
  </si>
  <si>
    <t>d562ec4c628420e03f12f25b2426b72a</t>
  </si>
  <si>
    <t>9d006aff2927495619aa21d5c615a284</t>
  </si>
  <si>
    <t>44d4b0868afbdc2cc81b9ce78573a099</t>
  </si>
  <si>
    <t>2ea3fc23e0084e0371ed4498142967a5</t>
  </si>
  <si>
    <t>a5775630b89194ca79c1ea6915f614c4</t>
  </si>
  <si>
    <t>811588951b356d059cff70ae2d248158</t>
  </si>
  <si>
    <t>02f0570196f6de620599c160052ade28</t>
  </si>
  <si>
    <t>f3f1b9afabb9cf4a9dde0489ef72fcb8</t>
  </si>
  <si>
    <t>01b8325c148fdd341187391f703c3df5</t>
  </si>
  <si>
    <t>04306e6f920cbb2a5b9f377848bf27bc</t>
  </si>
  <si>
    <t>71b0e0795f0ac32f49ef5ddaa8681803</t>
  </si>
  <si>
    <t>f60709d065517ba9125ee3be84195a38</t>
  </si>
  <si>
    <t>d9451a55e019513f1abb4edbced32f7f</t>
  </si>
  <si>
    <t>11b4175c1d3cf5c48e679ad72967f692</t>
  </si>
  <si>
    <t>93e488dcf4c29927055a3f024e2c472f</t>
  </si>
  <si>
    <t>d5b5878d5f65777508f1d0a0e2c1e851</t>
  </si>
  <si>
    <t>6d9e81f426eb6df3bcf24da38051caf7</t>
  </si>
  <si>
    <t>def480b1fd2a5ef37cb61256b3657a15</t>
  </si>
  <si>
    <t>37dec5040800c7de514f9bd3147b6926</t>
  </si>
  <si>
    <t>d8f93c3ccda47468a6881223d46be5df</t>
  </si>
  <si>
    <t>b399733eecfb78816fceb30d03201895</t>
  </si>
  <si>
    <t>a525e6094a0d64d5530d8e9c204d6c28</t>
  </si>
  <si>
    <t>ce037a2df8442e81ede915ede806ec90</t>
  </si>
  <si>
    <t>e7ad87b3b0f82160ba5af98e0bc95090</t>
  </si>
  <si>
    <t>4b11a1cf488cf0d74811b88c6a9cdec6</t>
  </si>
  <si>
    <t>76d47ebdcc9980d815578f8802d0303b</t>
  </si>
  <si>
    <t>6e71b6996d00e66365e03ceb91d7bcbc</t>
  </si>
  <si>
    <t>0300b205b8c6eb5ea430092226bb92fe</t>
  </si>
  <si>
    <t>30e32536f4d5e64efde4cccf541b9079</t>
  </si>
  <si>
    <t>39c7ed3f5534cad550fa10e44f7fd301</t>
  </si>
  <si>
    <t>2ad77fa90fc65e2794306b73c36ed177</t>
  </si>
  <si>
    <t>57878983028e1347f6bd18d4d309796a</t>
  </si>
  <si>
    <t>0b1767b0fca6a78cfb3591ac04793d8d</t>
  </si>
  <si>
    <t>d1a30b589165028ea78101d58126dd90</t>
  </si>
  <si>
    <t>c48d60e18dddc55c421a3c9b3bf20d16</t>
  </si>
  <si>
    <t>b289fa42ad2fe61d9a057b01ec32f47b</t>
  </si>
  <si>
    <t>a847ef15ae421b6f53ff0f7c3ef9a5e2</t>
  </si>
  <si>
    <t>321607fa4644a43c2210e86ec6b6b000</t>
  </si>
  <si>
    <t>5fd3cc2ccee68abaa65695ce51d691a2</t>
  </si>
  <si>
    <t>765c3cae924a8dc5e57c19cbd7004585</t>
  </si>
  <si>
    <t>42a3fbc38d6cedb7476b3402c5316a19</t>
  </si>
  <si>
    <t>2090dbbc2506ead6b8951ad601e4e8a2</t>
  </si>
  <si>
    <t>df55fa49af47743ba9b480ed981b66af</t>
  </si>
  <si>
    <t>11de966802ce261fcd71a1dae6474a0f</t>
  </si>
  <si>
    <t>56966491bcfa4b284eebe8435d3f5db5</t>
  </si>
  <si>
    <t>283268d3d9c3271a1c0430f9851d1099</t>
  </si>
  <si>
    <t>ed5597a44111ffcd051caa1641f9ba20</t>
  </si>
  <si>
    <t>9e89f4ab83dc0c18c24935e695007c10</t>
  </si>
  <si>
    <t>539ce06fcd98ace83131c690501ce8b3</t>
  </si>
  <si>
    <t>82cac6ea8900d79d3abdd12011ac8d28</t>
  </si>
  <si>
    <t>f32a2546ce834048c8df6120128cf856</t>
  </si>
  <si>
    <t>9825deea7e16bdd7746fa8556a889495</t>
  </si>
  <si>
    <t>e9fe23953447bdef1967f642d138c71a</t>
  </si>
  <si>
    <t>78cf7c51369755773bfc31878b45327e</t>
  </si>
  <si>
    <t>0abff18baac33c035a8107fe5a033667</t>
  </si>
  <si>
    <t>ca1e76ac1e15a825ce3486b21fa73e5e</t>
  </si>
  <si>
    <t>a7a9edb791583105eba0ae3e9026e466</t>
  </si>
  <si>
    <t>6a2a861ac4821761d24e64244247c238</t>
  </si>
  <si>
    <t>ad537b0a45ce04d25f667be109e217b1</t>
  </si>
  <si>
    <t>1573b8a76911e68cb40a25e9a8534ad5</t>
  </si>
  <si>
    <t>fa2812aa4e20bb28b576712358433d0b</t>
  </si>
  <si>
    <t>66d054ad55403cb4414a7c292d68138f</t>
  </si>
  <si>
    <t>26cab0112ec562ac689ba2610ab0508e</t>
  </si>
  <si>
    <t>6a6b8430d2e4660f1740b2799fc5cb48</t>
  </si>
  <si>
    <t>e4e45f472f9ab12825e6783aef66f15c</t>
  </si>
  <si>
    <t>85012b3ab3355bf8c725db63ec73060f</t>
  </si>
  <si>
    <t>7a757f894bb04601575260e703e1cd9f</t>
  </si>
  <si>
    <t>cd8b325045a4d7531866216401340c3e</t>
  </si>
  <si>
    <t>d07e6624cb848e25c6ff3de079bb3b58</t>
  </si>
  <si>
    <t>379e6e7f5822d2a5629a66ca9b978580</t>
  </si>
  <si>
    <t>648c315df43e9efcd9e0a591d890e10f</t>
  </si>
  <si>
    <t>f9f01ca8fa6d9de03039f493b6d99700</t>
  </si>
  <si>
    <t>d4d87e69f50ad5ee4ab0c17033785d52</t>
  </si>
  <si>
    <t>0e86f849bd923fa40d623397898698b2</t>
  </si>
  <si>
    <t>e65a7e5da291eae390c736101d8ff170</t>
  </si>
  <si>
    <t>27f369c5a85d475c484e0a6e491a360e</t>
  </si>
  <si>
    <t>b7f5cb3dde7cd048138380738ca2b8a6</t>
  </si>
  <si>
    <t>ef98e2b2861938f003c0bb22985a8d0b</t>
  </si>
  <si>
    <t>d842a8908428af8553b1572497b30775</t>
  </si>
  <si>
    <t>466ccdd1810bb831f6475b2f1158f3e9</t>
  </si>
  <si>
    <t>1bd538f86ea824257e9abf765157e67a</t>
  </si>
  <si>
    <t>d7a94e91343d8818d33c15f3ad293e80</t>
  </si>
  <si>
    <t>4b2dacf7b3bdcc5dca2ca515f0f60e3d</t>
  </si>
  <si>
    <t>6bdc9f5dfa45fd9ed7a7ae51aa81ac8e</t>
  </si>
  <si>
    <t>1cff9928723567924711bbbb3748231c</t>
  </si>
  <si>
    <t>c992d6fee3ab27b1948f3e7051218994</t>
  </si>
  <si>
    <t>477b7e8b66f90c9e00642f8012a63f2e</t>
  </si>
  <si>
    <t>9850ed9299cf86ca94fc21db4364644c</t>
  </si>
  <si>
    <t>2d158b1bd665b20d70d56cd5f8b2f1bd</t>
  </si>
  <si>
    <t>cc34ed773607bb9f2645223e5d3a9807</t>
  </si>
  <si>
    <t>0268bc3c9375882226749a74cd15ca50</t>
  </si>
  <si>
    <t>85c1a0cb705459b7c927f45b03ed55eb</t>
  </si>
  <si>
    <t>9e1280b67b3324adb14f973d30ab808f</t>
  </si>
  <si>
    <t>dc2ab80078122fbc1f04959c8c1fd713</t>
  </si>
  <si>
    <t>6cb6dc371501d9b6bdc4138f01d1df05</t>
  </si>
  <si>
    <t>310eb037b17b9e6b7fc0dff6bb74f71c</t>
  </si>
  <si>
    <t>154ec3b1e081e258b1515a2097fa4aa4</t>
  </si>
  <si>
    <t>731bf774879ad68f74588e0623a313f5</t>
  </si>
  <si>
    <t>232c3d900a260d001b285719feaafee9</t>
  </si>
  <si>
    <t>f94de5c29ace23a2065d2ba7c3026961</t>
  </si>
  <si>
    <t>174dfd7393b3a74bb839a20cc7fe9e88</t>
  </si>
  <si>
    <t>03bf35a96a7e652e0ae5159e38602680</t>
  </si>
  <si>
    <t>1486c9ae526cbc158e8640345e0ff207</t>
  </si>
  <si>
    <t>b0c2cca9b755d16e392b4182818b54bb</t>
  </si>
  <si>
    <t>b83aca12961d861f9ffdb36599163484</t>
  </si>
  <si>
    <t>9a9fc0d5cadb69b0a82eadd7278672b9</t>
  </si>
  <si>
    <t>3162a0a779f3423a3335891dddb53c18</t>
  </si>
  <si>
    <t>c25eca34c6fc4916f7666f0722b084e1</t>
  </si>
  <si>
    <t>bfc0001cd0bab3a76d45deecd98220ee</t>
  </si>
  <si>
    <t>79868082151685bd79f970dc1d448589</t>
  </si>
  <si>
    <t>66947d73fab0e1fe5f59b2449ccc0e8e</t>
  </si>
  <si>
    <t>851c644312761964676582c12b4e9b9b</t>
  </si>
  <si>
    <t>439c12fd54fe501d9b724e6e4051cfc3</t>
  </si>
  <si>
    <t>c29fcc9b316b0023d712fef5e8dfaf85</t>
  </si>
  <si>
    <t>6ae151eb7ae0532bbe2edec0891a291d</t>
  </si>
  <si>
    <t>2fa2880a3ac52f2a124cf543a2191404</t>
  </si>
  <si>
    <t>5fd31fe62ea3f78f2cb48bc475b3e2d0</t>
  </si>
  <si>
    <t>f237b082d0f14ec0b855b37e601b4089</t>
  </si>
  <si>
    <t>287baf0c3f3038987bff8aa520c9b39a</t>
  </si>
  <si>
    <t>7443528d3324d3af38217411f39a9922</t>
  </si>
  <si>
    <t>fd4a1770c451dabbd636c733edcc2463</t>
  </si>
  <si>
    <t>60968b8499603f5a6c2bf89db975deaa</t>
  </si>
  <si>
    <t>772d133f6e7c9dabae5f7ea2dc875b4a</t>
  </si>
  <si>
    <t>6869ad17b3e3c0d0aa8834b0694a4dcb</t>
  </si>
  <si>
    <t>62db4b017d3b59c7cd7cc98a0e27c515</t>
  </si>
  <si>
    <t>efbab8187393036fa211da5022c23b26</t>
  </si>
  <si>
    <t>f66b254eb0bb798e0c16d07ff32a2c5f</t>
  </si>
  <si>
    <t>864ee26b49ec76c5e55cbbe300cb4779</t>
  </si>
  <si>
    <t>2b85ddae16b91e70f280eac4470883c1</t>
  </si>
  <si>
    <t>89bbb5b6f41a58541a94b61167f5ff8d</t>
  </si>
  <si>
    <t>2a6d4a7e2673b28ea21bfe09fb9281e7</t>
  </si>
  <si>
    <t>44e90b35d8ebeca6a2e3c1e5526dcb6a</t>
  </si>
  <si>
    <t>1fb4ca3e9ccdc9e735e82322f46a966d</t>
  </si>
  <si>
    <t>a3b988ac6a4bd75964054469bdcd4a3e</t>
  </si>
  <si>
    <t>8b00c17a46c0c5f92dc461812318d2c2</t>
  </si>
  <si>
    <t>9d1abb4a112fe0927757329d8f6c0b69</t>
  </si>
  <si>
    <t>4dec4fe158d8be332f71628ba47e9c24</t>
  </si>
  <si>
    <t>351d2248f8c86da39f00c2413dcca4fe</t>
  </si>
  <si>
    <t>dfab6ee226e8c2cdd31dd9d35725c8d7</t>
  </si>
  <si>
    <t>acebd6dd1e188aac3c5e002d5e149a10</t>
  </si>
  <si>
    <t>558f3c6dfbb323aa1cb3a7a23f0f624b</t>
  </si>
  <si>
    <t>f5842de98ff199239e77146c9f001b96</t>
  </si>
  <si>
    <t>e0bce8c5e2b8c1dd7fe8ea3e1f70f1e8</t>
  </si>
  <si>
    <t>6c658d59af8553a9979fc2e07d99b835</t>
  </si>
  <si>
    <t>9d71739951ffa6b3302f48c96c3d5750</t>
  </si>
  <si>
    <t>5b84e11e2b61f999bce8164f728530e6</t>
  </si>
  <si>
    <t>545698fdfc5f7645cad845ac2455c527</t>
  </si>
  <si>
    <t>083e4f01062d7ec40f17bf9f86fd4fb6</t>
  </si>
  <si>
    <t>3ff03d450d6bfd43bb7c256817c978a6</t>
  </si>
  <si>
    <t>ba780c4c23fb83957e26e090878b903e</t>
  </si>
  <si>
    <t>81145a7e4c773fbe3136e5b21fcb0607</t>
  </si>
  <si>
    <t>187fd12a248a071c5a897c41348f3a5b</t>
  </si>
  <si>
    <t>668b6a24bf7d52d50d11d0b98e961017</t>
  </si>
  <si>
    <t>299f822d2dc1e0336284336bf5cba4ab</t>
  </si>
  <si>
    <t>6ae4463e7721848d77f26fafd10eb1d0</t>
  </si>
  <si>
    <t>4379cc5fef13d714cecd37c9fccfd305</t>
  </si>
  <si>
    <t>7815c2626775d23059d55e76cac2f979</t>
  </si>
  <si>
    <t>99797d182648fd57635f33562dca8622</t>
  </si>
  <si>
    <t>95a1a2802e84c591c857dc8ba449d149</t>
  </si>
  <si>
    <t>cda2b501289794c0d022c7187dcc9de7</t>
  </si>
  <si>
    <t>f7a71af133eb733094e54a3bf9b174d3</t>
  </si>
  <si>
    <t>21878aca57d64c81daeb4f0cdff672a8</t>
  </si>
  <si>
    <t>6f91c5b1931be440ab96c88d040db804</t>
  </si>
  <si>
    <t>2864f74f585ef3cd0df3ad339e618f05</t>
  </si>
  <si>
    <t>d14b3d8a50349f0e2bdf3a00ba9636b7</t>
  </si>
  <si>
    <t>5c4783605cc23ee0bfa99af8bd4335df</t>
  </si>
  <si>
    <t>dbd8bd5ad385332492afb0b7d30d72cc</t>
  </si>
  <si>
    <t>e4b7aefae0c2f16c5975e18b077caa7f</t>
  </si>
  <si>
    <t>fd0d7d03c3fea484353f112f6ae12100</t>
  </si>
  <si>
    <t>c1b403d45de5f43ff0dfcf35730acfee</t>
  </si>
  <si>
    <t>a6ea3ffc2ab5115d0c185957189830b3</t>
  </si>
  <si>
    <t>642509910492aff6a5db10098b1a11c9</t>
  </si>
  <si>
    <t>020ab5dcb5c3715008e42920c18be2eb</t>
  </si>
  <si>
    <t>b7b09d5b3e3c294bfdbdbbf7e2f1860c</t>
  </si>
  <si>
    <t>3cbc6f577f0cc057975da87c8fa2d484</t>
  </si>
  <si>
    <t>b196a4e208e82b213dc505544df299d0</t>
  </si>
  <si>
    <t>2b5038e1361ff95325d51631974657fa</t>
  </si>
  <si>
    <t>c1508d3491f16590481d3433295e69d4</t>
  </si>
  <si>
    <t>62e7faeedb8f2dae61b75e527f35111c</t>
  </si>
  <si>
    <t>52d04d86eb4278cbd8eafa13f9a081ef</t>
  </si>
  <si>
    <t>5f7a15ed807eb7cbe698f07209c90538</t>
  </si>
  <si>
    <t>e4c2a833df75acc98d498a02489e5d67</t>
  </si>
  <si>
    <t>bac920c5618d48718f909c1098f1be2f</t>
  </si>
  <si>
    <t>fb4881807c501b4a0686ded7573abe3e</t>
  </si>
  <si>
    <t>68494d0d7e75a223551261d831ef0021</t>
  </si>
  <si>
    <t>f782390864d370b9bef84bbbdaa51e6d</t>
  </si>
  <si>
    <t>62bb93a16f0b7bce945a830d06f6bb9c</t>
  </si>
  <si>
    <t>bf3edf642aed1e6b41096ff638b62176</t>
  </si>
  <si>
    <t>52202daec7541a3456828894fb59f814</t>
  </si>
  <si>
    <t>7c97947ad806dab85251728e9df9c6c2</t>
  </si>
  <si>
    <t>4153d633e40afcee30fdca84c896bf80</t>
  </si>
  <si>
    <t>3b5fc5891a651a9079d68cece49c72c1</t>
  </si>
  <si>
    <t>cba0e28d28eb1d6d6dad8683cc21839e</t>
  </si>
  <si>
    <t>6b62c78c9504485b85dc01bb4f205561</t>
  </si>
  <si>
    <t>b62639f8c55763695abaa49cf5727b40</t>
  </si>
  <si>
    <t>f80d6f11a8596327107b52e99c93f817</t>
  </si>
  <si>
    <t>dec159041c0f132acb6e2c11d8fa76b5</t>
  </si>
  <si>
    <t>0d9111e9d11021ef6685e043ec275144</t>
  </si>
  <si>
    <t>f42083522b6f432f5bad2e493751755a</t>
  </si>
  <si>
    <t>7f8726f1ca345bf6ad26a8cd3fa68cb6</t>
  </si>
  <si>
    <t>2bd4bcd4d28f40a05e12fe01ba10937a</t>
  </si>
  <si>
    <t>b7d2fa64a368c071c1f398d0e31a415d</t>
  </si>
  <si>
    <t>b863a66126c0e3594bd293c41f6780f4</t>
  </si>
  <si>
    <t>70ad5239a1af2480e0e1a854620a83d6</t>
  </si>
  <si>
    <t>da7bc78daef4829df1556312bb9f234b</t>
  </si>
  <si>
    <t>c8c5c7ac1b5438d983b6df110ab5656d</t>
  </si>
  <si>
    <t>7ad45fa2ac9a31013457eafe5969e489</t>
  </si>
  <si>
    <t>c0010b2aa7374ce8efd8e5aa5c8c1158</t>
  </si>
  <si>
    <t>44d91a5ad5713c12ab5294cdffafca15</t>
  </si>
  <si>
    <t>e2298606e166d9c17444f1399dd39215</t>
  </si>
  <si>
    <t>e1878882d014e013b89e2283d23f659a</t>
  </si>
  <si>
    <t>783ae1b082d0eb73094bd929401f2e74</t>
  </si>
  <si>
    <t>e4aac1b269f7bcac3294c4d95ac64225</t>
  </si>
  <si>
    <t>9fa453a8253cc6164c4caf874c0f43dd</t>
  </si>
  <si>
    <t>3db24331880518b1c9140a9920ff60a7</t>
  </si>
  <si>
    <t>5f7ab191c4e081564ea76ca3f087e97e</t>
  </si>
  <si>
    <t>e7a7f506e80ba7d3c2e7da752cf99e31</t>
  </si>
  <si>
    <t>1a39568d274a678197599d6122301c82</t>
  </si>
  <si>
    <t>a98bc2353ba5ff96547295cc47ba01ac</t>
  </si>
  <si>
    <t>50e8c976f2a615900dd34560ba2cd493</t>
  </si>
  <si>
    <t>6c3333d07ba616620e03cec4aa518b01</t>
  </si>
  <si>
    <t>d302b730d3d7183315c3ad7090acd131</t>
  </si>
  <si>
    <t>c3f64d679d18c7b9faea2e90db9f2005</t>
  </si>
  <si>
    <t>949fc15c63949cedac7a99a9f186bb26</t>
  </si>
  <si>
    <t>c1be6f52d28b44487af0a973ded7e4e4</t>
  </si>
  <si>
    <t>b148d8d7f6a473985fa67469b0cf9941</t>
  </si>
  <si>
    <t>ec16fa3a938806daa7f8184360db84cc</t>
  </si>
  <si>
    <t>b9afb30e8ff9be55c3d4b5f06e474fa5</t>
  </si>
  <si>
    <t>a67146855de10f5ba5a0d454b5aee813</t>
  </si>
  <si>
    <t>de7467ec51dffd46dc4ef58d54964341</t>
  </si>
  <si>
    <t>694dbbe2c70c83d7b847577ee6e4ed90</t>
  </si>
  <si>
    <t>ca1abe93c6d969caa4943057c701b596</t>
  </si>
  <si>
    <t>7b74973bec9c143a371e3a4527d3b900</t>
  </si>
  <si>
    <t>7b877202b6caa5bbecaf2cc975f2c944</t>
  </si>
  <si>
    <t>1ad768d48caaead853195d67de70040a</t>
  </si>
  <si>
    <t>ecdfd4064ecb42e3b3832f61c42b2740</t>
  </si>
  <si>
    <t>f5ac138c152706a668c8c348e7f61f07</t>
  </si>
  <si>
    <t>2dae54f8602a989f7d97df4acfa55159</t>
  </si>
  <si>
    <t>8003d350d43737133ceb1de06a511989</t>
  </si>
  <si>
    <t>5bb1867f2be00b62b117a9275f9932cf</t>
  </si>
  <si>
    <t>f115d384cd5624be11e082449f0cb909</t>
  </si>
  <si>
    <t>941c1b56a6461eda0480a6bd2a49d77b</t>
  </si>
  <si>
    <t>d998921abd705b5ea3d6c594b75fbccd</t>
  </si>
  <si>
    <t>966650b24d7f636603cdeebdc1dead78</t>
  </si>
  <si>
    <t>5ea3bbf369f8a571d2b06f114b1f2485</t>
  </si>
  <si>
    <t>129507a5bc06d7980915e729e722b8f1</t>
  </si>
  <si>
    <t>85db8a3ee7d74eee8978ad2638366ed9</t>
  </si>
  <si>
    <t>6e44634b9a106c1fe0e04becd16b9b11</t>
  </si>
  <si>
    <t>8f8357f963d07828a52c80ce046f1277</t>
  </si>
  <si>
    <t>69e6805feef7bfe2c9474b931344ae86</t>
  </si>
  <si>
    <t>4fa72bcfdfa362a1f7d94699b28bc5df</t>
  </si>
  <si>
    <t>c828995d46f3a05d0c95759ee8822cde</t>
  </si>
  <si>
    <t>85fd88344029b6ebb6223639945052ae</t>
  </si>
  <si>
    <t>90ba4b6e5e62d1882b7ce772400c3f91</t>
  </si>
  <si>
    <t>10b579d688dc782d9cfc1374387bd324</t>
  </si>
  <si>
    <t>3b2a099a98d3577051aab779f5cc9b74</t>
  </si>
  <si>
    <t>d14ed06ab36be6f6bf564f489a72c55b</t>
  </si>
  <si>
    <t>1b7164b852f0a72b97b525981d56416b</t>
  </si>
  <si>
    <t>d2e1ac6f3becdf5caf1d63e5c3df22dd</t>
  </si>
  <si>
    <t>a59a7224d0c43c5229da7a0b4636a7aa</t>
  </si>
  <si>
    <t>734c37ef81584df696637dd9e69e2df8</t>
  </si>
  <si>
    <t>dabacd74735746456aaf7115a7b698d0</t>
  </si>
  <si>
    <t>4bd10a8bf3386aa21093c04a07bec3ad</t>
  </si>
  <si>
    <t>ee904d5cfee9f5af854844a478f9fa02</t>
  </si>
  <si>
    <t>9767e47e60832a8f6973a0f51d622c1a</t>
  </si>
  <si>
    <t>30068181ae70ef25de43a3a469aceddb</t>
  </si>
  <si>
    <t>64a43cc1614016934c57faaa61c40261</t>
  </si>
  <si>
    <t>47dc0b9be4df616f1655c27d20821ee3</t>
  </si>
  <si>
    <t>5617cf322f00b239c29cad3db8f6180d</t>
  </si>
  <si>
    <t>a49498c77fd9216d2e08eea368eeb8df</t>
  </si>
  <si>
    <t>70ab92e8654084b07ec1351084795744</t>
  </si>
  <si>
    <t>2f471bb69089eafa1b28b2a0b699ecd9</t>
  </si>
  <si>
    <t>78df7cc46c7f57152f9f0f54a1714370</t>
  </si>
  <si>
    <t>9b77561fcd02e1e0fdfcc95fe86ed7bc</t>
  </si>
  <si>
    <t>16f73de21ca70d16849cfd77c6999599</t>
  </si>
  <si>
    <t>d62e73357e7b4b5d0484230e454e6f43</t>
  </si>
  <si>
    <t>4e5686bfaf1fd7750f096ce3614f211c</t>
  </si>
  <si>
    <t>9a0bfa53a2c88a63cd6097dd6ea7b781</t>
  </si>
  <si>
    <t>ca37a7d8676920e48de0cf8847b6ede1</t>
  </si>
  <si>
    <t>0e17d3dd8a254614ccb07a3f2e5cf9e1</t>
  </si>
  <si>
    <t>9c66188b6abb03540f3f1e35f7c092a2</t>
  </si>
  <si>
    <t>d20ecf914b90e9e960595edc1851fbab</t>
  </si>
  <si>
    <t>6fea5c9f78874cdb57e2d7ecfb544a05</t>
  </si>
  <si>
    <t>00de9c3bd2974d29e451d0b4abd08f18</t>
  </si>
  <si>
    <t>0310c75855cb442a63681ced5e5e8eec</t>
  </si>
  <si>
    <t>6c1a0f8c4140ec10fc730e8bd4fe80a6</t>
  </si>
  <si>
    <t>189437e323a4439ccc319a7c95ab23ac</t>
  </si>
  <si>
    <t>ee9016ad88d7bf78eb8ba1a43da426af</t>
  </si>
  <si>
    <t>479c35164499254596db20e18eae544f</t>
  </si>
  <si>
    <t>6615eadb27d72485355fd5898b5cf7cf</t>
  </si>
  <si>
    <t>edbcf3bb16aa4667be039fb593c69df6</t>
  </si>
  <si>
    <t>856a1abfd8a362414d380e34e66c7d27</t>
  </si>
  <si>
    <t>a09f2d1e6a9a642ac9178f289d0626f1</t>
  </si>
  <si>
    <t>494544d57c64e2a26259e0a17ed65570</t>
  </si>
  <si>
    <t>13929dfae7c284e4202cb27276fd397e</t>
  </si>
  <si>
    <t>9619047861802f7d62dbe4cfd1d4f705</t>
  </si>
  <si>
    <t>95459cca4a9bc2d573630844c20d5c3d</t>
  </si>
  <si>
    <t>877c16a96a553212d2060c0d121b9daa</t>
  </si>
  <si>
    <t>aee0d83e317617715a67635284552e2a</t>
  </si>
  <si>
    <t>7f365fc5ca68e698b06df19ebcbbf020</t>
  </si>
  <si>
    <t>0b3a3afe6e9a25abafdefcaa7e037dae</t>
  </si>
  <si>
    <t>a04826466a7042ee6c628ae80e231580</t>
  </si>
  <si>
    <t>0f6240bc4db02e6d4e2a2660a4ac7900</t>
  </si>
  <si>
    <t>7657ce4f276c3a77713002caefadb463</t>
  </si>
  <si>
    <t>608febb555d66873f4ebbd7de679f000</t>
  </si>
  <si>
    <t>8c5ecd9158b1a4a7d544792335b0a10c</t>
  </si>
  <si>
    <t>a3daecb68645d2bc316520809f279e04</t>
  </si>
  <si>
    <t>95e91fb5a8fe764a2213b081d6f5877b</t>
  </si>
  <si>
    <t>d612cbe73b6ee9661223556afbb85cb5</t>
  </si>
  <si>
    <t>2ff04a7921f13f13870836b998b232b4</t>
  </si>
  <si>
    <t>295e9a1afee05eecb56065b9789bc54f</t>
  </si>
  <si>
    <t>f627ef64b00e94c92d48465403498ef8</t>
  </si>
  <si>
    <t>5abe1ccf0705e79df14b8053da32f029</t>
  </si>
  <si>
    <t>c835c25502dc2ae86685db5d0c974f2b</t>
  </si>
  <si>
    <t>38ee1e3a0424523a91c24841ac4652ef</t>
  </si>
  <si>
    <t>2bdee571717cb10c9792a2d7481052fd</t>
  </si>
  <si>
    <t>ea3e7ed42b9a5b8fd822644920e277c2</t>
  </si>
  <si>
    <t>f820d729dc4d3fd7e387ef418465f231</t>
  </si>
  <si>
    <t>5345673b6ad554e71b78c0e61a279100</t>
  </si>
  <si>
    <t>93ca9a039a425ad2131dbd25c6e5f072</t>
  </si>
  <si>
    <t>585cb33d11802c4ccb494fdedd2c6331</t>
  </si>
  <si>
    <t>9921ce79cd66a2f191928046d2a19e84</t>
  </si>
  <si>
    <t>043f63488dbf013416de2a185e027fa1</t>
  </si>
  <si>
    <t>d1ea91cd054fe7a6e279bd71f1c99ff9</t>
  </si>
  <si>
    <t>df1e5a287fce95100b004ba84fa1c245</t>
  </si>
  <si>
    <t>9f60555388f4c830d3fd32411fd5dac7</t>
  </si>
  <si>
    <t>793a5a1a40ae0a8ecd8eef3faf7a04c8</t>
  </si>
  <si>
    <t>a4f56c721addc313724885da7e7987b7</t>
  </si>
  <si>
    <t>36c2d875ee2427c2a82c2a8782516122</t>
  </si>
  <si>
    <t>2c567dac641748bc4d0be238e685ccfc</t>
  </si>
  <si>
    <t>f685be74a96ef4801d41ead2e261a3b2</t>
  </si>
  <si>
    <t>2e131b3165f6784d2d4424a2de96111c</t>
  </si>
  <si>
    <t>efa5b8ccfcb43a7e0f572db25ebf69c3</t>
  </si>
  <si>
    <t>93484a89bb53692f220e7c63b4fa07bf</t>
  </si>
  <si>
    <t>03ba86c01e6d6cbeb907ae456366d926</t>
  </si>
  <si>
    <t>d0f62308f588b1be6deb7735d8a57a56</t>
  </si>
  <si>
    <t>7f87d3a61d2ef264de16dfee7f348bc8</t>
  </si>
  <si>
    <t>79e22a5ccae302f46a5ca442d6dc9e97</t>
  </si>
  <si>
    <t>70d679b359d24c9d02cb569e88f8e61b</t>
  </si>
  <si>
    <t>e36dccfebf37733332f9036e934fc300</t>
  </si>
  <si>
    <t>fae7a1183e3dfe36d696a6da8ff6f232</t>
  </si>
  <si>
    <t>c7b7114fb2c2ab0fd6f2f80096579abb</t>
  </si>
  <si>
    <t>84f8beff3d04aa465bf634e64a04387b</t>
  </si>
  <si>
    <t>30bf1d59e73f41687756170baa4090bf</t>
  </si>
  <si>
    <t>14b960b38f612048da3120c3eadf8e40</t>
  </si>
  <si>
    <t>6a92d90d4aeb12564114e670e24b497e</t>
  </si>
  <si>
    <t>eba536c99790af7bbcbf450009a76cd4</t>
  </si>
  <si>
    <t>fea50b1a7a280e8baea82e2640e00d08</t>
  </si>
  <si>
    <t>d15640eb56a83bd1c92629170a5b1365</t>
  </si>
  <si>
    <t>315449fb3a6ebf2b7747183cc9785e5d</t>
  </si>
  <si>
    <t>ba3b7a5087c503270fa8ea9025f3a812</t>
  </si>
  <si>
    <t>8e9fdc4c556b7fdbf923272bb728434b</t>
  </si>
  <si>
    <t>4c5c797cda3041fa3d2124ccf0a719a2</t>
  </si>
  <si>
    <t>8caa453b8fe9e5d1e58869a034d0c106</t>
  </si>
  <si>
    <t>548d60140350a85e756c3e7433fc4b26</t>
  </si>
  <si>
    <t>d56adb1cac8130fbaa35bfb4e66f76c9</t>
  </si>
  <si>
    <t>61345154ff280b1f1170f3c477f6d519</t>
  </si>
  <si>
    <t>ae1f3e8e5bca5fcbba2f6f5c8fce33a4</t>
  </si>
  <si>
    <t>3f78faf9900a1027a6c328eef6afb95f</t>
  </si>
  <si>
    <t>fdaa6571f559974ed235e4fafef490e1</t>
  </si>
  <si>
    <t>3d3bc79280b22468331a205da603a624</t>
  </si>
  <si>
    <t>00e029b64ab46dd6656bbe1eb6684579</t>
  </si>
  <si>
    <t>507330f67baeced4f633e78dfeb5eda4</t>
  </si>
  <si>
    <t>ee80685271c3097ea07868f51ecc4bf2</t>
  </si>
  <si>
    <t>c70f848856282406fc512957094c9bb7</t>
  </si>
  <si>
    <t>4ab74edfec3956615749133bf3588a0b</t>
  </si>
  <si>
    <t>9204984ffbc68fce5041159fb9e9fb5f</t>
  </si>
  <si>
    <t>74041482e6e9a1554df7f0680e73be4f</t>
  </si>
  <si>
    <t>b968d35c245b6eab572184b147f403fc</t>
  </si>
  <si>
    <t>247f1dc871962da460caa07c5c70e914</t>
  </si>
  <si>
    <t>70d584bddbcd74807cb09593a8620d61</t>
  </si>
  <si>
    <t>59a23184b8ffc32dcc5c3fa4a0601fe7</t>
  </si>
  <si>
    <t>3f72d09f842ce2784dbfb1d625b78ead</t>
  </si>
  <si>
    <t>877347e2c9385dd80f03ecea206bde6f</t>
  </si>
  <si>
    <t>2472be5789f7fa5488757fc71f55e565</t>
  </si>
  <si>
    <t>6938eabcb91d29493cdeed7a85f31f69</t>
  </si>
  <si>
    <t>c652f29dd5558269b3bb1775d4d4aed4</t>
  </si>
  <si>
    <t>fe34af9cee6d1c8050a03865e6bb22d5</t>
  </si>
  <si>
    <t>50d3b929c6ee794c90088a145d987b54</t>
  </si>
  <si>
    <t>a49229d091a8f49e5bb6bfbf117e928f</t>
  </si>
  <si>
    <t>4f6b61cd7c67168947e7b8128fec3b9e</t>
  </si>
  <si>
    <t>b35301e2f2a102b3ed406ebebe490550</t>
  </si>
  <si>
    <t>f5decc32e4b3f7e7db8436b230940e64</t>
  </si>
  <si>
    <t>d3f17b3c9451b1d84e33cd8536be2ef6</t>
  </si>
  <si>
    <t>cd609fd3bc6c1f1236fe6366b1767c36</t>
  </si>
  <si>
    <t>5ad715ff2a4394c36c5fddaa4075f5d6</t>
  </si>
  <si>
    <t>2e87e86a087a0780936492d7a7847425</t>
  </si>
  <si>
    <t>b1772c1d519373e6fabcdf9378b79033</t>
  </si>
  <si>
    <t>67a874721664b48924946062a8969db9</t>
  </si>
  <si>
    <t>12909f2e94a4c8757dea16360e5d72e6</t>
  </si>
  <si>
    <t>e72e3a50d54f8fc8399c454f5a419cc6</t>
  </si>
  <si>
    <t>84e9b5f0916a7efb0b39d9f93e2b0e30</t>
  </si>
  <si>
    <t>45220b697ac43c5f0ffba9e5c9906f0f</t>
  </si>
  <si>
    <t>b23415e14ebf9845f3bd001aa7c9bc07</t>
  </si>
  <si>
    <t>7051ba074256df4d8f4bad6c859f37b5</t>
  </si>
  <si>
    <t>60ca90684d71483ec40578f8c5e4332f</t>
  </si>
  <si>
    <t>17967fa96a09b3e66db69dd6183fdf64</t>
  </si>
  <si>
    <t>fc14d1cabd3c45d452e9885b779b5a9d</t>
  </si>
  <si>
    <t>4c61ae2f8d3964393e5b4c6df60bbb27</t>
  </si>
  <si>
    <t>79269bf3484f26ac3f3bf25aeae49e72</t>
  </si>
  <si>
    <t>41a4b67b288a57e4f26343bc6c4ecf51</t>
  </si>
  <si>
    <t>873f9e56bdfc3da5a647e77c4fa77082</t>
  </si>
  <si>
    <t>708b19e015b3de8b8564c87a18ccf739</t>
  </si>
  <si>
    <t>10b477d3ce88b6d4c5ee2e4264687758</t>
  </si>
  <si>
    <t>356ce4be342239512ea7e97d602ee2cc</t>
  </si>
  <si>
    <t>db0c29e49cdc9c008c448c25410cb6d2</t>
  </si>
  <si>
    <t>b5dda81cc1d8f2445d87fb22d308a250</t>
  </si>
  <si>
    <t>3761150eddd87a541dc42664d3ee9dfe</t>
  </si>
  <si>
    <t>c9db8bdc0944c919ab6adf3b90e4cbbd</t>
  </si>
  <si>
    <t>36ca531c69e2dee7f397fddd4d7c851a</t>
  </si>
  <si>
    <t>bf49268651ff05c491b2dd16d7f9eafb</t>
  </si>
  <si>
    <t>7e28af31986e021f27633b123b81430a</t>
  </si>
  <si>
    <t>c5f037b436981eccfe8674130eb95ac3</t>
  </si>
  <si>
    <t>feadea4d0fa9dc2e1b8022f2cf449810</t>
  </si>
  <si>
    <t>c9dc4a2352a1ecd3028b78a17c29f11c</t>
  </si>
  <si>
    <t>30aff2f4e847bc3986fdba83f8d41108</t>
  </si>
  <si>
    <t>f7a5fdcca67565f953021f2c8bffb6a4</t>
  </si>
  <si>
    <t>145cc3eef626d2b90bf2445eaf3213ad</t>
  </si>
  <si>
    <t>87b7f8bf45e1c78f420e9b83c2374ef3</t>
  </si>
  <si>
    <t>c33139a8096946fd16382e3af30bfcc0</t>
  </si>
  <si>
    <t>27029b60f07ad3a69698be6a09e15a81</t>
  </si>
  <si>
    <t>612ab48b147e266034e0d6fae6730b71</t>
  </si>
  <si>
    <t>e198430b120b7bdebc8444656e8e8375</t>
  </si>
  <si>
    <t>0b7b1b48ee93ae1e354b5ea5e193b4ee</t>
  </si>
  <si>
    <t>1a76fb960ef0d34606d832814b96515a</t>
  </si>
  <si>
    <t>0ee7dbb6c315edbb7a86bb5928c299f4</t>
  </si>
  <si>
    <t>06855880c94da64de30eb8fc29990b70</t>
  </si>
  <si>
    <t>84af82bd97a767cf4b41b5a24bc81901</t>
  </si>
  <si>
    <t>738aa1e191847c7eab61fbaa18d6cd8e</t>
  </si>
  <si>
    <t>ad77966e9855c0eb3f64c9eb67ea752d</t>
  </si>
  <si>
    <t>ee139cc9502cf50b4a213318f4abbb65</t>
  </si>
  <si>
    <t>25f686a7e0ab2bc9b19217ee9f894b68</t>
  </si>
  <si>
    <t>959daf55cae8f849125a366bc24042fc</t>
  </si>
  <si>
    <t>1fd7eea43bcac3e7e194611cb89c8dfc</t>
  </si>
  <si>
    <t>a8e62c8ce45a82875cec2d576886cb6f</t>
  </si>
  <si>
    <t>958f2d996350498a9c1f3efa45d9cb05</t>
  </si>
  <si>
    <t>65e945ba700dd3c41771e1ff8d7f175f</t>
  </si>
  <si>
    <t>ad082a4315090b4a9984fa4e9336d0fb</t>
  </si>
  <si>
    <t>4826d1a0f4ee47da85ff3786e5761b4b</t>
  </si>
  <si>
    <t>8c5b4536f3c2fd2220d7df6147377dec</t>
  </si>
  <si>
    <t>88cd801cd76cd2348d52c3e9e799dd38</t>
  </si>
  <si>
    <t>fa80d05c5c006c175bb0d9f17a796ee6</t>
  </si>
  <si>
    <t>71ebcec76f2abaeaa276e020306d7bb9</t>
  </si>
  <si>
    <t>7ebed7c9d56806db4cef630ec6a676f0</t>
  </si>
  <si>
    <t>97c10609172d316584472810853e7bf7</t>
  </si>
  <si>
    <t>65ee37e9bf22a6f8d1f6012477904372</t>
  </si>
  <si>
    <t>cbcaf39513f500f9e9af470a65c33204</t>
  </si>
  <si>
    <t>df19207ef5a19309937606029b0678fd</t>
  </si>
  <si>
    <t>d854515dd09db1fd839c89869936cd24</t>
  </si>
  <si>
    <t>7aeaf032b0c578fcbed68d2c5ae5333a</t>
  </si>
  <si>
    <t>3df59ca3fd477566bdf471104826f732</t>
  </si>
  <si>
    <t>aa50a44e65736da78c9ad5b52f930c9d</t>
  </si>
  <si>
    <t>3134776effa19b15751595591d622c6f</t>
  </si>
  <si>
    <t>9aff6a16474ee28ebf1db14a2009cecd</t>
  </si>
  <si>
    <t>51e1a2352ab3fea3b912d59b2b0c8e26</t>
  </si>
  <si>
    <t>88b38aba80e2641bbe0d30042340f3b8</t>
  </si>
  <si>
    <t>a22aff8aa42051dfe497c739e15f4227</t>
  </si>
  <si>
    <t>6546027b1fd41444440a384dee462791</t>
  </si>
  <si>
    <t>724140ebabdb55713524ae75542cbc20</t>
  </si>
  <si>
    <t>475d2b84daed3947b769c9d18ff782ca</t>
  </si>
  <si>
    <t>9f2e89360a7f5b23670b769d4e2be729</t>
  </si>
  <si>
    <t>9678235489eb91b56bd4a0c03edcffeb</t>
  </si>
  <si>
    <t>290a999d2179f20969170199c2435609</t>
  </si>
  <si>
    <t>3bdcb9a1aa2339242f749f66c6262e7d</t>
  </si>
  <si>
    <t>e15202d99cb91e033bfaad8d0c1155f9</t>
  </si>
  <si>
    <t>ef063a8ac92d0423ce323cb8b794c5ae</t>
  </si>
  <si>
    <t>6bbe5ece5c9250904479ec470b121f15</t>
  </si>
  <si>
    <t>82421008f751e1d54916480a4c2304e1</t>
  </si>
  <si>
    <t>5bc6d8592a8f889c0f0116d80f0f35aa</t>
  </si>
  <si>
    <t>d4ee9cc2c7df3e6084a126ee39e7b7dc</t>
  </si>
  <si>
    <t>22d009d0c08011a8cad6430caf45eb3f</t>
  </si>
  <si>
    <t>482e5b2388abd4f3cbcf4ec34610e908</t>
  </si>
  <si>
    <t>6f13b81ce87b93d6faeb14fb12bcd9d1</t>
  </si>
  <si>
    <t>30630128617595fcf175de281d89329c</t>
  </si>
  <si>
    <t>be76a7dd729fb3db696eebea282e3a2e</t>
  </si>
  <si>
    <t>2a303b15a0c4d6c7b267dd162b8f429b</t>
  </si>
  <si>
    <t>a44702cafda979f4bfb6b9df94d1a7ea</t>
  </si>
  <si>
    <t>3b2e91fc542886b3ccac759e16046c01</t>
  </si>
  <si>
    <t>c0c067c422d3a3710ce68b3fff5a9625</t>
  </si>
  <si>
    <t>f599d49f48999342c432c91b08ddaf08</t>
  </si>
  <si>
    <t>26c29c24164375a4e55c072eb9fc1112</t>
  </si>
  <si>
    <t>0142c232d9a49a75af1c0e12b2c34311</t>
  </si>
  <si>
    <t>7a630a7313a75c1e975c608a2feea212</t>
  </si>
  <si>
    <t>cc104b7f6ebee96e2222ea96f7798755</t>
  </si>
  <si>
    <t>709f5ec5795627b669c529ca71a58bf9</t>
  </si>
  <si>
    <t>71d16d379abbb2d7bbf42cbc0f74d969</t>
  </si>
  <si>
    <t>0acb613d03508c0eb2283a74b8c129cd</t>
  </si>
  <si>
    <t>179f8d4d8e27fa48a782a34fec7429a4</t>
  </si>
  <si>
    <t>731a9b879eed6c788152e2499c801655</t>
  </si>
  <si>
    <t>f62476ff3334fb5dcad33d03618a84bd</t>
  </si>
  <si>
    <t>b3fc4f1f43a9c5abb174d5ece21580c8</t>
  </si>
  <si>
    <t>1677a7266b0b8c792c6cbb49101718e8</t>
  </si>
  <si>
    <t>ad020e4364804919a2113fe80cfc5107</t>
  </si>
  <si>
    <t>f9813f06bd6a0422eaf4d9d47220c11e</t>
  </si>
  <si>
    <t>3561e94278d51f3517ec1271d97c1816</t>
  </si>
  <si>
    <t>fb77d7986091f6ae16b5dcf9c7f51871</t>
  </si>
  <si>
    <t>0da3837baeb1c2e3e398f98d3ce09df7</t>
  </si>
  <si>
    <t>b2515a8f619a6a8a8972b8245fbd350f</t>
  </si>
  <si>
    <t>c59e9b1821d91563fa4515e0c3cb9df7</t>
  </si>
  <si>
    <t>b4382bc46874aba41ecfd507f3f986ae</t>
  </si>
  <si>
    <t>c04b0527c186190a100e426b421b5e8f</t>
  </si>
  <si>
    <t>a8fd31a82dd5f0be68949bcc1bf685c0</t>
  </si>
  <si>
    <t>57edac387ec7cbeccbe3abee61abfef8</t>
  </si>
  <si>
    <t>dbd49ee4f2f36e43f6e20a9f8e0def91</t>
  </si>
  <si>
    <t>eaa8e5c30797a5146dce6f755a167d92</t>
  </si>
  <si>
    <t>934f4affbe75ef461fedf37e7d22e571</t>
  </si>
  <si>
    <t>7e23eff7fdd337f388f75169f8a72941</t>
  </si>
  <si>
    <t>f2355eaecc3c769cb69e16c73ff2d348</t>
  </si>
  <si>
    <t>ffb9c69580a002555022704ae1a82e35</t>
  </si>
  <si>
    <t>f51f798a132d4c980a8a07a9f2de17c7</t>
  </si>
  <si>
    <t>23bc407bb876544f51a28d94ceafc02d</t>
  </si>
  <si>
    <t>21534aa0f12fa845ec69bdcfdde43026</t>
  </si>
  <si>
    <t>9fdb9adacd00c12c75544f640ccbae69</t>
  </si>
  <si>
    <t>ec539b0920eda09e0fe1a32bb6175f81</t>
  </si>
  <si>
    <t>f3abc84f9aca94546d46d80bcf2b2709</t>
  </si>
  <si>
    <t>50dfc91c5a9a03e062cf53d535f123fa</t>
  </si>
  <si>
    <t>1d31d134e89dc90f86ec9f50776e5c69</t>
  </si>
  <si>
    <t>05c51c1244017bf6c6927f2469096609</t>
  </si>
  <si>
    <t>9312774007318316af1fb34afe50763f</t>
  </si>
  <si>
    <t>cb15221f075f3c415a4317d1ee253122</t>
  </si>
  <si>
    <t>a69cbfc44f6b560653794cd571b0844d</t>
  </si>
  <si>
    <t>77eea00199aa04c9b18e38c086d2fcdf</t>
  </si>
  <si>
    <t>47f0f20ee389e89f5664abff943059f6</t>
  </si>
  <si>
    <t>3c6f4a18e886f318eef33a0dd8b40172</t>
  </si>
  <si>
    <t>c0a42dc9c2cf279350525234a8c85525</t>
  </si>
  <si>
    <t>bd8fefed337868ab4118cb486760fbb0</t>
  </si>
  <si>
    <t>e9d6191af5703559e02e72006a597522</t>
  </si>
  <si>
    <t>2fed8645197f1e7552a8e8766e5361be</t>
  </si>
  <si>
    <t>f23bb4d63ac900dbfbadb84ec13b3f3e</t>
  </si>
  <si>
    <t>3af231bd71683d94d2e9a4e04732fbb0</t>
  </si>
  <si>
    <t>833b92667606ad262965982eaa6fed7f</t>
  </si>
  <si>
    <t>02e86de97e31f576602d4660dd178cfb</t>
  </si>
  <si>
    <t>c4a78e8c2ad3fc93b8fa4907795a1a7a</t>
  </si>
  <si>
    <t>a93d93a15bd0da52c4d04bef8c63369b</t>
  </si>
  <si>
    <t>61f921d84a8d4a4ccdbde228f4628efe</t>
  </si>
  <si>
    <t>2e0b4505c8f8f0a0201a9d2b51d49e30</t>
  </si>
  <si>
    <t>47512db3a039c275dddb36f4adf68ec9</t>
  </si>
  <si>
    <t>700fa4cec4e4c46c1e7bc6050e9c794d</t>
  </si>
  <si>
    <t>d9361b739cd5ee6aaecc18cc70e8561c</t>
  </si>
  <si>
    <t>69056c71f864081ce6a5d79778786af9</t>
  </si>
  <si>
    <t>cb7408196def4e6c4b078954bc1cafab</t>
  </si>
  <si>
    <t>310b87bba7a16c5fcb593cbabebfac77</t>
  </si>
  <si>
    <t>e63371490299049c104d851fa145d040</t>
  </si>
  <si>
    <t>96e1fa8022ba0415180149ef56219da1</t>
  </si>
  <si>
    <t>2cffb4c8bd251de98b7f5ff4f8db79fc</t>
  </si>
  <si>
    <t>5e638c7bdee29781b19f5037b53cb776</t>
  </si>
  <si>
    <t>8610991b85f4d132ddb970c1063819c8</t>
  </si>
  <si>
    <t>42138ca44ef589b911049c2e2aaf06c8</t>
  </si>
  <si>
    <t>c3fe8700ffb02e7cb023b15e1b0ff5bf</t>
  </si>
  <si>
    <t>3f79861daf6449259d65c7bcb42e55af</t>
  </si>
  <si>
    <t>19e0868362cbb2057d37f011f7c1a1a9</t>
  </si>
  <si>
    <t>a26578b34f8196e9afb131fe3b1e9cd5</t>
  </si>
  <si>
    <t>cfcbee87788dd7d7f0cd53ebb3a9073e</t>
  </si>
  <si>
    <t>5adf4175e90bbde5ee6f5c9ba55bb7c8</t>
  </si>
  <si>
    <t>cb9983e4e34128e5f34ea8e04ec822db</t>
  </si>
  <si>
    <t>300a2e894457a0c17cedfae3a5e09afd</t>
  </si>
  <si>
    <t>488960d667b55e7202567b1fd3fca895</t>
  </si>
  <si>
    <t>fa09b4b8d0ef48f846cc6e870f871534</t>
  </si>
  <si>
    <t>ada63ef20b1c5680698bc0c0a95587ed</t>
  </si>
  <si>
    <t>ac01bb4243fed75f22c0df06f6c522b2</t>
  </si>
  <si>
    <t>8594dc6f8f75da5d269fc3851dfcf106</t>
  </si>
  <si>
    <t>875afdacf1ef124299854f1c937bf88c</t>
  </si>
  <si>
    <t>37977986fb79f207419ac3109996063c</t>
  </si>
  <si>
    <t>d8bc42573b051b7ce4362da499c8e116</t>
  </si>
  <si>
    <t>f77712df4a5d4451e8c2722c6901cb94</t>
  </si>
  <si>
    <t>e2f14e3b69a090d5396b2578c4cde177</t>
  </si>
  <si>
    <t>5c8f3fa9e345cedc2373976bcf487a3a</t>
  </si>
  <si>
    <t>7da1764276109d18b940849c0ace79ea</t>
  </si>
  <si>
    <t>eb6dd17dee94d3eee2c92323354278b9</t>
  </si>
  <si>
    <t>5e1798df339ef2a40a6350374b683c25</t>
  </si>
  <si>
    <t>a6b906295447f27f9a2482142d5d96d6</t>
  </si>
  <si>
    <t>02cf1fecde9447eb53c608d5f1b45421</t>
  </si>
  <si>
    <t>a678de2315072d7fec826b606fbaf0e5</t>
  </si>
  <si>
    <t>bd8652cc8b7ab66038cd2392743ed1c4</t>
  </si>
  <si>
    <t>daa8b5f6c2866c8aaf515994db7bb2e1</t>
  </si>
  <si>
    <t>ea9ddc9b588602e8485f3e4b0c6ab0f3</t>
  </si>
  <si>
    <t>b4762417dd2e3b3acb0fbf39f423271e</t>
  </si>
  <si>
    <t>ac64137eb58c76e0925160f4927c17fa</t>
  </si>
  <si>
    <t>6117257a95251bf92cfd56941bb3759a</t>
  </si>
  <si>
    <t>02e46d4e23ff4bbe13d2c38cadd080e8</t>
  </si>
  <si>
    <t>e387db1e5e641b21dc8983585993d6be</t>
  </si>
  <si>
    <t>d5542171c88b3daa2b2aeacbd6b39156</t>
  </si>
  <si>
    <t>8570e112dcc3dd8fb8fd56178c37b8f5</t>
  </si>
  <si>
    <t>f9b3709f86c9bafb52900a01758849d6</t>
  </si>
  <si>
    <t>74f607e38fbd2178f8f8fcaccbc5eec4</t>
  </si>
  <si>
    <t>c178e2e46d3bf2caf130e46e8855fff9</t>
  </si>
  <si>
    <t>bd0ec84684ba89bfecc3e402ba051efd</t>
  </si>
  <si>
    <t>2a5dd70d0dbf1d0fb23aa0aaf6abf141</t>
  </si>
  <si>
    <t>891360e7cf2b9bd4852eb887b07cc168</t>
  </si>
  <si>
    <t>37078ca6fe769ee73d052f1c1ea6fbc6</t>
  </si>
  <si>
    <t>a89480a05048a55f83e10210c5fdab0f</t>
  </si>
  <si>
    <t>1e73cdedc6457c9f91daba939bb887f5</t>
  </si>
  <si>
    <t>406d0f3302ef021a012e0386df433e51</t>
  </si>
  <si>
    <t>eedef380084205f2748207fff959077f</t>
  </si>
  <si>
    <t>d0348579e95880d19b6629c8f1c5d14b</t>
  </si>
  <si>
    <t>d2ab4e022f0f1897d779333ac76029c0</t>
  </si>
  <si>
    <t>d0b7d6c12c1ae76dd017b1d0b238134f</t>
  </si>
  <si>
    <t>c0f67d1c7a4c0c186f71d4f47f55e8f5</t>
  </si>
  <si>
    <t>178eed38b8d0b5e0a6578d5828467554</t>
  </si>
  <si>
    <t>cd8c485fdd81ceafc9fcc22b6c928089</t>
  </si>
  <si>
    <t>c8b842a749c0937aae42001d141061a8</t>
  </si>
  <si>
    <t>5e4b6d537e8a62ef15dbffae6d9e733d</t>
  </si>
  <si>
    <t>195dadf93219bd6d1131887ecabf23f2</t>
  </si>
  <si>
    <t>cf379048f9a4ec0c544fe8c7476bb83d</t>
  </si>
  <si>
    <t>4e1392eba29c6e3ada5429ae9d8e76ef</t>
  </si>
  <si>
    <t>28a87882e58a7322b9ecb42abf33254e</t>
  </si>
  <si>
    <t>b4be6f6a82023d845146507128d15e90</t>
  </si>
  <si>
    <t>6d24ca9264b2076cf34667cbdd06bd58</t>
  </si>
  <si>
    <t>fa1a8633fdecfcf7f1742a5f01dddc9d</t>
  </si>
  <si>
    <t>608127412b6ace124a46c4e8f41ae20d</t>
  </si>
  <si>
    <t>1a42219b045c44fe4b788ef3190ca971</t>
  </si>
  <si>
    <t>4d5a69e382b247459f1f175bac94855e</t>
  </si>
  <si>
    <t>fcb6b021ab24f1dcc6785a392a198a60</t>
  </si>
  <si>
    <t>80ab5a96f19106d0800ab0a89189038f</t>
  </si>
  <si>
    <t>5bad8338cbb13ac61552886e9830353a</t>
  </si>
  <si>
    <t>d110121b736a225fe585bc7b35ae2504</t>
  </si>
  <si>
    <t>c128eb6708ad153ae79ed5355f670125</t>
  </si>
  <si>
    <t>577c18d782fcd85d47b5d54350c56c1f</t>
  </si>
  <si>
    <t>ad897df0680a190a0e598bee4ec52998</t>
  </si>
  <si>
    <t>e29b2e4b05d23bdc0534c1e5f0a82dca</t>
  </si>
  <si>
    <t>8640c055be03b45f91c72970001e0c61</t>
  </si>
  <si>
    <t>de553ad6deac00ed2e3aada6cb6547b9</t>
  </si>
  <si>
    <t>7a194aaca8cc86f6a73bf832891706a4</t>
  </si>
  <si>
    <t>5bd5e104b02c1fc182dd30644f6f45c2</t>
  </si>
  <si>
    <t>eb87d27c070258dc8b0bb0e98be70c33</t>
  </si>
  <si>
    <t>fa5959c84070bde90e2794c7611b7bce</t>
  </si>
  <si>
    <t>1df184371630abc55ff30cceb0f01e57</t>
  </si>
  <si>
    <t>b8b470a0140f247d927f73a40a71e2b0</t>
  </si>
  <si>
    <t>0abd4849a22a25bb17454ca3d94e8c8a</t>
  </si>
  <si>
    <t>2173cdc5ae3ae1fa275950206b82bfdc</t>
  </si>
  <si>
    <t>003be58a2f832fa112d5dadbdb510fda</t>
  </si>
  <si>
    <t>4e2232f4d6c67c560d2de09549da6197</t>
  </si>
  <si>
    <t>8ce61d30ffa4e26dc1e655abc94c617e</t>
  </si>
  <si>
    <t>7e22048492a223ecfa258e14c9d46bcd</t>
  </si>
  <si>
    <t>d6d80741059cafede5ed298ea0fbe07e</t>
  </si>
  <si>
    <t>4c6a03014f1de81307f221c81dbc4fc5</t>
  </si>
  <si>
    <t>52e2d4b13f456b39b6dd82f1155bacf3</t>
  </si>
  <si>
    <t>f3099893106a87aad42a0ff28b8dee95</t>
  </si>
  <si>
    <t>8d4a3bb20022d9811bacc9d909568890</t>
  </si>
  <si>
    <t>63cee940a9f056915be545c8e0b2158f</t>
  </si>
  <si>
    <t>ba8d6f2f1843b824789c3e02f6a78988</t>
  </si>
  <si>
    <t>b67cf6bb539dac3352e5dfedf5af3e90</t>
  </si>
  <si>
    <t>56ae526043b64ac100868ee2b7b7d6bb</t>
  </si>
  <si>
    <t>55ac8d101023b362ca1093dab55d6493</t>
  </si>
  <si>
    <t>eb95f6271b9a5504cffce4e2695814ee</t>
  </si>
  <si>
    <t>a83d8861b1024aa18faa0aefad58473c</t>
  </si>
  <si>
    <t>7cd442fc4cbc3ba5153ddc039dc4e3ff</t>
  </si>
  <si>
    <t>49c2914fa4f2fa165566c01689ae7181</t>
  </si>
  <si>
    <t>eba929a29c9d2c189aef20e43685c2ea</t>
  </si>
  <si>
    <t>923adfeefa71bc0c3989be950a5a3c65</t>
  </si>
  <si>
    <t>68409547e0c3540d2da5a72c57809d24</t>
  </si>
  <si>
    <t>b1ddbb00e6019360eaf449b32ae5db2e</t>
  </si>
  <si>
    <t>2a2e1197bafca51fdca06515e3a6bd60</t>
  </si>
  <si>
    <t>c571405fde47b69188b5708ef7ce268b</t>
  </si>
  <si>
    <t>5ec8d8e1e8327fa77a298051c2f7798d</t>
  </si>
  <si>
    <t>2263003170976cb86cb8b741e7d562a3</t>
  </si>
  <si>
    <t>a9ba9b6095605feca4c6fce2d60fa4ea</t>
  </si>
  <si>
    <t>378c2df49e3156c3b6fec5e53e89b92e</t>
  </si>
  <si>
    <t>ea7c467d6b8ffffa0062893ca2334a03</t>
  </si>
  <si>
    <t>3b47d4d1099273f49e93095a5ba4ed30</t>
  </si>
  <si>
    <t>687cd854de26ea9d06980ef8e9350913</t>
  </si>
  <si>
    <t>b108361585566c70417a9707b2d495a3</t>
  </si>
  <si>
    <t>2a43cd5720c7590c48092026ff55594e</t>
  </si>
  <si>
    <t>70b2eb12962909887ece91b0be1f4bf0</t>
  </si>
  <si>
    <t>5bfa5ab518becc6bf688b0f213c0ae2d</t>
  </si>
  <si>
    <t>6306871da7c9df8ace0589c65276fb6f</t>
  </si>
  <si>
    <t>4056113e7174b9a1cc4e954420f06116</t>
  </si>
  <si>
    <t>8865f84b8b7dcadc3b45581bee4a3c17</t>
  </si>
  <si>
    <t>ed5c96254a645ed3c42e78100f5e9441</t>
  </si>
  <si>
    <t>9fd09b63e425682006525f1183e8315c</t>
  </si>
  <si>
    <t>afa9176e0f4a2e8cda635e40e001879d</t>
  </si>
  <si>
    <t>8e7abed0b4d7365b8a888c2357d5257e</t>
  </si>
  <si>
    <t>17a52656edd838aa5be3f562b2f8d718</t>
  </si>
  <si>
    <t>e4afc5172a318c65ff2a50696611c80a</t>
  </si>
  <si>
    <t>3606544a8c5e29d1ae206a25a9c88c34</t>
  </si>
  <si>
    <t>dd3f6015ac84f86b3123a54e7a240d75</t>
  </si>
  <si>
    <t>68110f8a3d543df53605eab5b9d1e0b5</t>
  </si>
  <si>
    <t>2b254e86fd8820a17a40db913c033c60</t>
  </si>
  <si>
    <t>18f18ed5e348ed26e4ff6f0feb7bb1a7</t>
  </si>
  <si>
    <t>2d3211bbb4f839c0ee17d6ea64ccaa0a</t>
  </si>
  <si>
    <t>4d49b8617e57587944118623224144bd</t>
  </si>
  <si>
    <t>6c88e784cf07c3ab8eed6199634244dc</t>
  </si>
  <si>
    <t>9ae044f4bc840e3e61b6734d75103b44</t>
  </si>
  <si>
    <t>71c8962e7ba8bff6c6672e7d00858894</t>
  </si>
  <si>
    <t>573296fd73c0f2b49d719bba990c4222</t>
  </si>
  <si>
    <t>05d1077daf4e02403323346cdd510d8d</t>
  </si>
  <si>
    <t>65c190e90637ff68bb19738f233407ba</t>
  </si>
  <si>
    <t>384ec11000beba3b2660aa20b8590a4d</t>
  </si>
  <si>
    <t>0bcbb3ec0f88cde88297bbb0fe33d7c5</t>
  </si>
  <si>
    <t>983a6f0b20c3e41944163a7e24f73a23</t>
  </si>
  <si>
    <t>41bfd3f2c6d64d6ec74626d3b1f44c23</t>
  </si>
  <si>
    <t>66062270c84f1704ca3489e5218a8948</t>
  </si>
  <si>
    <t>ecd0cbb587545116421c8bf437800755</t>
  </si>
  <si>
    <t>1a7771115f7edb9ce0c10148a8efa5ef</t>
  </si>
  <si>
    <t>1140ffeebb8c4b89a77baf149876c305</t>
  </si>
  <si>
    <t>0e3d0ba778dde74998fbba227bcdf927</t>
  </si>
  <si>
    <t>7d4797b897ffdd0e362d088529db7ec7</t>
  </si>
  <si>
    <t>5c9990742578934e7d32d9fe9c9c7675</t>
  </si>
  <si>
    <t>ac335896029f42373904131cd3eda4ad</t>
  </si>
  <si>
    <t>2ba9a03c17d1fad8aef8191343a9aa89</t>
  </si>
  <si>
    <t>a3c2bae05aa08b60cdfcd646428e27d3</t>
  </si>
  <si>
    <t>5e42cc30e0ca793684329d491c6ff0a0</t>
  </si>
  <si>
    <t>0140b7e0ba3ea335f4d19db0aa181a96</t>
  </si>
  <si>
    <t>2665daeed477f4ec06438e17b9efe0f3</t>
  </si>
  <si>
    <t>55fb570df724f979a6b14d10fc61235b</t>
  </si>
  <si>
    <t>64ff8d4ce6b87b9a5795d1eb315a0133</t>
  </si>
  <si>
    <t>0f2f7f3e434fe4e5ab2f04ff7de7dce6</t>
  </si>
  <si>
    <t>ee348b40e2838d43d5dcfc3147ca2a4e</t>
  </si>
  <si>
    <t>5a81a009d7edeb398d56b2eb59454150</t>
  </si>
  <si>
    <t>9e8187e0a952996e65b97d6eff08682d</t>
  </si>
  <si>
    <t>f9cfdca5007fe81b7fc70d8f95e24411</t>
  </si>
  <si>
    <t>90e8ca31ee71b1f4142b196d99a27969</t>
  </si>
  <si>
    <t>945a371fcbebd5fb7ea02a2fabb9de63</t>
  </si>
  <si>
    <t>c46a5150913872c49e5128326562bb8d</t>
  </si>
  <si>
    <t>206b244eb61cf7f7c2093c1465f35ffc</t>
  </si>
  <si>
    <t>48648d012c4e545e94945a7db14f2682</t>
  </si>
  <si>
    <t>10ef1fcc1dff17a3e7359711a9563a24</t>
  </si>
  <si>
    <t>7d74d3aed433469c5bae0032749228ea</t>
  </si>
  <si>
    <t>b3c9cbd854ebbaa82b6fdbb8cbf9ffa7</t>
  </si>
  <si>
    <t>330092e21eb196f3c23fa409a18759a8</t>
  </si>
  <si>
    <t>fdfb7a928b1bfc18ba907d7c255762df</t>
  </si>
  <si>
    <t>dfa43762c7904d19ca1ce9d2cc743802</t>
  </si>
  <si>
    <t>59d61558950587a2ad1fea99ff433930</t>
  </si>
  <si>
    <t>0e28b8f4dd30b4947fbc011c7f7f6ecb</t>
  </si>
  <si>
    <t>5190ecc5eb511afcf175ed7afee8165b</t>
  </si>
  <si>
    <t>4a4aeb1973f6b85fa411aa5ecd6a8fc2</t>
  </si>
  <si>
    <t>982a5c0efa147d6be336cfda5f8298a2</t>
  </si>
  <si>
    <t>3c3e827f88c610b2cd2f63b09b76ec68</t>
  </si>
  <si>
    <t>891810e45b641feff967dfd71dae21ec</t>
  </si>
  <si>
    <t>8b4d154602a9f83d8e9c8832c9c4107a</t>
  </si>
  <si>
    <t>0d94763cf9d8b2a246a380eb724e788f</t>
  </si>
  <si>
    <t>645c4d25fe11ea31a2998cc0186c0069</t>
  </si>
  <si>
    <t>dd9374ed0b7c29c3eb5d2afa6ed010eb</t>
  </si>
  <si>
    <t>50ca44334788a8e4b21bd96f7c905b4f</t>
  </si>
  <si>
    <t>4f178c59064ec1645476c4e89936b2c8</t>
  </si>
  <si>
    <t>db7ef08bc81c10c29fa0153887e35738</t>
  </si>
  <si>
    <t>86839967585057d0ccd3fe433b1632a7</t>
  </si>
  <si>
    <t>478312c45e8cb74a54c58fba87ac9eed</t>
  </si>
  <si>
    <t>45434094874485631250b418488588d1</t>
  </si>
  <si>
    <t>91823ad3e1e64dedd77e4875a03afb44</t>
  </si>
  <si>
    <t>fe18e3d2ca9b3a9072fb097b459c4c9c</t>
  </si>
  <si>
    <t>d005ad2814abbdcf12a1a778e852aafe</t>
  </si>
  <si>
    <t>9108af86626b13f6b48d3c0ba9461341</t>
  </si>
  <si>
    <t>fa8e2289535183fca9c1558dc5e49832</t>
  </si>
  <si>
    <t>5b14fc6b93f8574871287fd524a8ff3b</t>
  </si>
  <si>
    <t>20d0257651ba94aa3a9c3e5da6ca1c7c</t>
  </si>
  <si>
    <t>022425e68c22298de93bd3bb5aab94bc</t>
  </si>
  <si>
    <t>8dd94a4463aba3c3a4e1b133768f4efc</t>
  </si>
  <si>
    <t>eb77b46db9926586454149f0d962bc7f</t>
  </si>
  <si>
    <t>85b4a86442e16a59864aad43c89e86d4</t>
  </si>
  <si>
    <t>2cd9afcaaebda9abd1e2a8e6073a0107</t>
  </si>
  <si>
    <t>59895e540a8cee227ea99298874bcb38</t>
  </si>
  <si>
    <t>442c9efcdf58d6e5afea01d3a28e3cfc</t>
  </si>
  <si>
    <t>650dfc01e0947458a8088777dd494e89</t>
  </si>
  <si>
    <t>0bcec859147920625eb466d1c9a438c7</t>
  </si>
  <si>
    <t>08e03c31055bf866497f575563a47596</t>
  </si>
  <si>
    <t>961054c2e4fdaccf9380eeb147605663</t>
  </si>
  <si>
    <t>049da1b4bf8da7b7eae6e4a7cb6196d3</t>
  </si>
  <si>
    <t>1f7d220542b09d3bea51b33c7f2b53d8</t>
  </si>
  <si>
    <t>d116cb6772d50c02e9629cb0a7ee7b26</t>
  </si>
  <si>
    <t>80c6927f7b22a3f4236f63a5019d39d5</t>
  </si>
  <si>
    <t>08a81a39281e0945f4f0c2de2d4ee8a3</t>
  </si>
  <si>
    <t>d4ebf5e4954f1b4ea0814278e8dccceb</t>
  </si>
  <si>
    <t>0908d4f60f53a023e285030ae3baf831</t>
  </si>
  <si>
    <t>a70b7672aaf9212af152fc7d8fe0b9a9</t>
  </si>
  <si>
    <t>36d5ce0a4e790965665f3d99cd662991</t>
  </si>
  <si>
    <t>f42e72faefb92121e79f6e0861f4fef8</t>
  </si>
  <si>
    <t>de73def9455a8ed3870285812f8daf2b</t>
  </si>
  <si>
    <t>c3feaa2a73b6f019476e101bdbef20bb</t>
  </si>
  <si>
    <t>4b716a32413802ec4ced160031ac5dfe</t>
  </si>
  <si>
    <t>9f7f2f73154bba2e445a40305714ed19</t>
  </si>
  <si>
    <t>e1abcbcac9261bc519d8ee573944c742</t>
  </si>
  <si>
    <t>33318f94a7f5a68e1376b7966cdfb758</t>
  </si>
  <si>
    <t>f9f72df35bdd736abbd8f78d5b359586</t>
  </si>
  <si>
    <t>894b27d0aa61c8faa1fed7002ae5b1f3</t>
  </si>
  <si>
    <t>3dac93fef71085c59a67387300ab3b51</t>
  </si>
  <si>
    <t>c7423cb26148151ef7e157449e2aebb3</t>
  </si>
  <si>
    <t>a49f5e8ffc36578b42b3aa916393db93</t>
  </si>
  <si>
    <t>280df99349e9cd6d2096477e451b2f65</t>
  </si>
  <si>
    <t>8aed61147ae0a401ed49429957a36852</t>
  </si>
  <si>
    <t>f33cd6209df4e2b6c20b4489eb615180</t>
  </si>
  <si>
    <t>64ea1818b96d2eade15653067b30de37</t>
  </si>
  <si>
    <t>56e5b1e694bc1272509404ded17ea785</t>
  </si>
  <si>
    <t>2722e4659a3b73a9ad29d73a6762344d</t>
  </si>
  <si>
    <t>ed0685136d11dc3e21aa06b1560d00bb</t>
  </si>
  <si>
    <t>dfb22995a9a1034accba49cfbf818843</t>
  </si>
  <si>
    <t>b4adbeb979dc03b3b679f8f53418cc90</t>
  </si>
  <si>
    <t>b2451550f3b0a014ada9359e0aba4c7e</t>
  </si>
  <si>
    <t>fa77782f07c6d687d23916e50520445e</t>
  </si>
  <si>
    <t>b69b98f24213ede9eb1842a956259a5d</t>
  </si>
  <si>
    <t>b2c7f3bf295fcdd32a36da0cb59b75bc</t>
  </si>
  <si>
    <t>355a84fc1d9181703a4dee0c83279000</t>
  </si>
  <si>
    <t>e57027f671e83dd47a32803628426ce9</t>
  </si>
  <si>
    <t>99370e2569cc181f16712efb7a76bc1a</t>
  </si>
  <si>
    <t>2a4aac3cc8e17e3c59610175e13e89b8</t>
  </si>
  <si>
    <t>789c634bf202696bff3c3b35cb8c09e9</t>
  </si>
  <si>
    <t>4e4c0bcb0cbe801fa509566a31b3ca2e</t>
  </si>
  <si>
    <t>8d8e2d9a99054023f2cb6a36103e0f2e</t>
  </si>
  <si>
    <t>53b55eb5ef95dd1d0872e35f7ce577d5</t>
  </si>
  <si>
    <t>7cce901448db92985ae92f2d5e473709</t>
  </si>
  <si>
    <t>791190f62e638903ea7b94b886de4e05</t>
  </si>
  <si>
    <t>143f3be09de715994b178e19c33aebed</t>
  </si>
  <si>
    <t>7807eeda55feaadcf92c7dd4135cd9aa</t>
  </si>
  <si>
    <t>f8c7c677a5a48cd258f52fbd9adaf9ca</t>
  </si>
  <si>
    <t>95e9d2febbb74ab976515701438636c0</t>
  </si>
  <si>
    <t>e6cbd10a0ae542d3c0eb9a545b10e772</t>
  </si>
  <si>
    <t>8a8318ca09672048f55993578d0ced4a</t>
  </si>
  <si>
    <t>bd87a194ab5d761230db7f735e50a71c</t>
  </si>
  <si>
    <t>e25c6afd24fd63472f2e96e8699cbda0</t>
  </si>
  <si>
    <t>e79b34bd73429d887e8a1dd99323eaee</t>
  </si>
  <si>
    <t>eb19a347e289ed36cdcf4ec55ec18741</t>
  </si>
  <si>
    <t>fcbb8ae341476584cdb9e42bcd32060c</t>
  </si>
  <si>
    <t>32c76da63e71f702f61d341bceefc746</t>
  </si>
  <si>
    <t>cc7e49bb1cf65959ca9746be2d234412</t>
  </si>
  <si>
    <t>e60a70ded56c4db7ed984bed39e6fb17</t>
  </si>
  <si>
    <t>29571b77bd9429bfc6aeee2b7913add4</t>
  </si>
  <si>
    <t>eb9f0424a07ef153161eeed6039e715f</t>
  </si>
  <si>
    <t>1c6382a4a4436db73e4796c2f2b1be8f</t>
  </si>
  <si>
    <t>54106f6be105837f108e06040f919808</t>
  </si>
  <si>
    <t>7b52d6a71b03b1be7b441f0b56a77ee2</t>
  </si>
  <si>
    <t>549bca8f815bd99063eae6ad97eccab3</t>
  </si>
  <si>
    <t>deb1ccd89a760581fb7811ca10a2f9e6</t>
  </si>
  <si>
    <t>3783d653ba58ccae583cc2b3c7a8eb71</t>
  </si>
  <si>
    <t>745435131776efad1df8c2ffb774d9c3</t>
  </si>
  <si>
    <t>f7a6b70e09f3a2223a824ddbdb526e20</t>
  </si>
  <si>
    <t>fdee955a14aea32fa03865e32b3ba4b5</t>
  </si>
  <si>
    <t>0c6d1ae57e302408ce232f797778d00e</t>
  </si>
  <si>
    <t>cf2fff857c561b68c4fa5cd3e8afcf3f</t>
  </si>
  <si>
    <t>6d9f96b28b65d1fc4333852dbd1365e4</t>
  </si>
  <si>
    <t>cf7049352ff5c997af4398d3e6eb6c6f</t>
  </si>
  <si>
    <t>33e82cbfb1dc6a91f1c81ec133eece9c</t>
  </si>
  <si>
    <t>3c50d3547dc625ea0bf52d52556bc9d5</t>
  </si>
  <si>
    <t>2e38a846c244b8ba28475d5dfacc818e</t>
  </si>
  <si>
    <t>191ff51502593638e9a2b9e2ff617564</t>
  </si>
  <si>
    <t>c03e59651f0207d0de3a3d1475c88775</t>
  </si>
  <si>
    <t>244245c5752ee892219c02696b15cb72</t>
  </si>
  <si>
    <t>3d09ddd50a50045b88256f8e4ee93f86</t>
  </si>
  <si>
    <t>2e3bdea8878a6eec1d4ddb33cde7f9e3</t>
  </si>
  <si>
    <t>93e130c5ce82a2091e31c7c39ac409a8</t>
  </si>
  <si>
    <t>5f25900616c1f629f10e0c948b3faa74</t>
  </si>
  <si>
    <t>5fc3e1d6e8700832b753afbf99dd96fa</t>
  </si>
  <si>
    <t>eec95ad92c2cd68afc76f8c902272c98</t>
  </si>
  <si>
    <t>dc03238b7b58f94b06a4090dcd9a3920</t>
  </si>
  <si>
    <t>67b9767e0875ba2beed5984a10ff2fc5</t>
  </si>
  <si>
    <t>8a0562b6cb0081d577491dfc74a59ad4</t>
  </si>
  <si>
    <t>f449158f543a2e5717e136a396a88ffb</t>
  </si>
  <si>
    <t>f193476bcdbcb76ea96ac4ea505073c0</t>
  </si>
  <si>
    <t>d53ee03cf93907ebf0da5476b9a6d560</t>
  </si>
  <si>
    <t>f90aef207e6d4e5bdd5c6e67a29984a9</t>
  </si>
  <si>
    <t>10e460c94cd8a9727d589a7a337e2e96</t>
  </si>
  <si>
    <t>63d47c742a2b853b97743ee46fa439fd</t>
  </si>
  <si>
    <t>2174a79bbdbe984b15b67327e28ba3c8</t>
  </si>
  <si>
    <t>eeb96d683739b3fb82289e53ed480ccc</t>
  </si>
  <si>
    <t>a7500b4ad90747127c3d8899d190857a</t>
  </si>
  <si>
    <t>b09feeebe9cd367035d939268f4c492e</t>
  </si>
  <si>
    <t>606e534140ec5a949bd6081342ccb51c</t>
  </si>
  <si>
    <t>9c15e587a951f17d1c3f0ad81044a530</t>
  </si>
  <si>
    <t>7a010c28f580b895ca38b823171a4df5</t>
  </si>
  <si>
    <t>55350659b322f433ce07fc7d4e356365</t>
  </si>
  <si>
    <t>5b81d78a293cc6bf5eeac81e1898b43b</t>
  </si>
  <si>
    <t>90edea0ab8328193552cded78fa41c3b</t>
  </si>
  <si>
    <t>c71ff3b5f76b866c48469a10c2cee892</t>
  </si>
  <si>
    <t>21f9823c582a248427beb691c9f5a4ed</t>
  </si>
  <si>
    <t>079ebcc866c72a0b2ed765c5e9026157</t>
  </si>
  <si>
    <t>035716e36423b0629f6f90308788fcc0</t>
  </si>
  <si>
    <t>463d70bdd907040af49eb5ac6ebc020a</t>
  </si>
  <si>
    <t>12c52883a3f5b92960a5f79179f5cb3b</t>
  </si>
  <si>
    <t>fd77a30698d221deaee336e21a7db6d0</t>
  </si>
  <si>
    <t>1a2e08446160f926dd08617d3638f0a7</t>
  </si>
  <si>
    <t>c7ef58be9012a73e44e23c76843b9faa</t>
  </si>
  <si>
    <t>ee28bf50adac3a3d5bdc1c75fca43c29</t>
  </si>
  <si>
    <t>55f5aa338f2cff63ddfa0b2c00b17d06</t>
  </si>
  <si>
    <t>a83eaef828face0215fc593a5f8780be</t>
  </si>
  <si>
    <t>68e56c857fe5bc2991e3a0af07bd66a5</t>
  </si>
  <si>
    <t>888f400c02cda6e5e9b3c77ea31b05fa</t>
  </si>
  <si>
    <t>50defc51b436fdc29d6b630301f3a84e</t>
  </si>
  <si>
    <t>f2ab42e575b2fcd85797886ca1664c87</t>
  </si>
  <si>
    <t>3c18ecee3727fe699d83e093f47c8288</t>
  </si>
  <si>
    <t>f578c07f0c6ddeca1557e1517c489b21</t>
  </si>
  <si>
    <t>b9dd70952b3ec3ee54de47faadcc4769</t>
  </si>
  <si>
    <t>59f359a8c00025d195343d2ddc6fffad</t>
  </si>
  <si>
    <t>68e0176b35d1cb82b672ac0a9adf5da0</t>
  </si>
  <si>
    <t>da733ce91c3111ed8cc0c25699093730</t>
  </si>
  <si>
    <t>ac0bd5d4ee71d8fc8b9b488b03b2546e</t>
  </si>
  <si>
    <t>ffda566833a64c8102666f1473f585c3</t>
  </si>
  <si>
    <t>349f4a865fd1cd7357ef2e206ead4cd8</t>
  </si>
  <si>
    <t>aed8d8c1755643c14abf2cdb09bd30e0</t>
  </si>
  <si>
    <t>60c91f49dfe31cc1a24f47ef9775b4ca</t>
  </si>
  <si>
    <t>7c638a1f819277ba114f4c6b8446182c</t>
  </si>
  <si>
    <t>599aae3353e8febfd6d8ff3591581ae3</t>
  </si>
  <si>
    <t>64cbbdc013c722a1833b3b4806df2500</t>
  </si>
  <si>
    <t>417d3cc4a542f86ef27683e0e65bd0bb</t>
  </si>
  <si>
    <t>9a45653f4fa82103759eed0c72b433ca</t>
  </si>
  <si>
    <t>25f4b4cd9e7c8adccd36c8cab5c5c27b</t>
  </si>
  <si>
    <t>82c61f868a60620329aa7c60251e7456</t>
  </si>
  <si>
    <t>fbd8cfd07c8292d3af58de4cb929a956</t>
  </si>
  <si>
    <t>fe5b75fd3a981915250e9c9e70ed30bf</t>
  </si>
  <si>
    <t>8d80e70f4275d2446df05f0fb7fe92aa</t>
  </si>
  <si>
    <t>4f859c42454ce2eb5960d0a6ae197571</t>
  </si>
  <si>
    <t>f0ad87a386a12240d0121030776aad40</t>
  </si>
  <si>
    <t>4aec5d38a451490df59a1245cb687d1e</t>
  </si>
  <si>
    <t>bf0af82e123604706c217202595c13cd</t>
  </si>
  <si>
    <t>8729f95ae7207d21002dc96477798c0c</t>
  </si>
  <si>
    <t>af3eb02e6ed433f334ffa07d6623ac0d</t>
  </si>
  <si>
    <t>7aa5e790e0ea4aa6506773f88a27337e</t>
  </si>
  <si>
    <t>e504d425a9d29c11db393be96c9188f8</t>
  </si>
  <si>
    <t>4dff80b9f96e2f3f910a3a9ea29ac62a</t>
  </si>
  <si>
    <t>6fa9609f4952078d001b1f723475880d</t>
  </si>
  <si>
    <t>a4de5396b8ab7b1161750cad39bf8d76</t>
  </si>
  <si>
    <t>7db9e553d5581c12d909b2199ff4ffda</t>
  </si>
  <si>
    <t>b9efef4c673fb74a3bd31747e945e97f</t>
  </si>
  <si>
    <t>2cdd81164f79fd4004cf1f43fe998672</t>
  </si>
  <si>
    <t>a09b189624ea3e5c591d7b71952318e0</t>
  </si>
  <si>
    <t>451c01925b99c965b6a337a279e7fa78</t>
  </si>
  <si>
    <t>c850e550a9beef7f47456c465e53fa57</t>
  </si>
  <si>
    <t>8731be1d90822f71e6df4abd07da913a</t>
  </si>
  <si>
    <t>6738767086ab8ea1509f171e776e1f9d</t>
  </si>
  <si>
    <t>9c2c628de82773a04a0f23d3be779424</t>
  </si>
  <si>
    <t>b0f45e9c3d529bdd75caa1f5e50ba84c</t>
  </si>
  <si>
    <t>629017b20e082f165a1445a80cc72cf0</t>
  </si>
  <si>
    <t>06e74dc5b1112309aa3f5e9195805ab0</t>
  </si>
  <si>
    <t>d647e0b5e099c1a4a8cc1a61f80b7f68</t>
  </si>
  <si>
    <t>59419a11460dc8d1249ac0afd5b00279</t>
  </si>
  <si>
    <t>d732a03f0aa8862a5b7b580362053d76</t>
  </si>
  <si>
    <t>8dec8e784205e31477286610317428f8</t>
  </si>
  <si>
    <t>7f309c817daf3c88027266351c206053</t>
  </si>
  <si>
    <t>c76d8c19cf62152f67893844b87330cb</t>
  </si>
  <si>
    <t>8d455647850e376aef89759e7643dbc9</t>
  </si>
  <si>
    <t>cafa648e022e928a00fc96489a4e5c2a</t>
  </si>
  <si>
    <t>17d05e4cb3097d4082f89bbf4ed0b195</t>
  </si>
  <si>
    <t>5b561b1a815f53701686bcd69ff62497</t>
  </si>
  <si>
    <t>b15cb3dc32d0b719fc4c0ce02701e744</t>
  </si>
  <si>
    <t>a930bd6b419d36fe1ad5e8243994b03e</t>
  </si>
  <si>
    <t>d3092090c3ab3721c7d49c5a9fe2c60c</t>
  </si>
  <si>
    <t>ff816d1d430226000364c358086819f8</t>
  </si>
  <si>
    <t>62a3c4fc95cb1a1c166e6cb42f6f3305</t>
  </si>
  <si>
    <t>1d3d88443339d7e0847d02ca2222d211</t>
  </si>
  <si>
    <t>eb0d5e7cdcfc797a0e721852f067ac18</t>
  </si>
  <si>
    <t>4b69df60a6b0096da123df7abede9c9e</t>
  </si>
  <si>
    <t>84d571bee831dabd19d40c88c9f40361</t>
  </si>
  <si>
    <t>4224193451c3e6af55f4545267cd3f27</t>
  </si>
  <si>
    <t>8c9c3b0ceef63b1c378fd2fb057043e5</t>
  </si>
  <si>
    <t>471c51e4f96a963470dc8be068cdbe03</t>
  </si>
  <si>
    <t>fa86bc39027b17b0c05cf5136d22e542</t>
  </si>
  <si>
    <t>9c11e200aa52e6378dcb85b31d360b72</t>
  </si>
  <si>
    <t>7e874de1ff82fe71354e639295d02b43</t>
  </si>
  <si>
    <t>e4fa2734f20c7609149d4788f5e56b75</t>
  </si>
  <si>
    <t>f317e6c59642ff1177b4fb5578044a0e</t>
  </si>
  <si>
    <t>c19d989de21c395abde2e9ae93afafe8</t>
  </si>
  <si>
    <t>d29c344ce5e2a7ee6adcb91cbf20726e</t>
  </si>
  <si>
    <t>f9ec9952ae9210cd1691f39bad4e0107</t>
  </si>
  <si>
    <t>5fa0ea5becbc5214aca1144bb396602a</t>
  </si>
  <si>
    <t>dac03efb319aa922a4c1e4bfbcb04a49</t>
  </si>
  <si>
    <t>947999ae4e3471fa344461d809e09ad8</t>
  </si>
  <si>
    <t>a8d0879688515777e380538a14ae7ab4</t>
  </si>
  <si>
    <t>664cfbdd1f179f4895a0023987e4f4e5</t>
  </si>
  <si>
    <t>34dc3e0c7ecde1105ad7ebc27b1d1fd2</t>
  </si>
  <si>
    <t>10af699c2a883ca4fa5bc547ff88f871</t>
  </si>
  <si>
    <t>64c4fffcc9a1e6e3a6c4d7f52973479e</t>
  </si>
  <si>
    <t>ee6d63e8439bb3db49b36e75b5567bf2</t>
  </si>
  <si>
    <t>91fc8f2e7d38078d171f34022c078939</t>
  </si>
  <si>
    <t>22f3c28062a51fde58595c45eac651c6</t>
  </si>
  <si>
    <t>d13b9bcfbc71785f238826928c4d8b28</t>
  </si>
  <si>
    <t>8581a08a50ae77e181b59a2259bc49f3</t>
  </si>
  <si>
    <t>ebed6546541fb00a6ed317a6eff176e2</t>
  </si>
  <si>
    <t>1418462e6b0aba8ac8ff167968fe5498</t>
  </si>
  <si>
    <t>b19d118a127269d509317069ac57d7d3</t>
  </si>
  <si>
    <t>41d4a479a9ff98cfc7194bfa41fa176d</t>
  </si>
  <si>
    <t>df0d9c162189f3a25455ce461703c748</t>
  </si>
  <si>
    <t>74e615496d3c9a74beb8527e36f2f4f8</t>
  </si>
  <si>
    <t>484a75fc54175157183d40bdcb9427d9</t>
  </si>
  <si>
    <t>0018939da1819ad229dcfec09ca485a9</t>
  </si>
  <si>
    <t>c63eac16d8e463b04b0579a76b6453fc</t>
  </si>
  <si>
    <t>78e423f86af30e5fb4846081399d3a1a</t>
  </si>
  <si>
    <t>8189b38171e3dfa4781dddc563e3ca39</t>
  </si>
  <si>
    <t>9ed6948e4632ef350bbff363254103ea</t>
  </si>
  <si>
    <t>02e90a324a1d7d6d7e573007ffd0d2ea</t>
  </si>
  <si>
    <t>c37769cd655494f33d53c538aecfb857</t>
  </si>
  <si>
    <t>1a40dfb1408102ed103727b4e64cf0bc</t>
  </si>
  <si>
    <t>60d875d2da568c9eee7b0cdd5b1dd248</t>
  </si>
  <si>
    <t>e5677dffbf219f1fc83ec4bf534514c4</t>
  </si>
  <si>
    <t>e6159a7911bb9d464b67fda1d8f048ef</t>
  </si>
  <si>
    <t>088fba0f835affba9df09219f4b98aa9</t>
  </si>
  <si>
    <t>d084fe20e4dcffd0ea667b1ee25def92</t>
  </si>
  <si>
    <t>3729b994015a44fbd38caac6ef350917</t>
  </si>
  <si>
    <t>d7509be3f706177069eec3ee9520b72c</t>
  </si>
  <si>
    <t>4a5c9c299b3f64c543410dfc7ce63795</t>
  </si>
  <si>
    <t>8306cafd26b0f049d01be813e14b9565</t>
  </si>
  <si>
    <t>62b3e7831608255303065922552159bc</t>
  </si>
  <si>
    <t>2a99178c2aed79acd359076d39481281</t>
  </si>
  <si>
    <t>fb8fbcf9a1db1bbc727dc91c8c309611</t>
  </si>
  <si>
    <t>f3d13ce2af945108970954201f322add</t>
  </si>
  <si>
    <t>042b1a3e2f9a36378f1f22cb6bb7a5a5</t>
  </si>
  <si>
    <t>082eeef6d0b32eca2bf1359893a01f23</t>
  </si>
  <si>
    <t>310abea21fed88345a0ddce171e81a5e</t>
  </si>
  <si>
    <t>c8227c35c0fb394569605d5dc1995272</t>
  </si>
  <si>
    <t>4a5f8070a8af0f76ee47230c8709e96f</t>
  </si>
  <si>
    <t>67d70e399d57602f816bf9109639a93e</t>
  </si>
  <si>
    <t>01dcc63a854f7d5ea56105a9814f2357</t>
  </si>
  <si>
    <t>01c7249579e3092abb8b2c1f80edc68a</t>
  </si>
  <si>
    <t>2e8a3b51d5d066da632547ac60f664cb</t>
  </si>
  <si>
    <t>467c93d65abf8653dac289fdeac1077a</t>
  </si>
  <si>
    <t>57c88c775348709accccc50855bb00b1</t>
  </si>
  <si>
    <t>841b686af02130f59cabd8081ed75486</t>
  </si>
  <si>
    <t>05112ca9e8593eae3f34f5f78473727e</t>
  </si>
  <si>
    <t>b20ed834cd877463a5fbe4b344d83d34</t>
  </si>
  <si>
    <t>a863c48f635a66ee57fed4840aedaea9</t>
  </si>
  <si>
    <t>078b21b17477ca8a1855cc09525e1efd</t>
  </si>
  <si>
    <t>05f629fac2e8f25749ccfaef2601993a</t>
  </si>
  <si>
    <t>4eb0554de8d435fbcf53ae131c7c86af</t>
  </si>
  <si>
    <t>5528ed3d522d4b07d7d759593b84551a</t>
  </si>
  <si>
    <t>fdbb942c5fecf90c00578021386e9f94</t>
  </si>
  <si>
    <t>5a63d63ee47a077f58bc9f3d3df37e32</t>
  </si>
  <si>
    <t>12b02ce1d2254cb024025de2890fefbb</t>
  </si>
  <si>
    <t>ad2a0e0a88b7770163ea19102f69b24c</t>
  </si>
  <si>
    <t>5418de4b16a2f1db755c8e34e701eabe</t>
  </si>
  <si>
    <t>016703ef795ad1432caa7ef3b391f243</t>
  </si>
  <si>
    <t>620ba001e4ca9658ff2b456685cd6d78</t>
  </si>
  <si>
    <t>053fe34afb484449ddce1ec9512268fa</t>
  </si>
  <si>
    <t>9ef99870c0ecb9dff1ee18879f330d6b</t>
  </si>
  <si>
    <t>bf26f460c5765a883139514071011221</t>
  </si>
  <si>
    <t>ba6cd1cb4607f3ab550f5fce82fb7574</t>
  </si>
  <si>
    <t>5e591ce6b02ee8b212aaee0fe67b221b</t>
  </si>
  <si>
    <t>5201d5097f078f64b6276ef47082965b</t>
  </si>
  <si>
    <t>8ae752ab6afaff1229e9b03471b92237</t>
  </si>
  <si>
    <t>e9891dee65857840fc6152cd2768b2d2</t>
  </si>
  <si>
    <t>3d5e4fba99b4859c47aa437a5831829f</t>
  </si>
  <si>
    <t>5c1b339254947c8bcd91449695d1972c</t>
  </si>
  <si>
    <t>f77472f631129fd3ce7ff66e7566c808</t>
  </si>
  <si>
    <t>d462813d4eb2b12d1d51dc83daf54ad8</t>
  </si>
  <si>
    <t>df6c05618c1cb1cda28943e10656e2aa</t>
  </si>
  <si>
    <t>dff64c39b6a069c64eaa35ac5935c8fb</t>
  </si>
  <si>
    <t>116f5f42370f7869d57d68c818d5a280</t>
  </si>
  <si>
    <t>f9a5a38ed4111175d8f4b648ca507364</t>
  </si>
  <si>
    <t>f69e09a9f6638205f76516d0910be6d5</t>
  </si>
  <si>
    <t>223aafd6f351542932a2eb3aca79bf68</t>
  </si>
  <si>
    <t>93e7f8f68114d80138eccd785db872df</t>
  </si>
  <si>
    <t>b5d4d74c16c280668e8ce0adad7ce615</t>
  </si>
  <si>
    <t>170cbc04f42c068f237670d01a90d7f2</t>
  </si>
  <si>
    <t>2a76b2be367a9aa038ae786cdc1ad722</t>
  </si>
  <si>
    <t>f9fc52fc935adec8f6e040630c903580</t>
  </si>
  <si>
    <t>cd3e5df2582af47b42e866a983c00c55</t>
  </si>
  <si>
    <t>55cf5c0863ff767a75caac4c3bc2e184</t>
  </si>
  <si>
    <t>ff352315ae3b779c40b6649214f6079c</t>
  </si>
  <si>
    <t>20faa3e1cd52e8a0d2139f85f5eed7e9</t>
  </si>
  <si>
    <t>426e391d8ebbbfb787eb40bcf7b7be14</t>
  </si>
  <si>
    <t>f36bab9d4766377e65e70e52520f87cc</t>
  </si>
  <si>
    <t>bf8985530226def707eba7072645c064</t>
  </si>
  <si>
    <t>2c3c4ed115d43644658a5e7ef1e94ee3</t>
  </si>
  <si>
    <t>b3ed6d6620fed29be1dd55bb5e7ce5c4</t>
  </si>
  <si>
    <t>92b9e709a9589ac3080e69ef80be6ba0</t>
  </si>
  <si>
    <t>7c640efea6962176a5ee7f9b8ce3f1ff</t>
  </si>
  <si>
    <t>7c60cd405bdf909b316199a6f31fa79e</t>
  </si>
  <si>
    <t>4c4b6d8893ed3781b2e4cb9c4bcf9738</t>
  </si>
  <si>
    <t>4a97776000a20c9768d9bb7e0942844b</t>
  </si>
  <si>
    <t>f5451bf6974a684f7e27c64d31d228a8</t>
  </si>
  <si>
    <t>9f8a34b3c4a7887428bc6f1c8ff828d3</t>
  </si>
  <si>
    <t>1c44ddb0a389886e9746fe45e15ba620</t>
  </si>
  <si>
    <t>528d62ebe3881e73a2cc4b5945443403</t>
  </si>
  <si>
    <t>9eb03adafa0656babd788239ca7d5ecd</t>
  </si>
  <si>
    <t>48d1eb13bc71c1e9739238b16dcb64a8</t>
  </si>
  <si>
    <t>64102cb84462acdbeb97a80a838fb4af</t>
  </si>
  <si>
    <t>b3a863effd968802be1df86d17fc5107</t>
  </si>
  <si>
    <t>6726b3001db8951a70ed59e54b3d862c</t>
  </si>
  <si>
    <t>be0f8cb6498d8de4543c1b80f48477e7</t>
  </si>
  <si>
    <t>a46cde72ff42977fae70de08776eaf12</t>
  </si>
  <si>
    <t>a1a5ae3197da91c01f35d40140b2ac4c</t>
  </si>
  <si>
    <t>ee9ee4c80e0fe1f44c5611f1939aae89</t>
  </si>
  <si>
    <t>601b2521d9f881bfd3691dafc3d540b1</t>
  </si>
  <si>
    <t>85d4e27b17eeba4ea5977efa35e0d17a</t>
  </si>
  <si>
    <t>fe09e0a9ac00e88f61b36e7398b87e36</t>
  </si>
  <si>
    <t>0f33179b55a3b60c7ab5b3dcf81d73be</t>
  </si>
  <si>
    <t>52bd029987c39999d54859741d943607</t>
  </si>
  <si>
    <t>256a39ed8649ec16059691fbb5d82a4e</t>
  </si>
  <si>
    <t>1017402fd3ca72f5ae3fd282d9f0ed22</t>
  </si>
  <si>
    <t>84bb45fe61a98c907023ea83345945fb</t>
  </si>
  <si>
    <t>4c865a80fc773417afaeb1b4375c64ba</t>
  </si>
  <si>
    <t>c9d804636ef9a54bed9a9db167423a51</t>
  </si>
  <si>
    <t>b0f089d966368bf7cdc890446d40684a</t>
  </si>
  <si>
    <t>6153384f13e350e2b7137c9681702879</t>
  </si>
  <si>
    <t>1221e8a8a482af66a12839bbfd23c924</t>
  </si>
  <si>
    <t>982170aecaefcb82b89772614bd6c532</t>
  </si>
  <si>
    <t>57707c02e3696bb12472eb29f5f5e5cb</t>
  </si>
  <si>
    <t>3ab2a2748fe82ad2ad805ea77902903a</t>
  </si>
  <si>
    <t>1a531ce3791ee3f2cf3870df5b22a915</t>
  </si>
  <si>
    <t>00bef622d804fca1a63e8b6f58c9bc20</t>
  </si>
  <si>
    <t>a1b31a714087a87cdcf483605bdc3b9a</t>
  </si>
  <si>
    <t>b3e344563e5202d6e544f5530218cb5a</t>
  </si>
  <si>
    <t>230dc5aec0be3cbf0443b899d981e4d6</t>
  </si>
  <si>
    <t>87d7f89d2454125216c35930d4b13499</t>
  </si>
  <si>
    <t>be0dd033bdc1e8fd57522191e0282926</t>
  </si>
  <si>
    <t>25ad9ebfb3b66838690dbb2b6d5b59ee</t>
  </si>
  <si>
    <t>19445461d87f2495c6a3b66ce10a109c</t>
  </si>
  <si>
    <t>197a33e1a989ca215e7e101450ced6dc</t>
  </si>
  <si>
    <t>565bf9b0545b5152fd177435ad3534fe</t>
  </si>
  <si>
    <t>2bad810c38c69347569c19f984392611</t>
  </si>
  <si>
    <t>43863e44f6d8798612bf089f9e2aa5e1</t>
  </si>
  <si>
    <t>759a9f3ab06802080631cf9f21d16425</t>
  </si>
  <si>
    <t>bdafcc0978d5d4aff147632167637c15</t>
  </si>
  <si>
    <t>8e775559edfd291f6f11bf3ff3780033</t>
  </si>
  <si>
    <t>fe81d6fbfacb60144a92a63381f1e721</t>
  </si>
  <si>
    <t>9f6ff464d5aa547d23133c6ab7360d27</t>
  </si>
  <si>
    <t>bec0a6589ff2a0b437084cdd9b4fe9c9</t>
  </si>
  <si>
    <t>d01bc393e414dd9813412553b6ae1f0e</t>
  </si>
  <si>
    <t>85df77c47bca0f0d7334212fd427eb5c</t>
  </si>
  <si>
    <t>94dd1ffb0c5941ed2aec3775511fd7cc</t>
  </si>
  <si>
    <t>d3aa7ead7857d231d5cf118180e0478f</t>
  </si>
  <si>
    <t>45ce9efd693ba1a04cf03b5c0b706212</t>
  </si>
  <si>
    <t>641ddf94ca264dde81cc84acf067577f</t>
  </si>
  <si>
    <t>a8c6705100bf7ddd4f6c94b7614ca62a</t>
  </si>
  <si>
    <t>3789bb5569ca05c73d214e6b2ee5626e</t>
  </si>
  <si>
    <t>f835e71fa1ce162cf3f00c3917a6433a</t>
  </si>
  <si>
    <t>d403b8c4bbb59bbd4981d6ca1a304131</t>
  </si>
  <si>
    <t>0bf26acdd11807097fcac847dccb20e3</t>
  </si>
  <si>
    <t>875c377040f1a4629db7ec4a4a1908f4</t>
  </si>
  <si>
    <t>a335530ef1bb5e4edf1141898639f6b3</t>
  </si>
  <si>
    <t>39c676205a6e0dde08c058d16de03bc7</t>
  </si>
  <si>
    <t>9a5860b222b89013d7680c24dac30b80</t>
  </si>
  <si>
    <t>78dea5c8751572d9a16d2d869e845117</t>
  </si>
  <si>
    <t>578381d3a5f62634fcbb699e6c28e8d2</t>
  </si>
  <si>
    <t>9559531a652351eb23b271bb9a46af7f</t>
  </si>
  <si>
    <t>6257a42ecc41b40cdf2c3bdc050a3f7a</t>
  </si>
  <si>
    <t>0345524b68bba481b567d833acaa5df3</t>
  </si>
  <si>
    <t>eb30bfe3eb51de616db5def52298d1bb</t>
  </si>
  <si>
    <t>83c275c9a91013664f229977605dca9f</t>
  </si>
  <si>
    <t>f957177efee604d53ed7bccb4ba8f4bf</t>
  </si>
  <si>
    <t>e12102522bb42a594b7feafe3ef57e7c</t>
  </si>
  <si>
    <t>84b114417d070191ceb12098d41ff976</t>
  </si>
  <si>
    <t>5f31c6f254a7d0cb36d901921540600f</t>
  </si>
  <si>
    <t>9dcbb495b00408093719e06794ca85ef</t>
  </si>
  <si>
    <t>cc54a77448f590a5fff86dde08c6c64d</t>
  </si>
  <si>
    <t>497fca4306d98d43ce2dda9a3544c2d3</t>
  </si>
  <si>
    <t>a9207851a9c65f9d90dbd5c975275909</t>
  </si>
  <si>
    <t>d1b558774530b1419e85169e5a42dc1c</t>
  </si>
  <si>
    <t>fa9896e9ed364fceabfcaed2530134af</t>
  </si>
  <si>
    <t>8bf87a3186734ef546b023562449fb13</t>
  </si>
  <si>
    <t>cf00799ee5243411111b72de75d0151d</t>
  </si>
  <si>
    <t>86b049abed0cee6b78b604e33f83d42a</t>
  </si>
  <si>
    <t>017ac4eeae31cab607ce3c54135b242a</t>
  </si>
  <si>
    <t>b7294c18d466ad93781b0fc68e6874be</t>
  </si>
  <si>
    <t>d7210e41028c63447360a88231474aa3</t>
  </si>
  <si>
    <t>755580391868cbdab665e72baeb31c46</t>
  </si>
  <si>
    <t>803b4d22085d9ba87e2ceeca47ad70b9</t>
  </si>
  <si>
    <t>9024a375b5a0dcdb124427e9f18fa534</t>
  </si>
  <si>
    <t>c0ab1c29d340d1cc9d7cc0fd9b1ffeb7</t>
  </si>
  <si>
    <t>64568e4fea37f8984840acdb4103e226</t>
  </si>
  <si>
    <t>62d0f267f7a4be6ae9266ea4e1099068</t>
  </si>
  <si>
    <t>ee9d3ac5ae600006efaaf9e4907751ed</t>
  </si>
  <si>
    <t>2f0021c160472c06e4713b513d1b8f05</t>
  </si>
  <si>
    <t>b143be8c7c3f6462b57ea6b4eeadd2cc</t>
  </si>
  <si>
    <t>65c5afc8dd23dfc450067bb0857faa74</t>
  </si>
  <si>
    <t>0f31c92404a70f536e8ab76c43338a7a</t>
  </si>
  <si>
    <t>5c40e7e8d1d1b24b27500774e9960600</t>
  </si>
  <si>
    <t>e531c7b1cfe0adadae91322427b1fe72</t>
  </si>
  <si>
    <t>214d5ea6d042fec62141c8e9fd332736</t>
  </si>
  <si>
    <t>f5344f8f9f532d7d9398e1a421f6a101</t>
  </si>
  <si>
    <t>544f06182b6741114ab00bc035e17942</t>
  </si>
  <si>
    <t>95bf43c53d1c74f7879308fbc928c069</t>
  </si>
  <si>
    <t>3fe4fb12e9f6d0d79ee6f9a6f2d2c0de</t>
  </si>
  <si>
    <t>656f316e19c1ccaf3f90d5484a739cc3</t>
  </si>
  <si>
    <t>90beecb1ddedddee63f665404c717ebc</t>
  </si>
  <si>
    <t>6a82532f154b3beff5f76af21c91e670</t>
  </si>
  <si>
    <t>5f97203e8a57368c7985030d8d4896f0</t>
  </si>
  <si>
    <t>c186d9160d9257068365298f70d1fd59</t>
  </si>
  <si>
    <t>1beb5d7e87679f9bec00686bb1f58735</t>
  </si>
  <si>
    <t>e97b08263280a67207ef4bacbd3e90fc</t>
  </si>
  <si>
    <t>18eba8e1f25b38e06268f2bfc6df39ac</t>
  </si>
  <si>
    <t>80fc8d12bd4bdc900bc886a40edd37b8</t>
  </si>
  <si>
    <t>024cd1cd5b6f77f3e5aa1bf4ba9b7345</t>
  </si>
  <si>
    <t>cb30a2352b47e43bad74e021cc9c7253</t>
  </si>
  <si>
    <t>b79741f991beacd0be7da9e0c996ecb6</t>
  </si>
  <si>
    <t>a2de7c1de2ded8f9e3e2460f3a9bb464</t>
  </si>
  <si>
    <t>b02c780b9991358e9d3e72862d2d64c6</t>
  </si>
  <si>
    <t>616a820d56a2e8f47d8c69c4ab40a967</t>
  </si>
  <si>
    <t>84d13b989604de6509ba000ee7f070f3</t>
  </si>
  <si>
    <t>54209f152e968fb425e06ec18ef46a9a</t>
  </si>
  <si>
    <t>322b7658ba0935bb8bfe5493b948d5be</t>
  </si>
  <si>
    <t>e086a00729e737e0bcf6cecd317a1b0e</t>
  </si>
  <si>
    <t>53241691d50ba15d6ae56a0cce7b69b0</t>
  </si>
  <si>
    <t>78564c43c8cd0b63d06eeffff040bb21</t>
  </si>
  <si>
    <t>d4ca60c17b3533d53b49a07b69685472</t>
  </si>
  <si>
    <t>041c561617ae60b4a2570405c7ade34a</t>
  </si>
  <si>
    <t>febd3cb20066800872c189aa93ad03b8</t>
  </si>
  <si>
    <t>a9c25603ec476cc87ce1dcac696a44b5</t>
  </si>
  <si>
    <t>e95b4fbc7c6c748fce0881b25021ca9f</t>
  </si>
  <si>
    <t>5609610e8cde2b0c6006898a22a57e19</t>
  </si>
  <si>
    <t>baf73faa60ba6cacf59d7dfab236ecff</t>
  </si>
  <si>
    <t>13ed29b9aa5a0c80c3d57fa7a2676295</t>
  </si>
  <si>
    <t>0fbb54d88e247f6e61e185a12116b3a6</t>
  </si>
  <si>
    <t>5af48087e87d8d877813fe0b690216e9</t>
  </si>
  <si>
    <t>f374ab794f106fb98c4b16f51c614ff8</t>
  </si>
  <si>
    <t>b28803a1fa07a1fcaf6a035b9f921a09</t>
  </si>
  <si>
    <t>595052340de43b7f125b43f5741379c1</t>
  </si>
  <si>
    <t>72673d2c1aa4ebec31a2dc72ed706437</t>
  </si>
  <si>
    <t>407a5a5a9925768080009c54cb4fb796</t>
  </si>
  <si>
    <t>2fc61ce20d0ffc04780129b2d2e0b057</t>
  </si>
  <si>
    <t>3e44fe6cc9e47a957db0d43ad0c9ff7f</t>
  </si>
  <si>
    <t>3a61cfc9810e1b7ff53450a65c12972c</t>
  </si>
  <si>
    <t>396dc08b56b72781551142630e662ead</t>
  </si>
  <si>
    <t>be9065242431d942e3bd4229ca1237f3</t>
  </si>
  <si>
    <t>b3926b22ab2ddf323be1a9b8ce96352f</t>
  </si>
  <si>
    <t>59973062cc75a23069dbf92db52ca4f1</t>
  </si>
  <si>
    <t>4168e117a15625c914093fb1cdfea703</t>
  </si>
  <si>
    <t>16fce6bdbf2bdb7587d0be6c98504841</t>
  </si>
  <si>
    <t>31710812eb38e59e012cb9320bd4a73a</t>
  </si>
  <si>
    <t>62dce6b4349f064cc590955a2becf42c</t>
  </si>
  <si>
    <t>0b8aa322ad5f144c7a12116d600da189</t>
  </si>
  <si>
    <t>4ad029c94a62a1c49bfb82968956e670</t>
  </si>
  <si>
    <t>b853492c2535a408ad0d60867417b2bb</t>
  </si>
  <si>
    <t>5ffe1f4f30d5b85921c685f99ce7f2c0</t>
  </si>
  <si>
    <t>36aa53a4c531e2099d077b21ef330527</t>
  </si>
  <si>
    <t>e27d89faa8b2e9e2865b6ce268eb25ba</t>
  </si>
  <si>
    <t>c72fee3112a6256a048c6d0ba6e92e4d</t>
  </si>
  <si>
    <t>106f7231536812227ce5e64db20073dd</t>
  </si>
  <si>
    <t>b08d339d4b311b541aefdc5c22453b22</t>
  </si>
  <si>
    <t>ca352de6721d36899386b6f24327ad82</t>
  </si>
  <si>
    <t>ebb3d067ffb7e43b3a0c871a30392e61</t>
  </si>
  <si>
    <t>3dbe94305c7cc7b75142e5fc990c17a7</t>
  </si>
  <si>
    <t>e488e875b4c9603352b84eb2d2c5406f</t>
  </si>
  <si>
    <t>f8f193cb87d9d0c10542636dd3dfd97e</t>
  </si>
  <si>
    <t>f6f1bf0fd867f7763b3818de87a2e5d9</t>
  </si>
  <si>
    <t>630ac15cd3f3447727b2dad14514d5ea</t>
  </si>
  <si>
    <t>5446fc8357e364310a5f10ad3c2b2608</t>
  </si>
  <si>
    <t>cfa0be2efe7010549709b2dfa742ff55</t>
  </si>
  <si>
    <t>2244ab01f4afbbf9d7a46d32f6303141</t>
  </si>
  <si>
    <t>b5e8a8581b195ecd038f487663475d74</t>
  </si>
  <si>
    <t>9e23fa1a2258a1e4a260be378abafe12</t>
  </si>
  <si>
    <t>681d41b30777c4bb065d9d78e98fede7</t>
  </si>
  <si>
    <t>95657853e471c76ac3320ef0e2b0baed</t>
  </si>
  <si>
    <t>590a50c8829bbf338dfdd65f28c408fe</t>
  </si>
  <si>
    <t>bc62ee17c1e32fbe25e49fd89919e407</t>
  </si>
  <si>
    <t>8103f5c4b60769ed57bcaaf62b5a1813</t>
  </si>
  <si>
    <t>32b24e89c2e3bbfbd031d3e99451ce4a</t>
  </si>
  <si>
    <t>76639a3b89bbc306e1fb8edce77556f3</t>
  </si>
  <si>
    <t>b88bb1cfe5876b81647b92ba4a5dd210</t>
  </si>
  <si>
    <t>70d00d437b4b67580438363e254a49b4</t>
  </si>
  <si>
    <t>836dbe8d699a16e0c01700aa07da700c</t>
  </si>
  <si>
    <t>1ee8cca07ab08b7d5f5fbf97124cac6f</t>
  </si>
  <si>
    <t>1c22834e8f971280e3b82761a1c7bc88</t>
  </si>
  <si>
    <t>e3687d486681a8b7d893ecd7f5f3fdd7</t>
  </si>
  <si>
    <t>d1ff26fee480782ed0457fc71620335b</t>
  </si>
  <si>
    <t>ef625c8aad20cf36b50a5dc4add840de</t>
  </si>
  <si>
    <t>77a43d7625013ec6240e024987701ed6</t>
  </si>
  <si>
    <t>9bfa0eea4c32461a5a4be12dd2aacd51</t>
  </si>
  <si>
    <t>4dab05f864facabb6daba318b119a95e</t>
  </si>
  <si>
    <t>2ca23101c424b335d816d286a257b28b</t>
  </si>
  <si>
    <t>01b1b8298529eb28bae54b25da54add7</t>
  </si>
  <si>
    <t>938af4d5160ef7bfc73d149c86f8fc19</t>
  </si>
  <si>
    <t>5df35e40eaf5f97e21c00b98c26f014c</t>
  </si>
  <si>
    <t>2ea5b7dd783d6af8688d3121b34e8aa2</t>
  </si>
  <si>
    <t>b4c2518c015a4dad41ce2b88e55c8c54</t>
  </si>
  <si>
    <t>34848c29f5513338d85e50c5b38f2294</t>
  </si>
  <si>
    <t>8a90d1349f60bdcfce2a336bf1be2c73</t>
  </si>
  <si>
    <t>d2fc64aaef9f4eae6f152a190c267742</t>
  </si>
  <si>
    <t>75889903c7f5eb8090b91254930c6919</t>
  </si>
  <si>
    <t>adb420c7c26f570d312f84cfa0021141</t>
  </si>
  <si>
    <t>601f0e3858088132150e63dfc7918d92</t>
  </si>
  <si>
    <t>0540dbfe74810b81ba89ceba53e2e1db</t>
  </si>
  <si>
    <t>6c8f75103aa6c3e9731261cca6f5746f</t>
  </si>
  <si>
    <t>ae03b02698e8106ee04ec3c9b00bad21</t>
  </si>
  <si>
    <t>0d8ed503d3dc3450ab2efa407c9b4275</t>
  </si>
  <si>
    <t>100ebc1658cf9d9d38b2f34fee1318ad</t>
  </si>
  <si>
    <t>3e9a5457809e98fdcbc936d560a891ac</t>
  </si>
  <si>
    <t>feda591ea4b855d38a2ff7057df52c29</t>
  </si>
  <si>
    <t>db982cb9ef3628b3776c6c10f5975a30</t>
  </si>
  <si>
    <t>62bf35adb6732a7773f4c3f066d90795</t>
  </si>
  <si>
    <t>d9dbedc8646327ab57b80588529defb0</t>
  </si>
  <si>
    <t>4baad8bf0fa60d4aebfef988d41907de</t>
  </si>
  <si>
    <t>c88275a7b5ce12b9e3ce88ee9d193967</t>
  </si>
  <si>
    <t>ffbf68c9cad722324073457236756a7e</t>
  </si>
  <si>
    <t>3a6086c6d219bf46fbde18a3df26e26e</t>
  </si>
  <si>
    <t>d740e76bd51edc55ebc78b5e4825fc7f</t>
  </si>
  <si>
    <t>12c88fd3dd1d3a2f8e8fa7af8d99795e</t>
  </si>
  <si>
    <t>2e2776349aa238e1a42df4bf3794a3e5</t>
  </si>
  <si>
    <t>b0a5d82987d1c19d8d65ac625231e890</t>
  </si>
  <si>
    <t>afc66bea15a71add3e53fe66004d1261</t>
  </si>
  <si>
    <t>2820330063926a0891476c17044ac0ed</t>
  </si>
  <si>
    <t>349a5eeac86ee1cb907517d17e0ad8fd</t>
  </si>
  <si>
    <t>8dad06093cda07dc94f7411c7c9b4239</t>
  </si>
  <si>
    <t>b24337ed3b16148a7323d5ffb3a15f4d</t>
  </si>
  <si>
    <t>21fe559a2f9bcf70d459a1be086c1be3</t>
  </si>
  <si>
    <t>b59996e10b940763910a182f279babba</t>
  </si>
  <si>
    <t>332bc4a2cc57428f4cdda0ddf68f82d3</t>
  </si>
  <si>
    <t>15cbb396ce8edbef6804669ec73d860a</t>
  </si>
  <si>
    <t>94b115673c02ad09f1bfd26f21ff4805</t>
  </si>
  <si>
    <t>bb6e56f9aafda5ceba8a2989ddd899aa</t>
  </si>
  <si>
    <t>8148ce26ec84b97a31101f72cf5ea163</t>
  </si>
  <si>
    <t>b3165ac85b230346d383a1e88b897a81</t>
  </si>
  <si>
    <t>bc68c170f51a6cd6099164ecd88c1ac2</t>
  </si>
  <si>
    <t>df909261a6742f21c5b0e5e68ae70d69</t>
  </si>
  <si>
    <t>09595fcae8c4e4e628eda5bf9639933d</t>
  </si>
  <si>
    <t>cfc04d8d1fb47fd296aa1b0a45c95d34</t>
  </si>
  <si>
    <t>0d028a55fab44c02bd152fd5a9cd8541</t>
  </si>
  <si>
    <t>4a0deba4a5ad38ce813777ee2a8d03b4</t>
  </si>
  <si>
    <t>bdf35ea696ff775068c096df7bde7eb7</t>
  </si>
  <si>
    <t>67ba97bedda96286684a73f0a3f640a9</t>
  </si>
  <si>
    <t>976ca701f8e670b2a26ad396653b4621</t>
  </si>
  <si>
    <t>1b9fef711be4071110bcf322b16541b1</t>
  </si>
  <si>
    <t>3c1342026f4855d8d97dbdbd6145098d</t>
  </si>
  <si>
    <t>e1cf162ab72631d4ee4fb723d3d53238</t>
  </si>
  <si>
    <t>6dda01482f7576ef73584744a3f05d30</t>
  </si>
  <si>
    <t>12e4563f6a5c467f37063a5025728d30</t>
  </si>
  <si>
    <t>3d43a2159dd53bdd49c16b47260ac762</t>
  </si>
  <si>
    <t>5d3cfa95af5902428626069298a89c00</t>
  </si>
  <si>
    <t>8f4c2b89fece4f9ab5300891f5b3c5a7</t>
  </si>
  <si>
    <t>e8e70bf052eda5ada58f21587ffd83c4</t>
  </si>
  <si>
    <t>af41692837b1889f07923082d2c1c810</t>
  </si>
  <si>
    <t>e0e9d9c6d86409bf1df63921413df73b</t>
  </si>
  <si>
    <t>159f171d211f643d85538d2eedda0844</t>
  </si>
  <si>
    <t>492ab4d604ca91f69454a5d31acb74db</t>
  </si>
  <si>
    <t>973a5bc5ae399245f3e1a6603b7d6d04</t>
  </si>
  <si>
    <t>d44ace75ee10f368a13380895050e3de</t>
  </si>
  <si>
    <t>adb18d728f3c42967c51b6dad7493551</t>
  </si>
  <si>
    <t>87a1ebc7dc09b6fd7cae48f2b7da9a9d</t>
  </si>
  <si>
    <t>e56520935ee176a48fc3afa07d436b9e</t>
  </si>
  <si>
    <t>1cd9764e794cc6f479f5335268f3183e</t>
  </si>
  <si>
    <t>bdbe67c73f2edc90bc06431ee03e46b8</t>
  </si>
  <si>
    <t>8c271c3f15b26d6b5640d07dc848cae8</t>
  </si>
  <si>
    <t>fffd14ccb15f24e037f0539670c19e3f</t>
  </si>
  <si>
    <t>0e29b802ea53489f09a77bbde5218bf6</t>
  </si>
  <si>
    <t>e59b75ea70c97e67f07ab3e8825860ab</t>
  </si>
  <si>
    <t>ecccdb58fdf0a51f2e3eeea14063bb22</t>
  </si>
  <si>
    <t>7a68e341a1d065da281bdb0e56210cd5</t>
  </si>
  <si>
    <t>77ded427cec1886756083d9205528827</t>
  </si>
  <si>
    <t>69d8cc0837474086faf40ffba9c8bd9f</t>
  </si>
  <si>
    <t>b6fee8a0cb4f2630c2cd5da9eccb6d41</t>
  </si>
  <si>
    <t>c4a7231cdc71ca446a99433530127978</t>
  </si>
  <si>
    <t>3df18f67d8bf73856293f0fd3fb4cf0f</t>
  </si>
  <si>
    <t>20a8c0d6cfecfb5a7031f95761c4c691</t>
  </si>
  <si>
    <t>a004cf84176e2760b8ffb1ac086693d7</t>
  </si>
  <si>
    <t>359e7047a6ce40e9c311091e0925e945</t>
  </si>
  <si>
    <t>71a55762f7c5564bbba510411487e958</t>
  </si>
  <si>
    <t>d41e78868f938beb15826c02c9796e1b</t>
  </si>
  <si>
    <t>4757a8c5bda456a9aada11f08e7d60d5</t>
  </si>
  <si>
    <t>678555e00540cb11d20455206bc2386b</t>
  </si>
  <si>
    <t>6267c06e11e94e7efc9e1dfe0e772261</t>
  </si>
  <si>
    <t>18af37006b70e7b2471045a471f63e7e</t>
  </si>
  <si>
    <t>5db419fd8a2cca67515c689cf7cb7850</t>
  </si>
  <si>
    <t>dfd998615089e5fa73f876bcf1ab2121</t>
  </si>
  <si>
    <t>059bb7a870d6fb283ca13eb146d4fa9a</t>
  </si>
  <si>
    <t>ab4d6080b134a55c8551954bfcac7179</t>
  </si>
  <si>
    <t>bf8d8be335ee048bdd518669c4cac379</t>
  </si>
  <si>
    <t>99328809d057b8e63c43e0edb27ddcde</t>
  </si>
  <si>
    <t>9f90ae55c8221f24f7ee22479b9a3744</t>
  </si>
  <si>
    <t>09d5e246e402b1889a57004d635b1ba1</t>
  </si>
  <si>
    <t>5cb2e565f81272ecf09c881ca4fe1891</t>
  </si>
  <si>
    <t>f85b59d6f5f9c43ac06c46a680931f00</t>
  </si>
  <si>
    <t>487be8f7ed0a18ade3a970df5343df75</t>
  </si>
  <si>
    <t>ed968a27592a3ad9118a35e09e40fbf4</t>
  </si>
  <si>
    <t>8616c81db095b6ff8373750ab04e5252</t>
  </si>
  <si>
    <t>29ae3ad3fa446e9e161d612c60546e11</t>
  </si>
  <si>
    <t>2229c5fd35041ab5f2999ca5ff2437e3</t>
  </si>
  <si>
    <t>fcd575b67b4037f878f0b1b1c995dc22</t>
  </si>
  <si>
    <t>b42983e7bab6a4f4b7aab4b43c650be9</t>
  </si>
  <si>
    <t>0858f26b398d4520c775627b1a97d2e4</t>
  </si>
  <si>
    <t>a3440ac91e9ef7a5707d2afd2ce18041</t>
  </si>
  <si>
    <t>4047293c94248534a92718936680991d</t>
  </si>
  <si>
    <t>6c1aba2df7be3b22af4c12cd64edf816</t>
  </si>
  <si>
    <t>ab35d05059ba4da26a2749a9111c1aa0</t>
  </si>
  <si>
    <t>798196eca5658614656b6a09caeb77ac</t>
  </si>
  <si>
    <t>f0e2a395cdc36ab616126e636a00de18</t>
  </si>
  <si>
    <t>ca48ccbe4567ce1c27b3f827c47cac6e</t>
  </si>
  <si>
    <t>5a8ba4840b3e7e1d9243449086c6778f</t>
  </si>
  <si>
    <t>fafdedc0fcad115352fe14342304c3a3</t>
  </si>
  <si>
    <t>4f6674715a23e6bf7e2304f59e0ae125</t>
  </si>
  <si>
    <t>1e823498cc2c8e9ed4697f0ed1ae85c1</t>
  </si>
  <si>
    <t>39b693a781e4a4aac8390922a1157994</t>
  </si>
  <si>
    <t>ffc988f6f0d73df36526cca19e05fddd</t>
  </si>
  <si>
    <t>58ee33de1ac4997ad8cedb791014b867</t>
  </si>
  <si>
    <t>0dc574755b0061fc3975c5f46542d728</t>
  </si>
  <si>
    <t>c9acc2be0fdb33333596cc3fa6474cc4</t>
  </si>
  <si>
    <t>c3fdff1f05553b0ed14e4dff422a11b2</t>
  </si>
  <si>
    <t>98c771b3263760097f172857b45ba76e</t>
  </si>
  <si>
    <t>ea1a77753440a2a0d693d86b0b93625c</t>
  </si>
  <si>
    <t>c15cd13007c9c120aee4b715ad92bc5a</t>
  </si>
  <si>
    <t>f5cb5a43973a58f4994c518d375aff8a</t>
  </si>
  <si>
    <t>8149fe3ef421d9ebac915ac4e9fad051</t>
  </si>
  <si>
    <t>f034e53fdabada8a3b557d1e49d46e15</t>
  </si>
  <si>
    <t>91ca14fd704f14dab3dc9c95336079da</t>
  </si>
  <si>
    <t>3947dd189bf659dfada0c6577185af65</t>
  </si>
  <si>
    <t>94e3405a028b02deadbfa5c8e80cffee</t>
  </si>
  <si>
    <t>3ec1b29b21cd3514af683c35e6ee717f</t>
  </si>
  <si>
    <t>563ab778c8e482ad4e2c17da62c89c11</t>
  </si>
  <si>
    <t>70c806ecd738784d3068f2af9864ab65</t>
  </si>
  <si>
    <t>cf4792b2627f5c7701ff4d615fa65ed4</t>
  </si>
  <si>
    <t>bf37897816e3bfaa9be90457711fd1c6</t>
  </si>
  <si>
    <t>7954ca3f171eeb3e1f0b6e7bd2c7ff50</t>
  </si>
  <si>
    <t>e5682583fa21af252bf822fce8308515</t>
  </si>
  <si>
    <t>601c2eea1e62ce06a7e430ad653341eb</t>
  </si>
  <si>
    <t>37045bfefcae9445d2d4c4283e91a158</t>
  </si>
  <si>
    <t>0a487a887340d0056a9f8b3cf3aa3a2c</t>
  </si>
  <si>
    <t>4222435b3ad19e8b3cc3b140dbfc8257</t>
  </si>
  <si>
    <t>532b1fd0fefa4d05add489f085cb6c19</t>
  </si>
  <si>
    <t>d5982d708151297974688181ac5d1b00</t>
  </si>
  <si>
    <t>1bd9edf3b2d6be818f0c98275b408a19</t>
  </si>
  <si>
    <t>f9f113bb6cd257edf58346411760f233</t>
  </si>
  <si>
    <t>297af6771773a09d9fefe723ed651821</t>
  </si>
  <si>
    <t>110fd718daefd87896415d82c5cd8551</t>
  </si>
  <si>
    <t>bf9fd059ef34128d61d328e605722c58</t>
  </si>
  <si>
    <t>74129c1ccaff48319d296fa647329bac</t>
  </si>
  <si>
    <t>d6a90b49069d141b6bd68a0a172b3915</t>
  </si>
  <si>
    <t>dbe76c4cc8625540f50d61a2b7173ae3</t>
  </si>
  <si>
    <t>dad188eb65efe0f3b8367a3e7b4eb206</t>
  </si>
  <si>
    <t>0813a47fd0c9fb9116e3923662ac3b70</t>
  </si>
  <si>
    <t>b03f6de12fa9871b7f2e46ab32c801b6</t>
  </si>
  <si>
    <t>fdddd249c314fc8e55ea42c014c941ae</t>
  </si>
  <si>
    <t>825d6eafef961a04d405f5e96bfebc5e</t>
  </si>
  <si>
    <t>935f9b3b8d080b8a005d469e07fecfae</t>
  </si>
  <si>
    <t>09e1b9e51ccc80d77419b86704a4773d</t>
  </si>
  <si>
    <t>d58f6fdaa86fd19f5dae5b2c5a39e295</t>
  </si>
  <si>
    <t>02e09aa17a0f7dc7b1fb85a8bef8f7ab</t>
  </si>
  <si>
    <t>97a21741e4f27d40f739473568736c30</t>
  </si>
  <si>
    <t>e8a8d27988dbead4c6689dc612143295</t>
  </si>
  <si>
    <t>91218fd095dbd4322053f08d4b3f8648</t>
  </si>
  <si>
    <t>a0b794378d8a74dd47d711a045caccce</t>
  </si>
  <si>
    <t>f0fbe79c4388fa1b24a79f4fe7b2a67f</t>
  </si>
  <si>
    <t>b8118d48c8b77ad28df8f8c9873c539c</t>
  </si>
  <si>
    <t>5dc267db55526be704d474ed6f193a69</t>
  </si>
  <si>
    <t>419aaeec63dfcaf187c6e542b6bb36c6</t>
  </si>
  <si>
    <t>abfec653682e427954e02675a7c21253</t>
  </si>
  <si>
    <t>367c63582a3ad30b4563a91859e83519</t>
  </si>
  <si>
    <t>e7d119c2ff7648104adf9ace52580b3c</t>
  </si>
  <si>
    <t>ffd1ac36e2674e85b5dfe5383ef1adfd</t>
  </si>
  <si>
    <t>6b9908d716cb89f3109c774eec40ebb8</t>
  </si>
  <si>
    <t>4896791c3bac01828d281d7d563c4caa</t>
  </si>
  <si>
    <t>dac4903f25bb59067a0aaf33c60dc8f6</t>
  </si>
  <si>
    <t>6f1740f2981146d3ddd08187f8dd3966</t>
  </si>
  <si>
    <t>8f9fd947ae2c6ed8140b2c9570ff1c77</t>
  </si>
  <si>
    <t>a53dbe1021ad4e70d9fd95ee64c255b8</t>
  </si>
  <si>
    <t>9efff9fcc54b7e5d71c78263a2018cf9</t>
  </si>
  <si>
    <t>4db5e7bcd84a01cc67229b6cf2fd0dc3</t>
  </si>
  <si>
    <t>a9519923c430820061ce19d8419d0ae2</t>
  </si>
  <si>
    <t>bedbb43de047eac5819000112eeb5bbc</t>
  </si>
  <si>
    <t>38177456f2bc82c4cdf1ff4c3635bfdd</t>
  </si>
  <si>
    <t>85c4b9984d9cce58fd4a4af796effb89</t>
  </si>
  <si>
    <t>aebf62d99065ffeaf9f54efa734ee35c</t>
  </si>
  <si>
    <t>0c9d8170ad6465ce0d710e2843d17d26</t>
  </si>
  <si>
    <t>4b98df39dd510f3a139d587691a0ca59</t>
  </si>
  <si>
    <t>c4bcd72e30863be886c1694b90ce5522</t>
  </si>
  <si>
    <t>ecb1b6fff07cbf2423d55dcd7cf8b184</t>
  </si>
  <si>
    <t>e00fec9eddc567275450754a00a22306</t>
  </si>
  <si>
    <t>cc2ab0e1118b9c0ab65db194c49183b1</t>
  </si>
  <si>
    <t>f250183882b03430b9c08e877a611967</t>
  </si>
  <si>
    <t>022b1426759a45d1726ef13655151d34</t>
  </si>
  <si>
    <t>e46d50dc4fe3d6e4250cedca2b9bf4b6</t>
  </si>
  <si>
    <t>60c6fb4489f2ea1e16c5b562b0995135</t>
  </si>
  <si>
    <t>c45c88cd9bd9e9fdb60eeef44c9b21ac</t>
  </si>
  <si>
    <t>08b4a0191ac375b2b082c8d8b8da0b1f</t>
  </si>
  <si>
    <t>fadf0d98ffba20dc96aacf6c8a0f1f02</t>
  </si>
  <si>
    <t>d7e99447ffab65b43144b78af4daee5f</t>
  </si>
  <si>
    <t>080463f8ff8e225a17c14f29562ed1ec</t>
  </si>
  <si>
    <t>595d7d5a85cce83ec1c8126ad6193079</t>
  </si>
  <si>
    <t>ba5d484dd53c46dcafec10a3e49e149f</t>
  </si>
  <si>
    <t>b5620e1a59cac63ff88eb17fba469453</t>
  </si>
  <si>
    <t>7a958cbab98151ce7e5677fe82553003</t>
  </si>
  <si>
    <t>d2edfe3ebee71d9f9d95f049b16553d5</t>
  </si>
  <si>
    <t>f7dacb764348fda1e8e57e9b15e35370</t>
  </si>
  <si>
    <t>7bf2d4642b5ce5623ade4841f4b42b95</t>
  </si>
  <si>
    <t>922f47e77ce40b3b6d7a7fba8c73d8f3</t>
  </si>
  <si>
    <t>331e44a097e5ebc568cf24eb766ef523</t>
  </si>
  <si>
    <t>680215bb9c8430566313b5cf33b31cd2</t>
  </si>
  <si>
    <t>ca9bdbf47813d133322839b26a9846a5</t>
  </si>
  <si>
    <t>bf0ed3168d3c8698a0dda9dfdf482732</t>
  </si>
  <si>
    <t>7c4048e6241efc9a1b3982480007a27d</t>
  </si>
  <si>
    <t>acf5f90270076314a948431890837f11</t>
  </si>
  <si>
    <t>8bb6483767d7f75083ec758ec5340a65</t>
  </si>
  <si>
    <t>15489b97e811a71930a06b132139396b</t>
  </si>
  <si>
    <t>4274b8928722d62afb825e289d40c935</t>
  </si>
  <si>
    <t>90da7f5ee43f60815d58b03faa36652b</t>
  </si>
  <si>
    <t>ec424beb5f6c07fa0ef05a3088546321</t>
  </si>
  <si>
    <t>8ace2d51389907ea537749e866bcfcea</t>
  </si>
  <si>
    <t>6ecc232c03b246780ea4cd78c55f0771</t>
  </si>
  <si>
    <t>826aaad6c4820c55f3dc49743c9a3de2</t>
  </si>
  <si>
    <t>cf7057cfb1c3f6fdd43e5ea873230975</t>
  </si>
  <si>
    <t>23da1b5f83392a8d90819300b17c3b14</t>
  </si>
  <si>
    <t>42f29303f7bbf07f30444a70031ef808</t>
  </si>
  <si>
    <t>169f55fd511e290c6bead3195f005607</t>
  </si>
  <si>
    <t>1824c5a38facff7c0bae9218758222e5</t>
  </si>
  <si>
    <t>2a05e236f3aa85e33a25111782d20192</t>
  </si>
  <si>
    <t>9d8de7cb9e3077b1bc0ef20ec98f98e4</t>
  </si>
  <si>
    <t>20ec431f6a8502b1a05a49393ed4dbc3</t>
  </si>
  <si>
    <t>2884dacc8c45dfa32d0bf0adbc2e9f0c</t>
  </si>
  <si>
    <t>5d86e4f4692f4b83a8a3523f658d6c6a</t>
  </si>
  <si>
    <t>721f88d7e12a7536421e37affea742cc</t>
  </si>
  <si>
    <t>9023bee51fbb6ca750d0a60f04ee8a23</t>
  </si>
  <si>
    <t>68640e8cbf33fe6118e8e95c8dd8999a</t>
  </si>
  <si>
    <t>ad3f91e8399dfc59a6b654b7a866c169</t>
  </si>
  <si>
    <t>f484240d84171ad2a85fe77f88d24986</t>
  </si>
  <si>
    <t>8ee25c9b6058a7d0cb9ff0f3a4f19224</t>
  </si>
  <si>
    <t>75408c81dcdc73f4ad4d210a7de60339</t>
  </si>
  <si>
    <t>5031752d8fe9e0a89a1cbdf1e1060668</t>
  </si>
  <si>
    <t>b100ef402f9feba71b854ce3e32300a6</t>
  </si>
  <si>
    <t>18d6e329499d358ce4a9ccc70b2bfc7b</t>
  </si>
  <si>
    <t>18fe2b0329e84ae51faf4ceccf608de8</t>
  </si>
  <si>
    <t>9c34cbea5e4a2a82899212897876c61d</t>
  </si>
  <si>
    <t>dcc1e4e1c7116936d15898263cbd1eaa</t>
  </si>
  <si>
    <t>4e9c93f4fd5774182b75f25ff3fd1d5f</t>
  </si>
  <si>
    <t>b5b5f39f5f80365a7613602690836781</t>
  </si>
  <si>
    <t>cc623c7d7b34a0d1b642f2c994f18ce2</t>
  </si>
  <si>
    <t>9e824fb6426c7cf040066e9ae60e038c</t>
  </si>
  <si>
    <t>ae02f574dbbbbd174609114934915c00</t>
  </si>
  <si>
    <t>0fbcce95214ae42880f33b7cad76dfb2</t>
  </si>
  <si>
    <t>9aa6750a1e8c83dcf8ce09de29cb44ed</t>
  </si>
  <si>
    <t>724ac09fbedeaa205c7ae8f20e0ada3c</t>
  </si>
  <si>
    <t>9cc5c1e29d2ac9361dab711e71f88e45</t>
  </si>
  <si>
    <t>1c35da364c6a2b5119bc9028418eac8b</t>
  </si>
  <si>
    <t>99f0179d7f64cf632b8b0062ace3df59</t>
  </si>
  <si>
    <t>34d6b86da1735759e377ca3fc8432267</t>
  </si>
  <si>
    <t>2086afc8dac861b67b0851510db2e20e</t>
  </si>
  <si>
    <t>8bd3ee27deff5f988705b722df5804d9</t>
  </si>
  <si>
    <t>838d62d4409d44dc945df320e41e9e4e</t>
  </si>
  <si>
    <t>01160d2385b41356b76f1c0d6258570e</t>
  </si>
  <si>
    <t>b1c92cf4a36e759a68d47d8caa9ccd6d</t>
  </si>
  <si>
    <t>7c21fbe4362103c532514a86a4f6757a</t>
  </si>
  <si>
    <t>b84c6f4ab53b9965847f193d7764b27f</t>
  </si>
  <si>
    <t>771a3ecf9264b41e0f51fc2924040bcd</t>
  </si>
  <si>
    <t>4583a140ec7c259f882535493b63b63d</t>
  </si>
  <si>
    <t>d19f6852f9aeab7a8f183e3cb38d819f</t>
  </si>
  <si>
    <t>8d88cfeaf82fcf404d4f1b53d08560dd</t>
  </si>
  <si>
    <t>9b7e6c0880ba9dc9bacf8581d6ca1926</t>
  </si>
  <si>
    <t>ab1323aa82519fcbc28780b87d3eff6c</t>
  </si>
  <si>
    <t>975bb1fd7785d8162aa9026bffb164a5</t>
  </si>
  <si>
    <t>658db7bb36b74fd95d5a4ca5973b0627</t>
  </si>
  <si>
    <t>546e03ccf8ea89f3166581240493f3e3</t>
  </si>
  <si>
    <t>6765632d5e1655a50a73ad7d1ce045c4</t>
  </si>
  <si>
    <t>4f0efe55932ea98d4662a3be82ce7b0a</t>
  </si>
  <si>
    <t>5e65d52c36e3a79eb29afaac9ebebafb</t>
  </si>
  <si>
    <t>437f513d79690a2438f575791cc6724d</t>
  </si>
  <si>
    <t>29205572de0ba33ccf4fa2c10c7dca97</t>
  </si>
  <si>
    <t>76b76be66365a178809faa0353460100</t>
  </si>
  <si>
    <t>855bd923f91adfa4e6920eb4e0e2689d</t>
  </si>
  <si>
    <t>c2073420e0eb72e7d73ae243107e43d8</t>
  </si>
  <si>
    <t>ecff63cffae5404136ed65aecedfaf19</t>
  </si>
  <si>
    <t>88909d588861fd8770594f8e000e7b03</t>
  </si>
  <si>
    <t>3b6d7aeed0573263fdd771f6e58544e4</t>
  </si>
  <si>
    <t>03472ce3d8003125e8c77474fc08a58e</t>
  </si>
  <si>
    <t>204015f01c61f37063c32ea33894fc2a</t>
  </si>
  <si>
    <t>e66a33994900bc595ca99a90c792ccc8</t>
  </si>
  <si>
    <t>c2efb61c49abae208cb1e342f99cea21</t>
  </si>
  <si>
    <t>e958801ac7d4df0176c39eb31e2ff9c6</t>
  </si>
  <si>
    <t>5a04f97b6cf39e03e3c2535f8b326778</t>
  </si>
  <si>
    <t>ebc6a2e7aa6adb9a4bdb601203827fd1</t>
  </si>
  <si>
    <t>e4e2250ab0ecc7118f2c19dd46b4c5b2</t>
  </si>
  <si>
    <t>f0685c0dae129466f4976946c2ac4216</t>
  </si>
  <si>
    <t>ce4f92ab0ba2e06556355dc361d11a4f</t>
  </si>
  <si>
    <t>48e644490f37efa3b60bb7ba1cb976c9</t>
  </si>
  <si>
    <t>28930f5ba5c588ae38209e1d3d628b68</t>
  </si>
  <si>
    <t>6de71e84611123c08ba8f932a15f8854</t>
  </si>
  <si>
    <t>96042e88d031cbd5e88e64bc14c6db0a</t>
  </si>
  <si>
    <t>1d50fe94f949611a69da0ee8926c5a77</t>
  </si>
  <si>
    <t>1d3fb37fd5188aa364b238c65b38c4c9</t>
  </si>
  <si>
    <t>886437277e01c987bd8d65df579155fd</t>
  </si>
  <si>
    <t>1eb921759bd8d548a76cc3ecc2d985c7</t>
  </si>
  <si>
    <t>8452e77a6dc92b3588c692fb83f8e567</t>
  </si>
  <si>
    <t>92b39970bfc5b3419bd20475f79facc5</t>
  </si>
  <si>
    <t>3c3d99af78b9f3c80438f12efee7af90</t>
  </si>
  <si>
    <t>2f083cfce88cd689bd87eef0bc05f870</t>
  </si>
  <si>
    <t>d3d43d16554e3e34708d3db97326b7a6</t>
  </si>
  <si>
    <t>519c3b6c586b41b05d7836cd49740c33</t>
  </si>
  <si>
    <t>bf1f1dbcbbf5967cbd6f13b555b761ee</t>
  </si>
  <si>
    <t>adee4c4d4fd03d398d8823a8210d2b72</t>
  </si>
  <si>
    <t>7d97895ba984ba82351a00b86620fb90</t>
  </si>
  <si>
    <t>0a53f8f099ea9118625aec9f23fdfb56</t>
  </si>
  <si>
    <t>45248fd9ccf4ebc2b4de9b79335fab3f</t>
  </si>
  <si>
    <t>3151b99c1fc146af3218dcfa45c27736</t>
  </si>
  <si>
    <t>3d7b6063b0102d2f6fab3878c09fce3b</t>
  </si>
  <si>
    <t>a73e267ba2faac5e1ea2d22b5b7ba915</t>
  </si>
  <si>
    <t>84be08d3495c812af7752dc0d84284ca</t>
  </si>
  <si>
    <t>c335ee4ccfe73b7bfc676e019ba64bdf</t>
  </si>
  <si>
    <t>bc1726e0b801373ecc99293be40726aa</t>
  </si>
  <si>
    <t>0dcd242bdb158cbbfd62847fa9ff0226</t>
  </si>
  <si>
    <t>8ced093ec81574ca001c14683da517c2</t>
  </si>
  <si>
    <t>e424504c1bfb865c4f20c7ce6d9dde58</t>
  </si>
  <si>
    <t>41c2910dc11936c0de0f5950e4fff1b9</t>
  </si>
  <si>
    <t>ec11f49a4b2d62f5482c01dd0b4086f2</t>
  </si>
  <si>
    <t>ba4ad0fb8839795f423eed5dd523f8ed</t>
  </si>
  <si>
    <t>3ab3ea0b6169b5a75d3df6863805fc3d</t>
  </si>
  <si>
    <t>ad0d516114f1cc52498c7c98c502a6af</t>
  </si>
  <si>
    <t>cdafe9dc4321c28faec7fd0653e57c2a</t>
  </si>
  <si>
    <t>af1e89b8af1a499475ed0981e4bb8220</t>
  </si>
  <si>
    <t>763b79735c8c262a2c74caf405fdcec5</t>
  </si>
  <si>
    <t>ad6a1ae6cc4a6fee48458d9112ce1a34</t>
  </si>
  <si>
    <t>17116816757875324a9f12276f8e8817</t>
  </si>
  <si>
    <t>21290b1193514f70b040fe75e42d703c</t>
  </si>
  <si>
    <t>dbbb78e4d51726df28206be1f24e0259</t>
  </si>
  <si>
    <t>6163f5297d3cc1889208335afcf18149</t>
  </si>
  <si>
    <t>bf3919c51921016e3a6406e594e3b12d</t>
  </si>
  <si>
    <t>010fe1fdecf89340ff532a2816ea1880</t>
  </si>
  <si>
    <t>ef08eb4845ec61f658b4ac372dc4ad58</t>
  </si>
  <si>
    <t>5603a6079faaa2000828314b6fb27611</t>
  </si>
  <si>
    <t>cd3c6cc2f884c6813bb983e4ff53c5f0</t>
  </si>
  <si>
    <t>84ecc7bc1e67a514ff2f70e7bfc85781</t>
  </si>
  <si>
    <t>4adedf641d558603124009df5ac17b0b</t>
  </si>
  <si>
    <t>04e5ea4ab63e902ffb974c0fd82850e6</t>
  </si>
  <si>
    <t>9e09a740f68ab9c00220da4da546b757</t>
  </si>
  <si>
    <t>1d6b5590b0b3730b5afe419936b97a5d</t>
  </si>
  <si>
    <t>d5f3754153ae5fe7ab5d82821092a6d6</t>
  </si>
  <si>
    <t>11beb6c5433da04c58a05643f24bcdce</t>
  </si>
  <si>
    <t>b862e8caf61c4275737bf87fd0de20c3</t>
  </si>
  <si>
    <t>a9309874aa578d9fd5f5beac22219b8c</t>
  </si>
  <si>
    <t>2e8da65eaaf04fc951c18d2c648257ba</t>
  </si>
  <si>
    <t>7132618b0246b483599eb4fca10c2426</t>
  </si>
  <si>
    <t>42fcb72b657a724f96a51ecb1c9a6772</t>
  </si>
  <si>
    <t>c8ac44a588b24ceb3d9aab77af3830b2</t>
  </si>
  <si>
    <t>9f884d3531d5e49aaba19072ad0942d3</t>
  </si>
  <si>
    <t>55399b141309188ea3b0007eaff69ff6</t>
  </si>
  <si>
    <t>5089c1ef8d6be89ca4dafecc57496dad</t>
  </si>
  <si>
    <t>5190472f37eecd27bf928a4d5b52a7f4</t>
  </si>
  <si>
    <t>7dc474ac108840bcf9f5cdfead7875dd</t>
  </si>
  <si>
    <t>bf5550060381e4638e84da95e598ff07</t>
  </si>
  <si>
    <t>05e056f277c8f4b9d61a5e91e0177b00</t>
  </si>
  <si>
    <t>56fca1aaba1b9eaf0e858c98fd5526e8</t>
  </si>
  <si>
    <t>cc3c82134ad921a8a616fe7f0b0979eb</t>
  </si>
  <si>
    <t>63eb371540017e4baa7376c3c1845a39</t>
  </si>
  <si>
    <t>395cc467dbc030cca3bac0a0a5ac5842</t>
  </si>
  <si>
    <t>56a11db1f5ecfd65bae710e9b46a8fe3</t>
  </si>
  <si>
    <t>db5b085ec7253eb09da2fce46c383b56</t>
  </si>
  <si>
    <t>0cb21169911ac2116e294fb666c1082a</t>
  </si>
  <si>
    <t>9ef73c25775f9251a9b1c68a857e8d67</t>
  </si>
  <si>
    <t>2234b511df90c8dcca53919e78649052</t>
  </si>
  <si>
    <t>c6b4aab30d1fd3001452b09a632bc67d</t>
  </si>
  <si>
    <t>e1abe4c362fc4a2dec1b1ce7b962fed7</t>
  </si>
  <si>
    <t>ff8ed6f92df7e5c6fefd2e4971d4e0ca</t>
  </si>
  <si>
    <t>2c46be709d8d40ebcb358814ec6fd888</t>
  </si>
  <si>
    <t>b6a2017395937a7828d1773c9570f2b4</t>
  </si>
  <si>
    <t>440a8bef1e9d4fd9677f271d619348fa</t>
  </si>
  <si>
    <t>50887f2dfe3ab0473a8b2b2aec89b7c3</t>
  </si>
  <si>
    <t>5054b4da8744a1082e15b271be0054df</t>
  </si>
  <si>
    <t>c745b2b22d93245c6d1ca884ea5dbf26</t>
  </si>
  <si>
    <t>afeb4bd8f633b21461d5d8a54fdb3a3d</t>
  </si>
  <si>
    <t>edf86a0065e72b73cf469fe8e8e406b9</t>
  </si>
  <si>
    <t>aed4dd73b377872f140aacba5de5e609</t>
  </si>
  <si>
    <t>5358226ae347f140d092ba09edb33f45</t>
  </si>
  <si>
    <t>968f1bdc0691f2c323b87295593c548a</t>
  </si>
  <si>
    <t>e5bad17b2ad6e8a270fe085ed181beec</t>
  </si>
  <si>
    <t>35b70bbd5f6837b273e54ea5033b3575</t>
  </si>
  <si>
    <t>eb78a35dd017b00e7fff09d1cb925fb2</t>
  </si>
  <si>
    <t>0c58ceb8dac7bce3132184f7f9a403ff</t>
  </si>
  <si>
    <t>09858e90b4098c2b16c707fc6eafc655</t>
  </si>
  <si>
    <t>c3f9211475df175c01fe3e6d4dcff152</t>
  </si>
  <si>
    <t>7522ac26242fc055cbc1f4c4f3337895</t>
  </si>
  <si>
    <t>48ba0b134f6661a4897c0db6ad1ec68b</t>
  </si>
  <si>
    <t>65bc9aaf5cb8f707bad63684c5a63e19</t>
  </si>
  <si>
    <t>fbaf6ec6dbeeb8bd1ab27d119b9972e9</t>
  </si>
  <si>
    <t>d25b1381b87889777f399b895542c612</t>
  </si>
  <si>
    <t>2e6e260f7e391f9ad7460bffc3b5205d</t>
  </si>
  <si>
    <t>2c760a36c19b371c97453d55f1437f63</t>
  </si>
  <si>
    <t>a73ad5c63fc6e3521b89106cdc478a7c</t>
  </si>
  <si>
    <t>584326f5a0eb0ee717de994c8eb37d5c</t>
  </si>
  <si>
    <t>b84ec56dacc864f912c897d0cb11daeb</t>
  </si>
  <si>
    <t>17a0c820d827b876dae22d6243dffe4e</t>
  </si>
  <si>
    <t>33101e30c52362592af07f312fd307d1</t>
  </si>
  <si>
    <t>3d70bc713b05d38f8315d287c19b4a17</t>
  </si>
  <si>
    <t>6b443df897a61bfa9de43675fe5f5822</t>
  </si>
  <si>
    <t>04632dbe9412d6b703f157986092da22</t>
  </si>
  <si>
    <t>5f6c583377159b1bf6940e78d56d8b72</t>
  </si>
  <si>
    <t>fe02bac972ad45b080213045b3bc9452</t>
  </si>
  <si>
    <t>8e6d240a16f00315665ce749f7471735</t>
  </si>
  <si>
    <t>8f163b47f1d60e4be59e1c17a2f46629</t>
  </si>
  <si>
    <t>e5b06a98f7508425dfa3c46d79ddcf6e</t>
  </si>
  <si>
    <t>c53110b0c1ca92ca3d7bb892e2dcbb9d</t>
  </si>
  <si>
    <t>4f559859330fdcfa2f4095304b107766</t>
  </si>
  <si>
    <t>18464248da6b66ebaaed76cc11e89f80</t>
  </si>
  <si>
    <t>5bfc3595777496ff299aec78dccdae4e</t>
  </si>
  <si>
    <t>a6759e137705a31a71965d48f845db1a</t>
  </si>
  <si>
    <t>f56192eb645d7f7be30ed21be728c2e9</t>
  </si>
  <si>
    <t>0508c7d5ec680b6e59c535ea28e37e1d</t>
  </si>
  <si>
    <t>064079a01632a9bf63cc3d37fc0575d3</t>
  </si>
  <si>
    <t>d05fa8d306b7e5a4a7a49ea231401d37</t>
  </si>
  <si>
    <t>267f331ab30ea6b3cbe3c71d88e52478</t>
  </si>
  <si>
    <t>f85198123f45c5f909e5ad00784acbf1</t>
  </si>
  <si>
    <t>3884ab38579c6580b4ac5ce94e7012b4</t>
  </si>
  <si>
    <t>7005ddb864e79cd14d0fefa883d55569</t>
  </si>
  <si>
    <t>42b20b89db3d49e918f5248e2a494cb8</t>
  </si>
  <si>
    <t>2f943ff26bee9a55c9bbaf515fcbaf59</t>
  </si>
  <si>
    <t>00e8f6a54d24eb4a73916f6e14515e54</t>
  </si>
  <si>
    <t>59f53dd1b7523254c63317a80024d5b7</t>
  </si>
  <si>
    <t>53acc9cd875c17374ce354cabd5cd054</t>
  </si>
  <si>
    <t>2964adea139febbeffc28a66e03196d1</t>
  </si>
  <si>
    <t>c74fb55b1a2571135ea944ca6d8dc765</t>
  </si>
  <si>
    <t>0712871fd0f3c3f1f0660c94c124f2d6</t>
  </si>
  <si>
    <t>9b86c4b620128695782f3930446fca33</t>
  </si>
  <si>
    <t>8c0c4e661d63e1a55d37c56376379c43</t>
  </si>
  <si>
    <t>418b555a693e92591fb644abbca8135d</t>
  </si>
  <si>
    <t>4b0972cb083235625fba5b0a25c64013</t>
  </si>
  <si>
    <t>51a544ea22ecef21a3ba899c63e840a1</t>
  </si>
  <si>
    <t>ff627a7a69cb1cf4ae92c43a5abe26dc</t>
  </si>
  <si>
    <t>209977627bb101c7352cefde73497e1b</t>
  </si>
  <si>
    <t>8ddc08bf7fb4a05fc63b3c88434043d2</t>
  </si>
  <si>
    <t>b9a4b3c73f21d352b566981f0ae11ce1</t>
  </si>
  <si>
    <t>41697648472a626600fc4f620b94b316</t>
  </si>
  <si>
    <t>fe28804559a208d80fffa572c4a576e9</t>
  </si>
  <si>
    <t>c5e4ad2531ab85054dee75943eb5b0bf</t>
  </si>
  <si>
    <t>050a6f921d146aded4059015eecb4ed4</t>
  </si>
  <si>
    <t>217a925d1d36636659e3d3f5b4c97b40</t>
  </si>
  <si>
    <t>826203335a3a204e89cca1ecb52934fd</t>
  </si>
  <si>
    <t>f78ae6ba4f11af2f53cfa844231b6cfb</t>
  </si>
  <si>
    <t>ea640f2d299a579d433935734ec1fdb4</t>
  </si>
  <si>
    <t>038b5c3e361572d2c52a0d1692b9aac6</t>
  </si>
  <si>
    <t>2a62bbe0a71d1c551f51b6d85c1a7e91</t>
  </si>
  <si>
    <t>dbbf1b4e8dfc1f3a6870b940f0d1e3fb</t>
  </si>
  <si>
    <t>c7b907e4d68d82904f0d7bc6c2752d57</t>
  </si>
  <si>
    <t>b17d55471e715d1a01f57a6f02b81f1d</t>
  </si>
  <si>
    <t>6d1fc3aaba16d51b8a5e694d2e227b20</t>
  </si>
  <si>
    <t>06723977f55eb5540b00773ff67c59f5</t>
  </si>
  <si>
    <t>d8ac87b4729667c0b74c1a62989c094b</t>
  </si>
  <si>
    <t>f379db18adb85fbf939f10c54682ad00</t>
  </si>
  <si>
    <t>1849a31ea4b1b1439f216daa65757bda</t>
  </si>
  <si>
    <t>284d39dce5b0509117a52489ece2af9c</t>
  </si>
  <si>
    <t>91f2c3ee55e75e20f6a1bb3ec5e4528f</t>
  </si>
  <si>
    <t>e67210070258ce962bb6f4b1a003f37e</t>
  </si>
  <si>
    <t>6b289965040895e7be0519f1a8397267</t>
  </si>
  <si>
    <t>fba090ef2bf2855d994a149bb3e11cee</t>
  </si>
  <si>
    <t>a4cb61a3ef4d650fcb5c40af37b5b4c5</t>
  </si>
  <si>
    <t>ab7a20bf485a6513500feec78d9948b1</t>
  </si>
  <si>
    <t>96b05601866b83cd1d850de7d0974aa8</t>
  </si>
  <si>
    <t>9c922169c1a978ceb120aa4114c15cb6</t>
  </si>
  <si>
    <t>51a0efa56cc5d11abc14d4cd6d3e483e</t>
  </si>
  <si>
    <t>bb2dbaacac8628ddb1f576cb2c0f3b80</t>
  </si>
  <si>
    <t>449950140bf640f7f92599c65b9a60e8</t>
  </si>
  <si>
    <t>64053c9367976e52e2806d49e87f26e0</t>
  </si>
  <si>
    <t>dca75db4d41b80ed66d2ae09579bfd74</t>
  </si>
  <si>
    <t>89977d3cedbfba3d3e7e9c813a60434f</t>
  </si>
  <si>
    <t>ffbe0eb1c61f9fc7e513b1147dd60d53</t>
  </si>
  <si>
    <t>2db67e6197c7c62dfe851f2635e5d67c</t>
  </si>
  <si>
    <t>b0c6080637e8c89df554636b343d388b</t>
  </si>
  <si>
    <t>12788bebeaf8a4da87a98f84f2de51d4</t>
  </si>
  <si>
    <t>59131f69bab3cd7001b79882a6a6801b</t>
  </si>
  <si>
    <t>0b430e3bda855705433bbb20d94d8531</t>
  </si>
  <si>
    <t>6ee0832eeee7f407f888057524caa36f</t>
  </si>
  <si>
    <t>611951accc5525780b2d8dd873ecc321</t>
  </si>
  <si>
    <t>03f267c4157c85e958e1f0e6e1040863</t>
  </si>
  <si>
    <t>c467d118ab382dec88c2733a20d5e097</t>
  </si>
  <si>
    <t>a09facf3a14f2d87b4589a6f8816ff16</t>
  </si>
  <si>
    <t>354dd0c6caad1139a24d51a5b6e482ad</t>
  </si>
  <si>
    <t>9ad13948acbbac8c0926f69fb8f140d4</t>
  </si>
  <si>
    <t>c1cb6ad146ea9f2ee5ca871c953a2677</t>
  </si>
  <si>
    <t>5e0ca4e1c981f4503c9a70280e74c128</t>
  </si>
  <si>
    <t>286a265e3cb4b6ad4c01c86167c37242</t>
  </si>
  <si>
    <t>62cf19c6e1d304f5691c81fea428ddc6</t>
  </si>
  <si>
    <t>5a6c77e91a998d292f3fdace3473e166</t>
  </si>
  <si>
    <t>4237b02dfcb046a056672420a3a00908</t>
  </si>
  <si>
    <t>d1a3dc2a41b09be1e4396215c240a799</t>
  </si>
  <si>
    <t>808bae3aaf8b09cd707b421c915cc874</t>
  </si>
  <si>
    <t>e8159823caff592226cce622c16b0b64</t>
  </si>
  <si>
    <t>2fd49154b3d7001a7d60be6c85568220</t>
  </si>
  <si>
    <t>01813a78f5853658c3b09d705b0d9334</t>
  </si>
  <si>
    <t>9f57c53987036457676161a69500f302</t>
  </si>
  <si>
    <t>fe4283d7e211e9e8e56cf57234fe6c3a</t>
  </si>
  <si>
    <t>43a3a24af4c8d2735396cc259cbd2b8e</t>
  </si>
  <si>
    <t>63a3211437778e9f7758d27308616935</t>
  </si>
  <si>
    <t>216d1be3da065449062ef3c222168c09</t>
  </si>
  <si>
    <t>cc874d48f830282dea3415d79a9db635</t>
  </si>
  <si>
    <t>40769024637106ad03f3c4171a4cbe8d</t>
  </si>
  <si>
    <t>704cb9a4a4eaa82571061d2bda6ee0cd</t>
  </si>
  <si>
    <t>b7fbf4a03e03181781481d3fe06b08ed</t>
  </si>
  <si>
    <t>e3203d82e715e80a1941a7db925ba721</t>
  </si>
  <si>
    <t>fd92bf3861e988fb787a99855c2a05e7</t>
  </si>
  <si>
    <t>c65227cf93d27c154a9a09b00dee6610</t>
  </si>
  <si>
    <t>1881a9ea9a769a315886f099123fab6e</t>
  </si>
  <si>
    <t>7d98590001ec64b84a6ec8f972718204</t>
  </si>
  <si>
    <t>da9cdd9f5f6393aebfaddbfd0e1e9b46</t>
  </si>
  <si>
    <t>5431a565877413af232b6d738c58ce8a</t>
  </si>
  <si>
    <t>c744e02760f523d9b6941cb730a4f824</t>
  </si>
  <si>
    <t>8cc265275fd9d578e8576da1553b9248</t>
  </si>
  <si>
    <t>f94046891d538322768db295d5e44755</t>
  </si>
  <si>
    <t>b3247172ba33028ffd1c2ee4009a91c8</t>
  </si>
  <si>
    <t>408c9e0c280334ee56fe5fba631cbd70</t>
  </si>
  <si>
    <t>bd05be09c09973ea19297d3708c45171</t>
  </si>
  <si>
    <t>c10e5b88eaa3aef23d5932d6e461f4a9</t>
  </si>
  <si>
    <t>3a84b5b23ab1ff97e548944572f5b0dd</t>
  </si>
  <si>
    <t>810c46804b48352d062d0560679dce3b</t>
  </si>
  <si>
    <t>5fd763d22cacd45201e3490a51fdbc5f</t>
  </si>
  <si>
    <t>0ab1cdd5206ba7812b0334a5446f97d5</t>
  </si>
  <si>
    <t>4a43af3a0a45d0170164342ba03caf3b</t>
  </si>
  <si>
    <t>406fdd2ea359520eabef5ac49e90b806</t>
  </si>
  <si>
    <t>1059557cee8a76d0f9b0c5f388ef241a</t>
  </si>
  <si>
    <t>80c842f9e953d82586b17b4320212366</t>
  </si>
  <si>
    <t>bcd02bb3c8d2506119cbf4ce74fe65ac</t>
  </si>
  <si>
    <t>dd14dfaafe75580300546a4c0f649d1f</t>
  </si>
  <si>
    <t>f3093496cb04948a6ec7607f4465437f</t>
  </si>
  <si>
    <t>f9273019373de6667c653aac76588bfc</t>
  </si>
  <si>
    <t>0bf7b1603744fbfc30672f1a6ee77a20</t>
  </si>
  <si>
    <t>7fcac885559a56ffdebf2a99f10e1cda</t>
  </si>
  <si>
    <t>f512065aa4053d07f00d6efd4e27e825</t>
  </si>
  <si>
    <t>0cd3c310816b7be1fc9760e904056563</t>
  </si>
  <si>
    <t>48422b517b39955a3465428b506f10b8</t>
  </si>
  <si>
    <t>8e1bb3dd2d21b5edb935de93f0208c3b</t>
  </si>
  <si>
    <t>94715f8b9eeefc65b108436ef26c7249</t>
  </si>
  <si>
    <t>76650480929bfafa68eeff6bc2680f84</t>
  </si>
  <si>
    <t>f145b64bcd9a431db4ea18e5e9caa422</t>
  </si>
  <si>
    <t>02c11fe2a86403b77e454be7605e42a4</t>
  </si>
  <si>
    <t>9f62dcbb551ec2e1ca338c06ee94f619</t>
  </si>
  <si>
    <t>d2c93e5bccb74b2b13626b53dc4cb2ed</t>
  </si>
  <si>
    <t>d0fb65a65aa63e3c86b17750cc867101</t>
  </si>
  <si>
    <t>1c18cc8ea5e0e8c298cef136ac4f3612</t>
  </si>
  <si>
    <t>82b604bc40309cb59666b407517b14ef</t>
  </si>
  <si>
    <t>db38b172089806fb5647412bc7b12cdd</t>
  </si>
  <si>
    <t>2a35feaef0b49f889372af629bb0f5e7</t>
  </si>
  <si>
    <t>73d575787be589aee5d6c7944d1ec3d6</t>
  </si>
  <si>
    <t>eab73940c8eeb45ced447dc04e0edd8d</t>
  </si>
  <si>
    <t>36644e6b97eb5008883edcd22ca6af0d</t>
  </si>
  <si>
    <t>fe0d295828ebcb4cdde3843db8f29736</t>
  </si>
  <si>
    <t>1b0462a11c8d00906753451421a6abfd</t>
  </si>
  <si>
    <t>c89c6cdbc1b0a79cc7d88a9b03d56a41</t>
  </si>
  <si>
    <t>9eb1758a393314b0b7d14f7c7793bbd3</t>
  </si>
  <si>
    <t>f7f12684ab80fb800d61966a5d9033b0</t>
  </si>
  <si>
    <t>b024b1516dd6dff4d63b649a2c7d9562</t>
  </si>
  <si>
    <t>f9d8fe523e021881e5472bc1203816f6</t>
  </si>
  <si>
    <t>bd30d3a4058a7911f488487cdb74e97e</t>
  </si>
  <si>
    <t>b7c5db3ab160be18c3a0cd73f1a901e9</t>
  </si>
  <si>
    <t>739fd245c2b5366ace574ef215976b7f</t>
  </si>
  <si>
    <t>aa92740a6a12c5dcfe815046b5a7a8f6</t>
  </si>
  <si>
    <t>24b3bac47452f4abada14fb26f1782f0</t>
  </si>
  <si>
    <t>3203e1d50d740a8ee56649d4f872886b</t>
  </si>
  <si>
    <t>f7bfbab9c633ccd1fa1c2187b0167484</t>
  </si>
  <si>
    <t>0681ab821e4883376e7bd582d6b7a39e</t>
  </si>
  <si>
    <t>86915f70acdc9a7258d98a6c96a21cd4</t>
  </si>
  <si>
    <t>25028d2b350634d68547571e89bb1784</t>
  </si>
  <si>
    <t>10267ef176bae5eb68a0d26818eea94e</t>
  </si>
  <si>
    <t>71215a323eb6dd4ec274fc15efea2d3b</t>
  </si>
  <si>
    <t>c38cc4cfaaf8e05bd1b81a36486079e5</t>
  </si>
  <si>
    <t>c616aa8ebe89772984b6934f60668de5</t>
  </si>
  <si>
    <t>fe51f21ebc07cae7227727ddb9d28450</t>
  </si>
  <si>
    <t>1acd9ada4ab9933c8470ccecd14ef53b</t>
  </si>
  <si>
    <t>e0699438dea77f0ac9227b69da51520a</t>
  </si>
  <si>
    <t>199c7a41b44af96eba57ef873161db43</t>
  </si>
  <si>
    <t>50629a640b1a46128719030bba5fe62d</t>
  </si>
  <si>
    <t>52ecfb92a21f7ffc0c9279135a559eec</t>
  </si>
  <si>
    <t>5c54608a490d1805d971bf160e680df9</t>
  </si>
  <si>
    <t>999e33ac4a885c3bf2cfcb2e2461db64</t>
  </si>
  <si>
    <t>ceb05d86b98ea19d9bd92777d34a2607</t>
  </si>
  <si>
    <t>5c3f9d590b31f9d50d5ee0dee954e717</t>
  </si>
  <si>
    <t>3b1e20e78198a480202a0fc1845e6a24</t>
  </si>
  <si>
    <t>1e801d57d0d06bf477115c4be6f4fade</t>
  </si>
  <si>
    <t>8facb9ca8d49321aa6573a8de8b7b75b</t>
  </si>
  <si>
    <t>d5a239043aac45da97bef07703581173</t>
  </si>
  <si>
    <t>f7ea5e49f47e38cb823f5326125f856e</t>
  </si>
  <si>
    <t>ea43628ac256fd7720c33a31f78d5506</t>
  </si>
  <si>
    <t>f58e284b38982799f9c1cca4d25908d6</t>
  </si>
  <si>
    <t>fab6465046e784c29719052e1ecb7648</t>
  </si>
  <si>
    <t>fe4c31f8be27aaab8190d26c9d2274b6</t>
  </si>
  <si>
    <t>7fa5369b0b2788e6ad50b7b5f5e45039</t>
  </si>
  <si>
    <t>9344f3d3d9bf7ef8dc90f0d819ed46bf</t>
  </si>
  <si>
    <t>db2715dd3e536f730a9033546129fb20</t>
  </si>
  <si>
    <t>dda91d276c438e01c68b7108e7dab33a</t>
  </si>
  <si>
    <t>140b2581765c71fa4e7dfaa47831cc74</t>
  </si>
  <si>
    <t>437785c1c491975dabdd115a8d0cb270</t>
  </si>
  <si>
    <t>8e63d123cc1a7e831b2ca3bab06a0622</t>
  </si>
  <si>
    <t>491a474b53b739b856e350441d301828</t>
  </si>
  <si>
    <t>5db1789ff4693852faea553f3869a5b9</t>
  </si>
  <si>
    <t>adc050345c853f663f76833633a4e71d</t>
  </si>
  <si>
    <t>2a64ee80a6cca13de96a01c0b144fd29</t>
  </si>
  <si>
    <t>48de6bcab4894566b9a6bebf3328c0cc</t>
  </si>
  <si>
    <t>370421d2421f2cdabf0e254e67fc378f</t>
  </si>
  <si>
    <t>e1e897280425394b5aa5a465ccdc50df</t>
  </si>
  <si>
    <t>bb3e977802ec2a7d924d1f9839a3b44f</t>
  </si>
  <si>
    <t>0ff0fd31d0a7c62043a8ad7e6a814bde</t>
  </si>
  <si>
    <t>48cdf9e8b772d67e8925e6221c0dc175</t>
  </si>
  <si>
    <t>61d23a583fc75993993081bd95a8023c</t>
  </si>
  <si>
    <t>0967dc57fc5c20f956e87881cd737f70</t>
  </si>
  <si>
    <t>d9289ab5c4a9ffc7ef519a2c75dd129f</t>
  </si>
  <si>
    <t>89e000129c003812e06b0af040d8c198</t>
  </si>
  <si>
    <t>b2f80a4ee3c98f4c661eaca87d9678ce</t>
  </si>
  <si>
    <t>915eb26b94c2d969aeaff528c5bbec3c</t>
  </si>
  <si>
    <t>f28c2a90c4c3dbf4f08aa03cc83fe464</t>
  </si>
  <si>
    <t>01d329d312599ed61a6a542eb5718961</t>
  </si>
  <si>
    <t>23722b7229cd8e48385eb1b3bfdd96dd</t>
  </si>
  <si>
    <t>026f420b737cabf9ec4e0ca59a1c6681</t>
  </si>
  <si>
    <t>6b46b99b2d75e754132e65927738a32d</t>
  </si>
  <si>
    <t>ba596192afb69b059990c56f7e8926c8</t>
  </si>
  <si>
    <t>ba7c2abcaa2aa0943a4755e151df5bc2</t>
  </si>
  <si>
    <t>5fa0cccd11f462b49fa004abbce6507a</t>
  </si>
  <si>
    <t>a3349af68f96b1204d874c31198d3eb0</t>
  </si>
  <si>
    <t>8d5f987e13c52c5261a95ad4ab5c6c00</t>
  </si>
  <si>
    <t>71024498ad7d66c2858e1d59c0a0d415</t>
  </si>
  <si>
    <t>62c1cfbf2de2793151a5fd5b67cfa10e</t>
  </si>
  <si>
    <t>d6a269c1416085b5369b4f80b1670406</t>
  </si>
  <si>
    <t>72cd53ae9eb17c1feb2a2ea5825b89d5</t>
  </si>
  <si>
    <t>49c132460c82de18e90de78298a29e05</t>
  </si>
  <si>
    <t>fe83b029d660390614535ac6215f6e33</t>
  </si>
  <si>
    <t>5802ff17dd8ae14f62d11d8a99423d8d</t>
  </si>
  <si>
    <t>9109fed507f31fe6acc23cbf6a4aeca0</t>
  </si>
  <si>
    <t>c7c816a23170385a27c3b5a1b7e5d8af</t>
  </si>
  <si>
    <t>8e1271a6a38e52f2b8b6ae4dbb1d3f81</t>
  </si>
  <si>
    <t>c01aa091740a2af0887612fea9a1e0a9</t>
  </si>
  <si>
    <t>42dc0e41c8273b40977a64cad7cd4edb</t>
  </si>
  <si>
    <t>ad323855557b30f183fbafec18ff2844</t>
  </si>
  <si>
    <t>04858a92eab15bbfd0582b3bb77d6ba5</t>
  </si>
  <si>
    <t>2eceddf495bfb1df4df91f2c4f692ce7</t>
  </si>
  <si>
    <t>7cd77a8b022e222d143c817fea62fe63</t>
  </si>
  <si>
    <t>a37fee2e2a7d3c4b1ab3d85dbf1ad7da</t>
  </si>
  <si>
    <t>4839f3553e78157124eb68eb91559e02</t>
  </si>
  <si>
    <t>1738fd6106c0a2b0c6b0c401a3f7916d</t>
  </si>
  <si>
    <t>0fba1e4b2f126b3672d1055decfa7351</t>
  </si>
  <si>
    <t>e4f9745b926cdf2e41a8a0c91fdc78b1</t>
  </si>
  <si>
    <t>a132b128bc04e8995112b752f13c705a</t>
  </si>
  <si>
    <t>1944b8f39614039b918adc95f41aa7ae</t>
  </si>
  <si>
    <t>816abdfd2ebdb972ef0b8e93ccab96ee</t>
  </si>
  <si>
    <t>0a0edda3e2a3d59f64e99a9e5df9f72f</t>
  </si>
  <si>
    <t>8bc5ba2328cb31c372cf6dde02eb325a</t>
  </si>
  <si>
    <t>81bc6f475ef711c6eeccaa3f799c4f9e</t>
  </si>
  <si>
    <t>459535b345fbc991716735cb90fefc95</t>
  </si>
  <si>
    <t>7e8c84165ab5710ff8de21342fcec3a9</t>
  </si>
  <si>
    <t>e509c3e7948d733e5c271786d5810e8b</t>
  </si>
  <si>
    <t>e50e39ae650feb34ddd98a09b6157dc0</t>
  </si>
  <si>
    <t>fd77d0bd81185d129645e30b0ba9cf04</t>
  </si>
  <si>
    <t>fb5018e5a4877996b78886eee3c0642d</t>
  </si>
  <si>
    <t>32bbab87e3debf671e4ab9eaa6acb08b</t>
  </si>
  <si>
    <t>d682233c317118653fde3ba341d094a6</t>
  </si>
  <si>
    <t>2a33bf410bed94e50bedf59ec419bf54</t>
  </si>
  <si>
    <t>13d63ace1771c6e33761e1a7354de3ef</t>
  </si>
  <si>
    <t>b21bdd482ab6a30593474dd5802b095e</t>
  </si>
  <si>
    <t>7fc7bf9d0a4a6d41b6cfb73c52964dd1</t>
  </si>
  <si>
    <t>5b83d34f4c6edcce6d0247315957d3db</t>
  </si>
  <si>
    <t>2f7f5835832e9704d17c870f7e0c06d9</t>
  </si>
  <si>
    <t>0dc24bf4bf9caf1c6ebf5a7f50477379</t>
  </si>
  <si>
    <t>6ea5e33e669ca1c580d79cdc882b2d05</t>
  </si>
  <si>
    <t>ca66f7430c9d5701ead2584d05598b1a</t>
  </si>
  <si>
    <t>886f737f419f5443398eff68b51d280b</t>
  </si>
  <si>
    <t>af4f411386f96063597c5fef7d9dd977</t>
  </si>
  <si>
    <t>b54956da747f15b2ff6bd986a9aef288</t>
  </si>
  <si>
    <t>6305296fa4dc741c8900d7510c026d58</t>
  </si>
  <si>
    <t>770f26115cde13a1e623ec64e2451378</t>
  </si>
  <si>
    <t>266d50a5b54b71455e122048d6c9497e</t>
  </si>
  <si>
    <t>c280947d9de8483cdb49dc7d623fa96c</t>
  </si>
  <si>
    <t>3a3b92d654d324b6a8a8c75a50142405</t>
  </si>
  <si>
    <t>7c74d1847a9f1d1fa003a0365cd0498a</t>
  </si>
  <si>
    <t>f50a8336ae2996f18807c1985262fc83</t>
  </si>
  <si>
    <t>a948baa8fb64c4c19a8b6516e9bbafba</t>
  </si>
  <si>
    <t>8f82b8a3c04d1386e3358239ce0e74f6</t>
  </si>
  <si>
    <t>cac6b0431f42d9d9225145314f64ef4a</t>
  </si>
  <si>
    <t>d3a95c795692cd7fa9e531f7709cd4aa</t>
  </si>
  <si>
    <t>cf70b345d8a3f6e58ac92dd88e6108b5</t>
  </si>
  <si>
    <t>7f63c23464d4c3ac32638397fba25bb7</t>
  </si>
  <si>
    <t>684527e61f39f515eb6f2ab98f447fc8</t>
  </si>
  <si>
    <t>ba0a5aeee6e0270b2bd61e9aa4d75ed7</t>
  </si>
  <si>
    <t>73bd6bf9a18f5652860337af0d8c060c</t>
  </si>
  <si>
    <t>8bb55535966a8ed5f3d7f3dd02041636</t>
  </si>
  <si>
    <t>8b2ec4e9b1f1b6ea6142a2b53aa74a30</t>
  </si>
  <si>
    <t>54508c44cd37ff7e456a5b4ab173021d</t>
  </si>
  <si>
    <t>3385244f59e6c434b39a64c11c090223</t>
  </si>
  <si>
    <t>d460dc8578def4da983ebbb892b56468</t>
  </si>
  <si>
    <t>e53e36b52edbab7c47da41b500cdf9e3</t>
  </si>
  <si>
    <t>61562820299f707224450fd70687b3d5</t>
  </si>
  <si>
    <t>f0a38708e145b1ae5e909a6ffd2a57dc</t>
  </si>
  <si>
    <t>df14d43987d77a99b3d0b84c3383480f</t>
  </si>
  <si>
    <t>d0dbe4a2b9de9f976a8cfab418c8c395</t>
  </si>
  <si>
    <t>54b53496d8458d4888ecf0ea16bf718d</t>
  </si>
  <si>
    <t>566cdd70130bb805cb2478cb6bca9a58</t>
  </si>
  <si>
    <t>ab9c3628b1d65fd7f0001b8fec26ad3a</t>
  </si>
  <si>
    <t>ea8f189fd74c4661155b701b68b943d1</t>
  </si>
  <si>
    <t>856d2f93dd027ff424db353d957fc083</t>
  </si>
  <si>
    <t>284a2f7c452c4f9d52fd9aa2d693903a</t>
  </si>
  <si>
    <t>30bfb5d9740e94d43ea05329e443e069</t>
  </si>
  <si>
    <t>7d80c43aea0a346c415ad871a3b276de</t>
  </si>
  <si>
    <t>6668d5fcc2d1d3f1beeb7872b7f53afc</t>
  </si>
  <si>
    <t>b77274aa049ab6d7c8b957e52359d3a0</t>
  </si>
  <si>
    <t>6587b3003394694b65ece0af162160c8</t>
  </si>
  <si>
    <t>ae56820a720a8607722eccf7512fd44b</t>
  </si>
  <si>
    <t>c2e79fc33a18dff9fc20d437f038dcca</t>
  </si>
  <si>
    <t>f1497ccc858b9e65a2849928b827bdc5</t>
  </si>
  <si>
    <t>790131ce535cc744a7e516aea922fe10</t>
  </si>
  <si>
    <t>19b30ae1879a86bdab9b050aa0ff88e8</t>
  </si>
  <si>
    <t>d468fa36cfcb41c58e896e186e8ee234</t>
  </si>
  <si>
    <t>83cf0adad2ecf486539e549a70767438</t>
  </si>
  <si>
    <t>11577b1a0dcec8ab6937ac3573e18fab</t>
  </si>
  <si>
    <t>5d5403fced97cabfd5c044fb7d0f7789</t>
  </si>
  <si>
    <t>d6b4cfca4c99a09279be89912b9345f4</t>
  </si>
  <si>
    <t>4e89fbac379727f59ae843116921808a</t>
  </si>
  <si>
    <t>9198e65b08610a50314491c92985e96d</t>
  </si>
  <si>
    <t>3dbff801c8e4a6043cbee16321076a9d</t>
  </si>
  <si>
    <t>78c0b187a22625ff9605a58c386a7b13</t>
  </si>
  <si>
    <t>2cb81824f05303cee3b853a9b86214de</t>
  </si>
  <si>
    <t>d4031ef6e5d7af29e25e49611c129c4e</t>
  </si>
  <si>
    <t>b14fd0fcfdf443a50c39c7139fc98b77</t>
  </si>
  <si>
    <t>03facec6d1225cdfe9fca56154e1a14c</t>
  </si>
  <si>
    <t>e8ea2dc526fd694281bc1e229231171f</t>
  </si>
  <si>
    <t>eb5737a1c769eb704dc891bca4ea7ef8</t>
  </si>
  <si>
    <t>d9bb1b179a709442a0eeb91d9b7c1408</t>
  </si>
  <si>
    <t>0cea2e28877b4c289aaf887dfa4ea78e</t>
  </si>
  <si>
    <t>cfaaddb3f72b0ea6267cdfe9ba99683b</t>
  </si>
  <si>
    <t>b7296d103ad66e5f8a29404f9a474b1a</t>
  </si>
  <si>
    <t>4cedac3315a2994bd6461d8fa01f6176</t>
  </si>
  <si>
    <t>906cf263ad2214f8df1a2f8d18aaa00a</t>
  </si>
  <si>
    <t>94a58d29ca11e3116156c9f5fd1852f2</t>
  </si>
  <si>
    <t>bde2bda2a0a1a567f5f020d18edd7b15</t>
  </si>
  <si>
    <t>c045627fbaf51184bd4d384c673dde98</t>
  </si>
  <si>
    <t>9226306c678a81f98940fb9131ac7794</t>
  </si>
  <si>
    <t>540dbea6ec82c0660eceb89a159dc621</t>
  </si>
  <si>
    <t>351cc577e7c0bfe6cced22f70722cc97</t>
  </si>
  <si>
    <t>37c28eb92554ce78b37c067b41a5809a</t>
  </si>
  <si>
    <t>968c671511af5b40e877a3710354e426</t>
  </si>
  <si>
    <t>ca41857f1681fff40fa2eafdda0c12e6</t>
  </si>
  <si>
    <t>da3b0d9b38a57026949ef4a9ff04bc7e</t>
  </si>
  <si>
    <t>e01e20dddd0795fff70c668df694dfc6</t>
  </si>
  <si>
    <t>d5788c6291d34ef472b9864a6aa720cb</t>
  </si>
  <si>
    <t>800efc8f9056d5d93947e8a954c8a231</t>
  </si>
  <si>
    <t>97289866f52a6cc2cb3596ddbf55a6a1</t>
  </si>
  <si>
    <t>9456d15745e4cab092b4d2a6b8e28dca</t>
  </si>
  <si>
    <t>8ab8f985e609818fd9839dd30c6b7549</t>
  </si>
  <si>
    <t>9f590c49d8f15467467d23d5254b2024</t>
  </si>
  <si>
    <t>82138f2fd689d81924157e93f702814c</t>
  </si>
  <si>
    <t>12ac678d4e648c8d78ba565577478cad</t>
  </si>
  <si>
    <t>d068d105360561adf12d2b39bc2ecad5</t>
  </si>
  <si>
    <t>1f6d9022600ee2cd56f9d413aa64cd4e</t>
  </si>
  <si>
    <t>40ee23d9b60b1f1de1d2a2d9923b4f7e</t>
  </si>
  <si>
    <t>4dfc50388aabda8427eb9e863aab1fb2</t>
  </si>
  <si>
    <t>6eda7f3ebec813946155e179243c5b1e</t>
  </si>
  <si>
    <t>44c1c06a6359f2a7f2514bbcaf627390</t>
  </si>
  <si>
    <t>2dd79c9c17e3ca264dcf021e89c19a2e</t>
  </si>
  <si>
    <t>16eaea096b00e87f2bc665d448d25160</t>
  </si>
  <si>
    <t>5a0739494ab98ed3c42fc9be73b91fbc</t>
  </si>
  <si>
    <t>eeee7525184952b42785843f3546ea0e</t>
  </si>
  <si>
    <t>2ab152fcdfb8374f473bde62ff913c36</t>
  </si>
  <si>
    <t>1b6b8e3e2d95c03eaffd4ecdc2dbb515</t>
  </si>
  <si>
    <t>37d0d16f6fc52c83f4f6a84a75230d35</t>
  </si>
  <si>
    <t>b7ea829207b2556a404796e0c9d9b4cd</t>
  </si>
  <si>
    <t>8622026dd5393ba3210afd08d4c1e2ed</t>
  </si>
  <si>
    <t>4845764db5e172887dedef00031fa7a5</t>
  </si>
  <si>
    <t>a7e33f103c1ed334bae1da7e737be90a</t>
  </si>
  <si>
    <t>6a00ff20963ab71f238c8b0dedea09f2</t>
  </si>
  <si>
    <t>1260f59833bff1191fbcac5ff992fb1f</t>
  </si>
  <si>
    <t>b25c7f451464f62ecdacbefa6295b6ec</t>
  </si>
  <si>
    <t>08f2fc60bffd63228609d32264340341</t>
  </si>
  <si>
    <t>242917bafbdde0f3193023209748abf8</t>
  </si>
  <si>
    <t>6d42cfd0adede4115bfd6785d3a84743</t>
  </si>
  <si>
    <t>f1185b1b9e8efe8518790fcabc759829</t>
  </si>
  <si>
    <t>7e41499a80098ca5a77089d9a884a472</t>
  </si>
  <si>
    <t>0579249e96d928f0891da04007a3436e</t>
  </si>
  <si>
    <t>009419990c5ef16f394b9147547764ff</t>
  </si>
  <si>
    <t>85d6811d296ff8987942ebdab3d5645c</t>
  </si>
  <si>
    <t>3bcd44092412d5b4b2068a7498128b39</t>
  </si>
  <si>
    <t>db10c2a1ad59365dec3e9388947be1a0</t>
  </si>
  <si>
    <t>5ff336a11c3e3680b07c613d7680dc5d</t>
  </si>
  <si>
    <t>57d21e63599166e5fd830701200294bd</t>
  </si>
  <si>
    <t>98582bcee0dbb820aa41830c45673e75</t>
  </si>
  <si>
    <t>1fef26ec0ef3257906c5393ca89ff576</t>
  </si>
  <si>
    <t>543140c471ae06c4dddc23a271979b7f</t>
  </si>
  <si>
    <t>c61cc3f315cba38a8832e04b1895b919</t>
  </si>
  <si>
    <t>d9beb490efb9ef0bd7091fc77db7477e</t>
  </si>
  <si>
    <t>cd0daf9e67603fdd27a74843d84be9cf</t>
  </si>
  <si>
    <t>9a934ba77f1c51b565e94025faab75a5</t>
  </si>
  <si>
    <t>035cf5c62442c0014ee2405e2e8d90fa</t>
  </si>
  <si>
    <t>5fe23a58c86c596e22ead27f07c2cfc2</t>
  </si>
  <si>
    <t>87bf4f481af8ababadd1da0242fe12b6</t>
  </si>
  <si>
    <t>369970889be974544984e34a2093acd3</t>
  </si>
  <si>
    <t>7d0db798c9094e1081ab70934cf878f5</t>
  </si>
  <si>
    <t>71187d24e27bef65e9c2ab3262d4e589</t>
  </si>
  <si>
    <t>72f387a10dc5fce65df958b3ce7e596a</t>
  </si>
  <si>
    <t>5764b2082993a68c1bea5553391a317f</t>
  </si>
  <si>
    <t>aa8fb0c50f4e8a55adee029bbb2f121b</t>
  </si>
  <si>
    <t>0e40116571ce6c4a8c8e9be89ecb7d0e</t>
  </si>
  <si>
    <t>8cc2bebe357597896d46852a0f0e5f6b</t>
  </si>
  <si>
    <t>c89016d38ca1effd674fada5f908412c</t>
  </si>
  <si>
    <t>5d3894dab0093d0164eb4c20a0fb17d1</t>
  </si>
  <si>
    <t>fa98cf5a3793732471e73c24c309b56b</t>
  </si>
  <si>
    <t>c0d05dc7c89dba84fdb55598d63e96b5</t>
  </si>
  <si>
    <t>e1a108a257fa1da51a8d4b35f93f119c</t>
  </si>
  <si>
    <t>e3bcdb134168765150103ae97c805e19</t>
  </si>
  <si>
    <t>46bc4aff9bfe3ac458a3cf5802b9b3e8</t>
  </si>
  <si>
    <t>59acf7e86683cd9c34f4817a312949a1</t>
  </si>
  <si>
    <t>96367a995c1ffd67e838e88e8c974892</t>
  </si>
  <si>
    <t>ae4b94583ae8f159f3a8b62402897040</t>
  </si>
  <si>
    <t>b9d5a443ef017708dbdabee725e5c632</t>
  </si>
  <si>
    <t>0f1c66a980db736492083a23476509a4</t>
  </si>
  <si>
    <t>5e404fbbe62ece5837a93bcf14dd6855</t>
  </si>
  <si>
    <t>bb0a845435fefb447f7c385f670e78f5</t>
  </si>
  <si>
    <t>202d48688341ada10727725a94c823d9</t>
  </si>
  <si>
    <t>bcf50437904467bf265b125c356cce1a</t>
  </si>
  <si>
    <t>fd6af3b1b906e0c50898b6e7cab5f0a4</t>
  </si>
  <si>
    <t>f420b44c419b28a16b830ddbcd9878ea</t>
  </si>
  <si>
    <t>89112e1a325e3b0bc20add4eaf402d04</t>
  </si>
  <si>
    <t>d02fb084c279c18a921346eee8ca56c9</t>
  </si>
  <si>
    <t>a2306f0be5d71cd2718a85e9f9c3bf11</t>
  </si>
  <si>
    <t>dc6bf30cf668bd8dad2cb39063b6cac8</t>
  </si>
  <si>
    <t>a2f3710caeca6f8b0e5e86deb3b7c8ff</t>
  </si>
  <si>
    <t>cbdb58a4f2ba19d343e2445d8c53fddd</t>
  </si>
  <si>
    <t>eeaa8b8933cbdce218fe8898208182af</t>
  </si>
  <si>
    <t>6c3d2c5b827694644080c576a7c2d53b</t>
  </si>
  <si>
    <t>f6da21bd25ee8dd84ba11cb1c2950364</t>
  </si>
  <si>
    <t>cc0a3a9c923ca6cb70bcdc888539457d</t>
  </si>
  <si>
    <t>f493b26cfd758f087c1d46153fede3da</t>
  </si>
  <si>
    <t>a17e7cdb424afc2b4d4650eb1245e987</t>
  </si>
  <si>
    <t>b64e19936a741ea6ae149bc247274cef</t>
  </si>
  <si>
    <t>33c47955c57cfab586bce1bd0f1bd76f</t>
  </si>
  <si>
    <t>c2d720a5de2f2b95992081881d16e32e</t>
  </si>
  <si>
    <t>14c20e3b1a7105d3769763baf1296277</t>
  </si>
  <si>
    <t>cdbad78fa59a51e052ced8826e49e8f7</t>
  </si>
  <si>
    <t>63c236b8bc5f967fc3bc1caab6e6d310</t>
  </si>
  <si>
    <t>7162c4e7f09fdb674c49f00908cb1dd7</t>
  </si>
  <si>
    <t>7aa064a5967a2979df470db7be1c4ba8</t>
  </si>
  <si>
    <t>194a55f834ab0c802cde5ad92ad07f79</t>
  </si>
  <si>
    <t>f4955afb4697f2ec54d34d29a1e182a5</t>
  </si>
  <si>
    <t>48adfb4dc4b088e9f6d63ca6d4936d39</t>
  </si>
  <si>
    <t>f511b62c35836d5964e31f18d082bb89</t>
  </si>
  <si>
    <t>4d7f47f1306b41c6beeda81628310959</t>
  </si>
  <si>
    <t>e806662f2b5bb7cab9bcacd2829d54eb</t>
  </si>
  <si>
    <t>0d4f5030956f2e15ff014ea46146c1f4</t>
  </si>
  <si>
    <t>5235d03dcf24f94e9fdba391ea5ec3f1</t>
  </si>
  <si>
    <t>30a0c6b2bf4acd1a63fbf435ec1bbb40</t>
  </si>
  <si>
    <t>aa4cf155a08bd270e63e7e18e67b8c55</t>
  </si>
  <si>
    <t>c3102a0b5964eb5df793ba4b8cbc27bd</t>
  </si>
  <si>
    <t>b71350730486266f6ea2269ad678c682</t>
  </si>
  <si>
    <t>1a58eb72f6b8e257216f6d6710a8fa95</t>
  </si>
  <si>
    <t>6b5d50eb271e9ffef3a5647e6629f917</t>
  </si>
  <si>
    <t>529fd73953dc0c0fad4e8914734aacdf</t>
  </si>
  <si>
    <t>26d390e5fe3e242f79a3dc5fb2098b65</t>
  </si>
  <si>
    <t>e92983d55f639f9c8282c078b0bf58d3</t>
  </si>
  <si>
    <t>6042e20498277f334a764be78765fd31</t>
  </si>
  <si>
    <t>4b12431da515c78d685a83931512a77c</t>
  </si>
  <si>
    <t>69439e119ef584a1772778a4296f026d</t>
  </si>
  <si>
    <t>38869d11bfc9d7eeb3d13790940892a8</t>
  </si>
  <si>
    <t>ed4727820fa58a12125dc9235685a4a2</t>
  </si>
  <si>
    <t>621b8df5336dffb9e49fffda1bfc022f</t>
  </si>
  <si>
    <t>8da243bb53bb1ec87f9bcc048cd06a2d</t>
  </si>
  <si>
    <t>ad3673fcce1aa951e075b7022cbdbfb1</t>
  </si>
  <si>
    <t>92a91ed50af21688356d563d81930cb8</t>
  </si>
  <si>
    <t>5bd0edfd8e878be08881189fe4b04685</t>
  </si>
  <si>
    <t>33648511c2cc91e132e20e140b133337</t>
  </si>
  <si>
    <t>151023b1395c2ca9797fce6c5a547047</t>
  </si>
  <si>
    <t>f20eeb4ddbe8b3da0faf1d32d8a985ea</t>
  </si>
  <si>
    <t>7ce6a12efd754e47c1d26b852b2ff83c</t>
  </si>
  <si>
    <t>b195639cce27adf59209a5d2a0426272</t>
  </si>
  <si>
    <t>0a970999839f04cead973665d0701a97</t>
  </si>
  <si>
    <t>2b0ac6ebf0ecb0d8e22195e2d846e08b</t>
  </si>
  <si>
    <t>bbba1cce8a3fa181b4d543fd2ea77eca</t>
  </si>
  <si>
    <t>9943966ea8e050d9464d098433c14c76</t>
  </si>
  <si>
    <t>3cb4b2b674fc247309f5d8374e7fc92b</t>
  </si>
  <si>
    <t>e36165ee1bc5a564294e256036ee045c</t>
  </si>
  <si>
    <t>0bc748d65b22201bfbb3983f794e1195</t>
  </si>
  <si>
    <t>d993a254fb289469476b73dd166683f7</t>
  </si>
  <si>
    <t>bbc9c7f5862c17664e35f3d04591f73c</t>
  </si>
  <si>
    <t>2c0742738d5a8b95390a4f3b7bcf544c</t>
  </si>
  <si>
    <t>638e06d321f7b96827025c01a8b68fc3</t>
  </si>
  <si>
    <t>ee7a4c5d277e03b8b14eea6e2b7f043d</t>
  </si>
  <si>
    <t>0175931044e292dce0262e8174ef69b4</t>
  </si>
  <si>
    <t>a240fa1e1c1ab70f3cd2b4e45ec42f50</t>
  </si>
  <si>
    <t>4d731fffeabd065063b39a7599cf6021</t>
  </si>
  <si>
    <t>fb2faff1fcd0727dd396bdff0dd026ae</t>
  </si>
  <si>
    <t>d727c18fcd3ec07cbf1471c4251c13b4</t>
  </si>
  <si>
    <t>c21a82a474221eeeedf5cf8776152a9a</t>
  </si>
  <si>
    <t>abbd8363f3128607d0d915242e3ab7f8</t>
  </si>
  <si>
    <t>2128e6c3aa9f14258660e7990ddd0957</t>
  </si>
  <si>
    <t>7c4d4a583b61f4a5bf6d7428c88ecde5</t>
  </si>
  <si>
    <t>61591a348a18d8034e2dec5c3e173ea3</t>
  </si>
  <si>
    <t>b7d3dbeff9d986a854471f779539d9ee</t>
  </si>
  <si>
    <t>564536012990d17bc68e98100137cd10</t>
  </si>
  <si>
    <t>25dd1975507339308d14ad9052fb7e53</t>
  </si>
  <si>
    <t>247cc043e46996ab8796ac16680a6cd9</t>
  </si>
  <si>
    <t>b65b12ef7773df15da006f9caac6fc7d</t>
  </si>
  <si>
    <t>a01d77eb43caa251958d7bdd4646c9c7</t>
  </si>
  <si>
    <t>8bb41a823b410d683c5fdc563000f448</t>
  </si>
  <si>
    <t>09c70064da33871cb750f34052342019</t>
  </si>
  <si>
    <t>9ab43335fcd46af544270ed88523ec6d</t>
  </si>
  <si>
    <t>55237408a1705eacbebcd29401a38ba2</t>
  </si>
  <si>
    <t>82054bb89acb6159bf72be0d0455484e</t>
  </si>
  <si>
    <t>e8698da1163641cd72f184581825b1aa</t>
  </si>
  <si>
    <t>4a45650764d8847bb7e5dd03115fb4ea</t>
  </si>
  <si>
    <t>98c390467875bfb1fa96e0d1ecc533f2</t>
  </si>
  <si>
    <t>3b79025da132cbccf2643675e2c46867</t>
  </si>
  <si>
    <t>40631a81531fcc8745d62359d016f188</t>
  </si>
  <si>
    <t>fdd59128c73f3abcd603444ccf2578df</t>
  </si>
  <si>
    <t>563e1c9fac0af52c14d2b3d432f2bc4a</t>
  </si>
  <si>
    <t>a012d4063770b22f3b77094e51e36f95</t>
  </si>
  <si>
    <t>974af5dcd661e4de578df42c3ef76131</t>
  </si>
  <si>
    <t>91c95b23f741e0eeb15e960773261b9b</t>
  </si>
  <si>
    <t>71ef0c89c84805d0b3522439e6f81b26</t>
  </si>
  <si>
    <t>0c79e76d017dd382ab075a4eb34cc799</t>
  </si>
  <si>
    <t>1e57aed7e970cf533e2d5bc28b06dd86</t>
  </si>
  <si>
    <t>ed66658e42f7b4afa36e6f0a058515c1</t>
  </si>
  <si>
    <t>5aeebce66139b82f3fb9819884d68118</t>
  </si>
  <si>
    <t>22d49cb3d9eb35830002d0037b4e3495</t>
  </si>
  <si>
    <t>b881e925d75d163d0030d436ef0aae24</t>
  </si>
  <si>
    <t>5496c396b37f4b0be6759a7024700328</t>
  </si>
  <si>
    <t>d1510f2cc537b4be3fe76da9bf7c2ca3</t>
  </si>
  <si>
    <t>1d422b9036e9d962fd66a1f8077a0ca3</t>
  </si>
  <si>
    <t>b58ee98fa559da8189044a2916a83cb6</t>
  </si>
  <si>
    <t>e79432caaf6b682d8593174979ef8024</t>
  </si>
  <si>
    <t>df481ab33b8278f4a20cfe4d2335fc61</t>
  </si>
  <si>
    <t>cf1fa0f0c9a38f62db20b25bdd2d548a</t>
  </si>
  <si>
    <t>b3586de8ac3808269efe854dd437b9ac</t>
  </si>
  <si>
    <t>fa07faf01a2866e50a9f6173d5711f53</t>
  </si>
  <si>
    <t>64ced28eeeeaba927d115183a78b8609</t>
  </si>
  <si>
    <t>f32232e8d67b39fdc0d56e627c2678ea</t>
  </si>
  <si>
    <t>ca29e8f570ffa191a7bbd1f93d5431f7</t>
  </si>
  <si>
    <t>73f3dd574df4c0f9460d5888ebad60e1</t>
  </si>
  <si>
    <t>a6b40c6f3350254c8448e0320bc22614</t>
  </si>
  <si>
    <t>10f79dab348359815ff7a91a3526eebf</t>
  </si>
  <si>
    <t>b1dd411ebb7edf4e08145e060748a0be</t>
  </si>
  <si>
    <t>ca98c89564b16af92f1511fb7dba327d</t>
  </si>
  <si>
    <t>6a31bf8b9829a6d000ae24de84ececf9</t>
  </si>
  <si>
    <t>4020960a3b6fed9d4998c5957caebadf</t>
  </si>
  <si>
    <t>01d4fe63e6b4607dc9f3584fa869bab1</t>
  </si>
  <si>
    <t>8970077d726c5c6188fa39b2a4ccc747</t>
  </si>
  <si>
    <t>914f45db1f74dffcf9d933cb06324340</t>
  </si>
  <si>
    <t>e27d18396f6c159c026a6815f0a396a8</t>
  </si>
  <si>
    <t>9eb9ddfe36eeb8373fdfe4eeb99256f2</t>
  </si>
  <si>
    <t>d9934a869284407f91bf4f8ca3e61c77</t>
  </si>
  <si>
    <t>ea227724e4e7ee4084f47143f5864ec9</t>
  </si>
  <si>
    <t>cc5678648e824305b41eaf051ea5a242</t>
  </si>
  <si>
    <t>6253a177808512377d4e649ce0b37656</t>
  </si>
  <si>
    <t>67d53121b320c53240037bec9c359960</t>
  </si>
  <si>
    <t>207addd4970c12bb62670fc708e4c3b1</t>
  </si>
  <si>
    <t>c9fba2452048b3012dc3666f73f38ba3</t>
  </si>
  <si>
    <t>b5ea4aa1588500dae950b4c6d59e0ff3</t>
  </si>
  <si>
    <t>0408c122e66dd8b5c892327b63f2bc98</t>
  </si>
  <si>
    <t>cbbe0d60ba5e06eac68ec9b8657639e4</t>
  </si>
  <si>
    <t>45d5dadf839dd081f6d46af3e31ad35b</t>
  </si>
  <si>
    <t>e2317b489503fc1b0a1d131aeb824e0c</t>
  </si>
  <si>
    <t>8a876827c5d6cc97abcee77a8d6380f9</t>
  </si>
  <si>
    <t>4c2239b646172c1b339396562ef48c6e</t>
  </si>
  <si>
    <t>bb6a2a1cecb596e3c629b34c9879cc96</t>
  </si>
  <si>
    <t>c85ba8b85f9e7ac4ac075d181e67b085</t>
  </si>
  <si>
    <t>d16fe9d04bb70ad3ce565b06ae16db8a</t>
  </si>
  <si>
    <t>f6d3298970ed9ae258111c8d82b8f537</t>
  </si>
  <si>
    <t>28702dbfaacdf2f4ed970a7bd87443f2</t>
  </si>
  <si>
    <t>9370a4bca6c1d2a598e572b09b1c367a</t>
  </si>
  <si>
    <t>20bbabca204c33a7712473f763409217</t>
  </si>
  <si>
    <t>f5aca6db2189c18a83a3317b1de07c7a</t>
  </si>
  <si>
    <t>3f8315b286d035deda656073345daef3</t>
  </si>
  <si>
    <t>e917a0ad2b340dac58472b674a8ce516</t>
  </si>
  <si>
    <t>76f9240e46a9ea26766658a044151434</t>
  </si>
  <si>
    <t>372a5251fe11a4c59ee5c9d0a6cb8ec6</t>
  </si>
  <si>
    <t>cd570e910a79421291214ca5207254ff</t>
  </si>
  <si>
    <t>09bd33e4f9c4374104d1cd8fe5960d19</t>
  </si>
  <si>
    <t>69bd4807024a8a497f5c581e28a2ee7a</t>
  </si>
  <si>
    <t>84e553fbc568de6ad0103f95fa3a2432</t>
  </si>
  <si>
    <t>4af48057b68f8a7ecb273883de383b42</t>
  </si>
  <si>
    <t>f6b1f2b60576c305d009a33c614b356f</t>
  </si>
  <si>
    <t>bfd366733a4f378d11230bf1287b8343</t>
  </si>
  <si>
    <t>c5ce0b9fe2e95c837237daa1ceba0af5</t>
  </si>
  <si>
    <t>d41f65335fcb7723b9392fe670f7d45c</t>
  </si>
  <si>
    <t>834af13fd5452c18ca3ff6e05292b230</t>
  </si>
  <si>
    <t>9714f9824d6199c1fcc0f3448d86ff89</t>
  </si>
  <si>
    <t>a78f6b78c4f3becb8287edbb1c48b4a0</t>
  </si>
  <si>
    <t>ae266b6ebb156339de3dea3e6f80287a</t>
  </si>
  <si>
    <t>40ab72b422fc61cc59d82c4925834c97</t>
  </si>
  <si>
    <t>96d2f12d1d014c2d0237ea8fc5b3cb5a</t>
  </si>
  <si>
    <t>e4f638c287546063684bf4d93d56f8e5</t>
  </si>
  <si>
    <t>948f26d6ac9b2c1ce8a96650b8e8ee11</t>
  </si>
  <si>
    <t>d7ee90d436768064e896266ff2ef1d56</t>
  </si>
  <si>
    <t>a8a38e1b2bd13e394494630b594e210a</t>
  </si>
  <si>
    <t>1fca901eff3c560c800770f0efe321e7</t>
  </si>
  <si>
    <t>4a9d2a7b78305cb0a0068688567cbec6</t>
  </si>
  <si>
    <t>ea263c45959bdeddd638e08be340afc3</t>
  </si>
  <si>
    <t>7bf7dc0f70890cf4593180c7f4e97dab</t>
  </si>
  <si>
    <t>ca9d10b00596b11e8e9094dbf473c52a</t>
  </si>
  <si>
    <t>383b760c77102707a73ad93f74af1399</t>
  </si>
  <si>
    <t>11b6b73a83c02fae9041a2ba9617fa2b</t>
  </si>
  <si>
    <t>6710fe29a71b0a0e225d17169c53fdf8</t>
  </si>
  <si>
    <t>3bdbf316c58ef1a62eed41ae09c10512</t>
  </si>
  <si>
    <t>4f6d3f276ff54f076201dde0294a24c0</t>
  </si>
  <si>
    <t>02376c92040fa927c870164d8c6825ab</t>
  </si>
  <si>
    <t>9aeb965ffe82e7ca8f4ab49dd3343d22</t>
  </si>
  <si>
    <t>07647b5564ee68acb2288fd02d141204</t>
  </si>
  <si>
    <t>237a4e2a51a6ab1e3ffd86c03c48c6cc</t>
  </si>
  <si>
    <t>452a471510fc551e96baf46826d1a79e</t>
  </si>
  <si>
    <t>b6fccacdb94fcb37ba924fee0a13aecd</t>
  </si>
  <si>
    <t>dea2905c22be4ccaed16e3a82955f0d0</t>
  </si>
  <si>
    <t>a3d54189da37628440282b3662a96dee</t>
  </si>
  <si>
    <t>ffec5c1c6f33fdde60e778edd620d173</t>
  </si>
  <si>
    <t>19540554c6ce7b94753dc2c452096ba7</t>
  </si>
  <si>
    <t>034a2c01ead4d3a22407fc13b3c0e50a</t>
  </si>
  <si>
    <t>2da2fed89524503a6815d91ce7ded82a</t>
  </si>
  <si>
    <t>377e1c3e92bd11e309a0df4e17f77ae8</t>
  </si>
  <si>
    <t>fa9772ba8bf4073d8e14d247c0c6c32a</t>
  </si>
  <si>
    <t>9b66d5840fd5375f2e7953306ab86e7f</t>
  </si>
  <si>
    <t>ec44f15bd2cd42019e3b9e3d27a32650</t>
  </si>
  <si>
    <t>174aab12b19f6de56e567fb6a79e7691</t>
  </si>
  <si>
    <t>a8b2da8f815720874c81a268a37bce14</t>
  </si>
  <si>
    <t>5f17121a2006eecfd3faf533045bceae</t>
  </si>
  <si>
    <t>1c61b7dd93844c5f6a614fc944ef9b76</t>
  </si>
  <si>
    <t>5357f55ceba46d6fa7bd10d1885b2135</t>
  </si>
  <si>
    <t>7d8cb629b7fb4cfab4795025fb19bb17</t>
  </si>
  <si>
    <t>e236dda08d12707567108b610594de6c</t>
  </si>
  <si>
    <t>2f899fc04333b08ec1c1a0d1b0161397</t>
  </si>
  <si>
    <t>e50ab5320b371570cdc27e243e981cb9</t>
  </si>
  <si>
    <t>c5ee7419249710e413760db624079bbf</t>
  </si>
  <si>
    <t>0c5be110889b6c40267cd997d482c58c</t>
  </si>
  <si>
    <t>990304fe4895a3fc58731f738682b6a3</t>
  </si>
  <si>
    <t>af8727d16bd0bd59f5a10c4c126dc60b</t>
  </si>
  <si>
    <t>5f25b21baaf2f3d4b141c68315389ef2</t>
  </si>
  <si>
    <t>d326b7200cdb11cdfda3e8d8f28acecf</t>
  </si>
  <si>
    <t>e03d30dd7edcc3f9b2a61cef5236a7c0</t>
  </si>
  <si>
    <t>2e5b91e3b12a2afd8368b76d331f3265</t>
  </si>
  <si>
    <t>6eb26ee01f71e7280eb3d008ba9d553e</t>
  </si>
  <si>
    <t>575f5e9f5c066c601adbe6ed3d753818</t>
  </si>
  <si>
    <t>993797b7372683a347fa5d85b218deb0</t>
  </si>
  <si>
    <t>ede9498224525b82ae0a20fe5bf85503</t>
  </si>
  <si>
    <t>3baf3dda5bdde0255293e08a3f8acd33</t>
  </si>
  <si>
    <t>53051e38b0d90ed6338a81ac73ae9b94</t>
  </si>
  <si>
    <t>1adf55a2e71f3c850a857da2ffbe576f</t>
  </si>
  <si>
    <t>4c18b1b2b160ca580ec8daa333afe13a</t>
  </si>
  <si>
    <t>462b9d00a7d5e8cf38bb43a217a8f4a0</t>
  </si>
  <si>
    <t>4674b6e072ec89e1d08dd7b9e6b577f5</t>
  </si>
  <si>
    <t>63e941566933088fd87648b77855fa14</t>
  </si>
  <si>
    <t>95cefaa13a49e6f32fc197e07ff3e07a</t>
  </si>
  <si>
    <t>f2fbce8808139df8aa8043e6f38197f3</t>
  </si>
  <si>
    <t>d3570c2e548bda993133ef7b10c36f2a</t>
  </si>
  <si>
    <t>244ff88d8c3bedc8bb3ba245e4484299</t>
  </si>
  <si>
    <t>8d5556164a9afa8b4624a7acbc23366c</t>
  </si>
  <si>
    <t>263f84b096e3f99baa3337c88f10bc4b</t>
  </si>
  <si>
    <t>ce4840fdf0e60f925435925a729e68d7</t>
  </si>
  <si>
    <t>5a92f39c89211e6be4e7593c6dc2f74a</t>
  </si>
  <si>
    <t>b2d0180311e97964a88d5f247263c4e3</t>
  </si>
  <si>
    <t>99349df74ab28d163c531b398448d627</t>
  </si>
  <si>
    <t>b3166b28b91545c7a7cf86eb7daed84b</t>
  </si>
  <si>
    <t>d5c73f2cfb1de84813cfca9d27d80183</t>
  </si>
  <si>
    <t>2f397e54d5b172b7b47dfa09821d12cc</t>
  </si>
  <si>
    <t>079e8f81c42afc9071176126af6ef370</t>
  </si>
  <si>
    <t>623d833f78abd11416635a33d8fc3fc0</t>
  </si>
  <si>
    <t>1bfb14af3707653c9de4582bbf1812d3</t>
  </si>
  <si>
    <t>1cf0a23df7b62ae3dbd51bc8631b0e4e</t>
  </si>
  <si>
    <t>48cc39adaa40a7cd7ab4322071566ad4</t>
  </si>
  <si>
    <t>57f04907fcd0827735da58c134ce8494</t>
  </si>
  <si>
    <t>a4fb91cf3ecb0c753e9c4dbf82307181</t>
  </si>
  <si>
    <t>4ab3f4ea8291b713a89bf8faa326176e</t>
  </si>
  <si>
    <t>9ca07cd95c2fb61f7c24f537cc421c8c</t>
  </si>
  <si>
    <t>091560825b3f3d1bb13a179d4864b674</t>
  </si>
  <si>
    <t>f3e3449581cb662e5343657530a6090d</t>
  </si>
  <si>
    <t>6d5bbfbef9f144c5b219a5ceb47f07b8</t>
  </si>
  <si>
    <t>cc0f45187bc7ef03d0148fe0fd4efab4</t>
  </si>
  <si>
    <t>f01ebb3234c63aa6f5fa750109c4df68</t>
  </si>
  <si>
    <t>b64b74ef0e5e58b9b74d58dd18bae00c</t>
  </si>
  <si>
    <t>2a4f76c0059b42c4ab8d44df190b179f</t>
  </si>
  <si>
    <t>c1dbe084d1f091cee6b8ed6ab33e22af</t>
  </si>
  <si>
    <t>7e277e8d582ec73ccebfeec694f59df0</t>
  </si>
  <si>
    <t>631b4031d37114c50731c9ff095e3004</t>
  </si>
  <si>
    <t>279fe9bbde314d6437c5ac6f1e4d2a8f</t>
  </si>
  <si>
    <t>9c2dfc76f3bc740d83bb4c2605c6730e</t>
  </si>
  <si>
    <t>29dac7536669dc3dd6f377d97892fb1f</t>
  </si>
  <si>
    <t>85c6726e4bb25fecc5637b73f4d324bc</t>
  </si>
  <si>
    <t>2fc54882d25f0620a8dedbc1dd406722</t>
  </si>
  <si>
    <t>d1f7ca1aa40835c5faa92b68f10cd591</t>
  </si>
  <si>
    <t>b08f4dbca8137eb8abf87f954b7b73c4</t>
  </si>
  <si>
    <t>83ec85ec9d51292c8d5817ad7554f286</t>
  </si>
  <si>
    <t>0a82b1155aeec2b17091b3b0d242aa96</t>
  </si>
  <si>
    <t>96264e4c2738c97c3e09e26f954d9b2f</t>
  </si>
  <si>
    <t>7e4360514effb77a9a01772f0b573d70</t>
  </si>
  <si>
    <t>6793c881d69f2d818bb9a9f108d7f110</t>
  </si>
  <si>
    <t>5534233d92137921b9fae0bbf02ae106</t>
  </si>
  <si>
    <t>9d79add1aa4c337f4d39a479ee99bea2</t>
  </si>
  <si>
    <t>62b1dc8c08b2b962ed0e33e43f4c1bfd</t>
  </si>
  <si>
    <t>800546c6ab9b02dfdc1108412e62e051</t>
  </si>
  <si>
    <t>57b5f67dd1c2f79a6f7dd858a0f579a2</t>
  </si>
  <si>
    <t>c7703e24e3db04c5266b1209c47cc50a</t>
  </si>
  <si>
    <t>c96561dc153e72d41c809444636bd176</t>
  </si>
  <si>
    <t>f1fb89e5ac5de31a4334b2065c8feb80</t>
  </si>
  <si>
    <t>cff9e66da470819211ffcf8e76180820</t>
  </si>
  <si>
    <t>0755ac4a6b45253aefe7730c489bf88e</t>
  </si>
  <si>
    <t>bb41914c36715537364119198c64b998</t>
  </si>
  <si>
    <t>1ddbff277d8e4ed890b8872906b7c434</t>
  </si>
  <si>
    <t>5ebaaff06f0f21c98528c3ec5455d39b</t>
  </si>
  <si>
    <t>7adf0c8c5813d032428ffd27d3c13b3d</t>
  </si>
  <si>
    <t>990695c2789939c331985f30a358c03f</t>
  </si>
  <si>
    <t>be5eb6a93faa6a52592d9026b6581ce6</t>
  </si>
  <si>
    <t>531910e31b1f4955c109f18fa042f0f5</t>
  </si>
  <si>
    <t>327fc86664def77daceb78b3a6536cd4</t>
  </si>
  <si>
    <t>b044f996551a3405b9e5afe37496e490</t>
  </si>
  <si>
    <t>93de255cf730fa07aaffae96e8ebd52e</t>
  </si>
  <si>
    <t>8192cbbc4058d2b6f2eadf2522975e25</t>
  </si>
  <si>
    <t>0385b5aaeafcae968aca17fc3cd238b6</t>
  </si>
  <si>
    <t>a2ca2d8f1ae49e2aea3461a682f75228</t>
  </si>
  <si>
    <t>0be6b0525a1b283317e6704be3b20202</t>
  </si>
  <si>
    <t>f9711122f068f0c0211e3ff3ee6438c3</t>
  </si>
  <si>
    <t>4b2dbfad86db1f2cc20ba146acaacdb6</t>
  </si>
  <si>
    <t>9d2d5adb3cf761863cd6d47ba8987236</t>
  </si>
  <si>
    <t>93a29ac7c6cd9756a017669ebf41ee70</t>
  </si>
  <si>
    <t>71eb4a6e48d673bd6acf018f83b43470</t>
  </si>
  <si>
    <t>7b12e61c498b4308651538ab8a64874d</t>
  </si>
  <si>
    <t>764434dbf82c1f43e11364e96c92c439</t>
  </si>
  <si>
    <t>62ace50be4f0eec22092b2aa5f4cfed9</t>
  </si>
  <si>
    <t>d972c550033aef7f92e3333a3b6df0fa</t>
  </si>
  <si>
    <t>74ea928f2bf37d625ed6652d96d521a3</t>
  </si>
  <si>
    <t>97cac50e4077dfa0e336829f3c46ab80</t>
  </si>
  <si>
    <t>43383769f297c8326e1b4d4f559f6ab0</t>
  </si>
  <si>
    <t>7975406268cbbb76adb97d040ec3d533</t>
  </si>
  <si>
    <t>9fc1d1c94f28e942ea803c670f76fdb5</t>
  </si>
  <si>
    <t>a70c6aad2760bac669a3a64207ae678b</t>
  </si>
  <si>
    <t>7aaf2835ad83a7466cd6242a4dbcd554</t>
  </si>
  <si>
    <t>befa5b2119ea0308af9cf455aa98d379</t>
  </si>
  <si>
    <t>04cecaf5107999d8ef8acbd612b81b74</t>
  </si>
  <si>
    <t>93c2f0307d6d78b99c646e423695017b</t>
  </si>
  <si>
    <t>ed7c1771182ec7fe95bf40e76e5245d3</t>
  </si>
  <si>
    <t>a349e4de254f08e278b87b3952526ed9</t>
  </si>
  <si>
    <t>83091bb3869f3bbb26c4328af9eb1945</t>
  </si>
  <si>
    <t>efbfdaff1797d5de25a21fac50258ab4</t>
  </si>
  <si>
    <t>6bbf64f713223b65e9aa1061db029f36</t>
  </si>
  <si>
    <t>9977844ff61ae6f288de01f9ef4a926b</t>
  </si>
  <si>
    <t>611f07c83660ffdaff4c9463a5db027d</t>
  </si>
  <si>
    <t>80da80e6650143cd4c5390eda008e903</t>
  </si>
  <si>
    <t>646bb63e563f151810c3e6bacb6ea42e</t>
  </si>
  <si>
    <t>f640f7bfb791ab07905ccb3623f30ce4</t>
  </si>
  <si>
    <t>ee65afcb2c6e7d0099b437f6988651a8</t>
  </si>
  <si>
    <t>3c2843af92631abe932a54188415bb6d</t>
  </si>
  <si>
    <t>cd34d2ea83f3edb82cdc648ed7168d8f</t>
  </si>
  <si>
    <t>83f8f2c1536f4b2726a783f3bb0bf37f</t>
  </si>
  <si>
    <t>1335e5fca87351079967b9b435f5db64</t>
  </si>
  <si>
    <t>005666fbe2ddf222d32f01acc5eb52b2</t>
  </si>
  <si>
    <t>eca34b39e0dec6180a65317983195936</t>
  </si>
  <si>
    <t>83894654663dd462bb3755173b7506a0</t>
  </si>
  <si>
    <t>575c10a0a8de439c129dad02f3fecde4</t>
  </si>
  <si>
    <t>0564c5a30c5c92d975d8c8a5c9587ed3</t>
  </si>
  <si>
    <t>8823907392419dca161e2312ff5be132</t>
  </si>
  <si>
    <t>28a7f85f0e5ee752b346282ab8122176</t>
  </si>
  <si>
    <t>677588e0055ccbbfc73ccff0c6323141</t>
  </si>
  <si>
    <t>6845e5d9df69d451e17ba38c976dce88</t>
  </si>
  <si>
    <t>885ff2cbffb866b23df8d78b8aff2d40</t>
  </si>
  <si>
    <t>2db31ef1b39cdf7bc30d96e4ca088455</t>
  </si>
  <si>
    <t>1a1b8d837cde4feb91e23f00da992e1c</t>
  </si>
  <si>
    <t>d53cf28fb576a7bc20b390437c1a2c52</t>
  </si>
  <si>
    <t>2cd5dd907cee28d76840700ff48cb851</t>
  </si>
  <si>
    <t>89fe21b1f3620921c16a615665d01999</t>
  </si>
  <si>
    <t>e4d1e04bc51deee5972d991fc39e2cb9</t>
  </si>
  <si>
    <t>a7e20e8f5c52b87138f9cc491c689d1b</t>
  </si>
  <si>
    <t>e6374a7a42cf8c18ef46665d98f054b5</t>
  </si>
  <si>
    <t>afb667b156e2f3745de3ebd4c17cf458</t>
  </si>
  <si>
    <t>696890da1d6c6a8c6020bb4b3929c512</t>
  </si>
  <si>
    <t>da4d59481556258a5f1f3f7c364efdc6</t>
  </si>
  <si>
    <t>06543e877be79b0564fc4a9356bac6da</t>
  </si>
  <si>
    <t>1089bb984e63e71027d246ad62f45885</t>
  </si>
  <si>
    <t>2cc64ab274c7243f8ab27d12c1b328bb</t>
  </si>
  <si>
    <t>a99734b145404b24da7e1908916dad6c</t>
  </si>
  <si>
    <t>395e5d9c17e5b3f5740b050afef76084</t>
  </si>
  <si>
    <t>e5513c80d182a349a0bd1b90d897ea13</t>
  </si>
  <si>
    <t>daa1710fde76cd7a7a3a1fcfa6d5acc1</t>
  </si>
  <si>
    <t>cecf3c1b46eafa31ae90c1061664ee0a</t>
  </si>
  <si>
    <t>b95d4f25ce0b451148f7d1ff397575c2</t>
  </si>
  <si>
    <t>9d8c32ac9b48801ab726dec0a3a7820c</t>
  </si>
  <si>
    <t>f71dac9222df82aa0bab8ead923d21f4</t>
  </si>
  <si>
    <t>361596518a020329ff7227c5b3b46335</t>
  </si>
  <si>
    <t>05eb60ae7f75c55b8b08ba4e8dc10be1</t>
  </si>
  <si>
    <t>1bd7b83d5cbd71a4ebd2f33b74b665bf</t>
  </si>
  <si>
    <t>207f112c939019f6f6fdb6619755a5d4</t>
  </si>
  <si>
    <t>7cd1e099c4fd34bb5609789d4e8dd304</t>
  </si>
  <si>
    <t>95e61d87b34d0a8b0d106b4a6254291b</t>
  </si>
  <si>
    <t>33b1158d530b034fb7853de53ec360ba</t>
  </si>
  <si>
    <t>26551498e1b467e24a6650cc895500ea</t>
  </si>
  <si>
    <t>e015837f1df96ac1ab8ce17c7a1ee1d5</t>
  </si>
  <si>
    <t>d744a7bb71af6fcaa4e40e7784ffee79</t>
  </si>
  <si>
    <t>14d93c00653f42ef22a248e7b497e2cb</t>
  </si>
  <si>
    <t>2e349306a75aa26354c50de8366d158b</t>
  </si>
  <si>
    <t>19a2028f3eda600bf33ba0d4259b7572</t>
  </si>
  <si>
    <t>1998f66067ca5be20cd4fb75b21d75cf</t>
  </si>
  <si>
    <t>39874785537e478272d27ad1e8afa5a0</t>
  </si>
  <si>
    <t>1f9811aa15a2a0a1ac837851bf8fca83</t>
  </si>
  <si>
    <t>56a2e79b6e7ee5d40f0362adb6ce6e1c</t>
  </si>
  <si>
    <t>039ec9d0c2319cd9f3442f14bdd16b8d</t>
  </si>
  <si>
    <t>7090a0358c03bdaaeeabfc763754031f</t>
  </si>
  <si>
    <t>80f003222ea430b20142e53cecea441e</t>
  </si>
  <si>
    <t>6e0ebcb915c7e1c8c491b677f5a0560d</t>
  </si>
  <si>
    <t>af7bed9479119996919b0f32086f27e3</t>
  </si>
  <si>
    <t>ca968c0830366f4a4f7cf6a77b2ca9f1</t>
  </si>
  <si>
    <t>27e6c79bc0eb9b71d84fdf8ce93b2265</t>
  </si>
  <si>
    <t>92676fcdff85a26b521ae814fe84a430</t>
  </si>
  <si>
    <t>f59cc6b5e2177a56104f60fc7649046a</t>
  </si>
  <si>
    <t>5dd6a895cf56f80db37bf7dff79c73e6</t>
  </si>
  <si>
    <t>fb2e03aea898bccbf021f101d4ca39ad</t>
  </si>
  <si>
    <t>7131247fa7dfc72f6833c90be0ebe9e7</t>
  </si>
  <si>
    <t>fcce9e818a11e5e041efc8f83986a743</t>
  </si>
  <si>
    <t>1b44685f9bd40d6104a2bea55366c806</t>
  </si>
  <si>
    <t>865701e62425e41462c34c336528bbd6</t>
  </si>
  <si>
    <t>bd9b4153bc14a12dd2e83e7333ee40bc</t>
  </si>
  <si>
    <t>ae82a2a498fad8f87037025f17299844</t>
  </si>
  <si>
    <t>a90f0efba1475f68bf9dc0edcc3ec721</t>
  </si>
  <si>
    <t>322ca2da26ab1f5ec6c481122628e4e1</t>
  </si>
  <si>
    <t>45a5b6142821417c935b6ca651cf3677</t>
  </si>
  <si>
    <t>0b548087343721bcaf341672e4932974</t>
  </si>
  <si>
    <t>0122dbc038a705149aee1b1a99c9a2ed</t>
  </si>
  <si>
    <t>d6105741cec2176badc5a362bb5a506c</t>
  </si>
  <si>
    <t>c5e359b815028f70ae367d9ef2f67aad</t>
  </si>
  <si>
    <t>b0f648538da784e5c09e972371b62d89</t>
  </si>
  <si>
    <t>4cee252a5d303ff7f82b8d3091c0c923</t>
  </si>
  <si>
    <t>de9c3d83ef0d7a15dba2f4512eec4673</t>
  </si>
  <si>
    <t>9660a0a0bf503fce04713bbd5e2bc859</t>
  </si>
  <si>
    <t>486f1fa6193b8498a0cbc1e394267c5f</t>
  </si>
  <si>
    <t>c991ce2f07b856a2e80981d9b5e5c362</t>
  </si>
  <si>
    <t>24f45dc6c88743bf9ebd0511e0591030</t>
  </si>
  <si>
    <t>e113ce9410124ccae08b02a2546d0e51</t>
  </si>
  <si>
    <t>be719e23bb88df0907d010c92c28e550</t>
  </si>
  <si>
    <t>c3b5048b0da125261408bae2e669f6f5</t>
  </si>
  <si>
    <t>e92c6fc837b984958adaaafa5f14fc5d</t>
  </si>
  <si>
    <t>303a7bb6ec533fce61e8a40e93270e36</t>
  </si>
  <si>
    <t>a536cc445f82f256cf330d5e3042e261</t>
  </si>
  <si>
    <t>0a8dcabc73b337970c338f72449a73c7</t>
  </si>
  <si>
    <t>c519d41ee6bedbfe3115901dda805c44</t>
  </si>
  <si>
    <t>5801dfda9fa65f07078a72887d3eb7e4</t>
  </si>
  <si>
    <t>99d25fce52ebea9e3d2f980c08d631e1</t>
  </si>
  <si>
    <t>e6f8fc26809d9ecf1f76a2e30ec290e2</t>
  </si>
  <si>
    <t>7dddb78ff96beb648162875d56dd206a</t>
  </si>
  <si>
    <t>736d51710dd86aa932564636be0b02a2</t>
  </si>
  <si>
    <t>4e1feec28d3dc48772255a3fdfa15eeb</t>
  </si>
  <si>
    <t>b68a133ed9f9181b303a0609cdd9dc79</t>
  </si>
  <si>
    <t>42c94725b8061cc3320a4530d1939e15</t>
  </si>
  <si>
    <t>890125f7cc54211ea4ca7841694ef873</t>
  </si>
  <si>
    <t>c1355aa865b8ff095c687e1249f3ed0b</t>
  </si>
  <si>
    <t>d1e540414dc4dbbf3ceac3299b4cafe0</t>
  </si>
  <si>
    <t>4fba24ca848813b862f397a56037d00c</t>
  </si>
  <si>
    <t>0d069dfd9f03445dc828087b04463790</t>
  </si>
  <si>
    <t>f77a44646e66741238853026f158b96f</t>
  </si>
  <si>
    <t>b202167eb1a7f877b0f62705158d2ace</t>
  </si>
  <si>
    <t>1bd944005945c46f2db6fd89112b0cd2</t>
  </si>
  <si>
    <t>5bbf1448e5c36518ccfb84ae82f3ba0f</t>
  </si>
  <si>
    <t>04bebbb06b1cb2a85acb0fb09bfea650</t>
  </si>
  <si>
    <t>f2dd87da7b197d31c3f7c2b792aa4317</t>
  </si>
  <si>
    <t>84e636d280c5bc1ef2b06416ea54deb1</t>
  </si>
  <si>
    <t>5ad947c70ad7a012736f70071bd44644</t>
  </si>
  <si>
    <t>d6dd3c24f507f70e1ee032cc849ad802</t>
  </si>
  <si>
    <t>e47b69a31d68320b70b25a7edcb752fd</t>
  </si>
  <si>
    <t>141442566ff24e78bd0da3ee5e976c41</t>
  </si>
  <si>
    <t>bbc1c2e3f6505bf52ac0a1229f747cd2</t>
  </si>
  <si>
    <t>3e0ddca039564056b528391e26b8b6ad</t>
  </si>
  <si>
    <t>ca81aceb6a29500ca7042e2469cf471f</t>
  </si>
  <si>
    <t>b13dd105946661af89857a91911fecce</t>
  </si>
  <si>
    <t>2cfc3f2d10b9383337164d504d64d2f8</t>
  </si>
  <si>
    <t>715613f230a617c969a8c2e7fc9cae9d</t>
  </si>
  <si>
    <t>90803a698c12ead6b8f90a4ba2b8d3b0</t>
  </si>
  <si>
    <t>cb7f27d888f2d86589a3cbffee7c5d47</t>
  </si>
  <si>
    <t>10f150890ff6535edb0959e73ffc1eb8</t>
  </si>
  <si>
    <t>7859253995a52b7e58e5deb54e8d0d7b</t>
  </si>
  <si>
    <t>5f3e89d9b7cb5ac0fb08a1fe130dfcc1</t>
  </si>
  <si>
    <t>125a656cee3bf8a1692282118f390c6d</t>
  </si>
  <si>
    <t>8cd7d0fd86266f19bbd6465a7bd4b9af</t>
  </si>
  <si>
    <t>2d9fcbb7853349600c135eeb91173225</t>
  </si>
  <si>
    <t>2d5203d1dada7914c995a73932ddbdfd</t>
  </si>
  <si>
    <t>9658877ffae5fa965b7b79a7982f262e</t>
  </si>
  <si>
    <t>6bd99def27cff8366d0b1540682b404e</t>
  </si>
  <si>
    <t>b1e1335e55aae9d91c66c2206cf325b9</t>
  </si>
  <si>
    <t>18ee650f8df2a968fb44afd75b5d3ced</t>
  </si>
  <si>
    <t>cfab9f9db75cddb059d3a84f961ea074</t>
  </si>
  <si>
    <t>9cbdd6750c600e54517ca53b830e2917</t>
  </si>
  <si>
    <t>7090970c956f53bb30eb6febeb603874</t>
  </si>
  <si>
    <t>77b612d9cc822c68568abc4b60512661</t>
  </si>
  <si>
    <t>802381ddb7524dcb22a3714b1d9ccb99</t>
  </si>
  <si>
    <t>5147797d55c8b5640c51378019985248</t>
  </si>
  <si>
    <t>6d0f850349696dad4efd44354061233d</t>
  </si>
  <si>
    <t>c9f6fa92a6e996fa8823978a639ac0c8</t>
  </si>
  <si>
    <t>207223f146460c33e3ce6653e56544f6</t>
  </si>
  <si>
    <t>f8983f5736c8b9766115e1415f7c6883</t>
  </si>
  <si>
    <t>ca51b1384572a06dfd23d981992582d6</t>
  </si>
  <si>
    <t>d0063bc64878a791e5d235ffbfe87054</t>
  </si>
  <si>
    <t>bd8fa509bded66e3509ec3cef549c5d6</t>
  </si>
  <si>
    <t>cbcc22955d890220135167ba47224eac</t>
  </si>
  <si>
    <t>43e2765895d3d9bc98075a13484e4fb2</t>
  </si>
  <si>
    <t>5c4b2544297b8ce1f3aa73a646c939b7</t>
  </si>
  <si>
    <t>a5311c37833d842ecc0f5f91040b5ca0</t>
  </si>
  <si>
    <t>598dba83cd45db023eab0a995e76a3ab</t>
  </si>
  <si>
    <t>72e284c1b0affeda36733219b7853fb9</t>
  </si>
  <si>
    <t>b8d04c256c2f2a97eba74e754c2860bb</t>
  </si>
  <si>
    <t>47bfe00803a29b71630eaec0fb141184</t>
  </si>
  <si>
    <t>ce86f909af1da9e11c3a7fe6eb22f844</t>
  </si>
  <si>
    <t>90832936f35d1a623b4ba89fa49f00f9</t>
  </si>
  <si>
    <t>5ff1e4861cfb8fcb88728a70dc8fd7a1</t>
  </si>
  <si>
    <t>92c109638f07e384d4f57fddb98492de</t>
  </si>
  <si>
    <t>f36d8fe8f46f65a13f2803e9df3f4e7c</t>
  </si>
  <si>
    <t>7125aa9e91660962ebb8977fdda56709</t>
  </si>
  <si>
    <t>ad1fbef73ba66ee499ab40336409f497</t>
  </si>
  <si>
    <t>03f159f1f02aac37f7f2dac2759fcb1c</t>
  </si>
  <si>
    <t>529021c95ca539cfd74b8b74b7e65ab8</t>
  </si>
  <si>
    <t>eb57b5dbec89148702ee42d5c0abaabc</t>
  </si>
  <si>
    <t>59b1890a9e2abae297a9e0c9ec4336bc</t>
  </si>
  <si>
    <t>05f9acf6047535084a541e7d2e0e01aa</t>
  </si>
  <si>
    <t>1ebcb0136de3c9806b7b768f187ee6dc</t>
  </si>
  <si>
    <t>ede09f07905eee5d5ee8a770a527ed8c</t>
  </si>
  <si>
    <t>2c936a61c403b0ac2beaf42ed535462d</t>
  </si>
  <si>
    <t>b42b4f1f24c0a95110bdff900f10d7ec</t>
  </si>
  <si>
    <t>d2bac33e30002d6b64fd660a2e01e7ba</t>
  </si>
  <si>
    <t>04e152d40f47086d5043d09e12bf86ba</t>
  </si>
  <si>
    <t>374a501d8a838a4a477775631153d623</t>
  </si>
  <si>
    <t>abdd321989b932a0908f3962027e8f7d</t>
  </si>
  <si>
    <t>5979393f8e9250efab3e084d4f5bd5c4</t>
  </si>
  <si>
    <t>b7b4f8d266193106bfc36fe70189a292</t>
  </si>
  <si>
    <t>f4625b80e656777abea504ab225980ee</t>
  </si>
  <si>
    <t>4b7f21470c4f5e1c312558d1f96febfd</t>
  </si>
  <si>
    <t>5e6102f2a972655b866a0fdefb1cfd03</t>
  </si>
  <si>
    <t>dc17597ff2ad58bb3f2d296ea92240a2</t>
  </si>
  <si>
    <t>04b7b5a0ac367e208fe200f107dd0b2a</t>
  </si>
  <si>
    <t>da73aa1d736447fce4517bc438feca09</t>
  </si>
  <si>
    <t>02b10763ad72d1f13fefa74445687669</t>
  </si>
  <si>
    <t>6466a70bdb6ccb9fe7671616a8687c73</t>
  </si>
  <si>
    <t>8522db52ef84233fb856772c9918a945</t>
  </si>
  <si>
    <t>f74b025afbcb4e7017e3f7cc38667168</t>
  </si>
  <si>
    <t>e092c833ab28dd2bc143f69b798362f4</t>
  </si>
  <si>
    <t>04a47aa9d7c968e64e1bc38e2e4acae6</t>
  </si>
  <si>
    <t>eabec2a46879ea28431b8466cc330874</t>
  </si>
  <si>
    <t>ef3afd2ed59116d8deaa5cdc77a99438</t>
  </si>
  <si>
    <t>9b752290ef5c3704d58d433cd932a596</t>
  </si>
  <si>
    <t>1622157b3a841cd9f9973cf623e67cbe</t>
  </si>
  <si>
    <t>db376c44f8a8f5dccec27ad170afb99b</t>
  </si>
  <si>
    <t>0ef1d2abaf6dc888c5d1c915a75e9548</t>
  </si>
  <si>
    <t>73e3a888b636361f531a8207208277be</t>
  </si>
  <si>
    <t>74a705f8ea09ba6cf5f1b207f9f8131e</t>
  </si>
  <si>
    <t>293481f0235c53dc175d7def00df5a6e</t>
  </si>
  <si>
    <t>0d568adc111043849b40192d9d9c468a</t>
  </si>
  <si>
    <t>9d4af57b40beead8b7c18fb1ac963c1d</t>
  </si>
  <si>
    <t>ed45fc294496e21545a01de63538777b</t>
  </si>
  <si>
    <t>17ffd63495d58bb4f0c8c6d09b95c69a</t>
  </si>
  <si>
    <t>fb3e66994857b9a78ea155573049dcc8</t>
  </si>
  <si>
    <t>33bd8017f4f766b7e931190583852a65</t>
  </si>
  <si>
    <t>a7c5907725ee377658bfbb38f077264c</t>
  </si>
  <si>
    <t>c78ff2888e551934950e1c9ad9e184d6</t>
  </si>
  <si>
    <t>bcf6f61b1b757bbc6430012c7c5deec8</t>
  </si>
  <si>
    <t>3072c7140da91da2f30dda1f076b0fc2</t>
  </si>
  <si>
    <t>0ecf38559751161661c3054de31ab30e</t>
  </si>
  <si>
    <t>8752f891dfe2ba3633f63baf497c0ab6</t>
  </si>
  <si>
    <t>bc3fd199695941d90637013e57efeae9</t>
  </si>
  <si>
    <t>564d72d695371dc86f0cacd241aa0714</t>
  </si>
  <si>
    <t>02cba9c05a586bee5fcf76045b7b2547</t>
  </si>
  <si>
    <t>5cebfe1bbfcec1c93eca540f895188b8</t>
  </si>
  <si>
    <t>3041b18639e60fd9ca8d7295ffa98c15</t>
  </si>
  <si>
    <t>5010c87b0eb136d0d6c6c3634beb4db3</t>
  </si>
  <si>
    <t>7a3cdee038224f4edf54073d49a9e886</t>
  </si>
  <si>
    <t>25b8301bc64955a64ace3ad168d72d87</t>
  </si>
  <si>
    <t>cfc8df1ab0ca11e89ffecdd6fc42081c</t>
  </si>
  <si>
    <t>e44c937f78dc131eabbb5f37b716777a</t>
  </si>
  <si>
    <t>747e43d7d4857bfcc78a3b5f6a61782a</t>
  </si>
  <si>
    <t>03b204a611bbcf96de4b7efbf880551e</t>
  </si>
  <si>
    <t>e260e2cbdad115bac4cdb0581f671ef5</t>
  </si>
  <si>
    <t>252dad251952a45daec98b6fa776249d</t>
  </si>
  <si>
    <t>cbb5037b085a6d0242250adc6dde0662</t>
  </si>
  <si>
    <t>697546fa71475bcc96be45d1ce3aa9f7</t>
  </si>
  <si>
    <t>630055e640eeaaeb9823e4d213a66432</t>
  </si>
  <si>
    <t>ac97cc25bb12b051a8337e64216eab34</t>
  </si>
  <si>
    <t>93f851720b387e8738f0bee373e94319</t>
  </si>
  <si>
    <t>3e1f7ba2e43915f4fadcbd75b2c3472c</t>
  </si>
  <si>
    <t>a9611a9a83a9ddab7152a575d7be0c18</t>
  </si>
  <si>
    <t>7d6c6460a92bc089ffefb530fb91bca0</t>
  </si>
  <si>
    <t>121e755d51f7a766ff2f92d2384c6d18</t>
  </si>
  <si>
    <t>3340bbeb37fe23dc8909f936e9e36c61</t>
  </si>
  <si>
    <t>863b8b00745ca90b6ca58ac4fd6ce794</t>
  </si>
  <si>
    <t>a084998379503e149a1caec58108826f</t>
  </si>
  <si>
    <t>e632436b1054a26a6caa33cba0ab691e</t>
  </si>
  <si>
    <t>af648d044aad2da54baecbf2a0cefaa6</t>
  </si>
  <si>
    <t>c13b88ec894484b8ed3cac2bd2abf27e</t>
  </si>
  <si>
    <t>4a2a699cb710e904af509397b95ad825</t>
  </si>
  <si>
    <t>670cd9006e2d437de902bb781b9ea523</t>
  </si>
  <si>
    <t>2c5a55be122978b032f1f72a7a3002d8</t>
  </si>
  <si>
    <t>d2cb159965511cfaaa1a3cbddb2b6b8f</t>
  </si>
  <si>
    <t>e350c4df6aa38f2078a9639e10d76954</t>
  </si>
  <si>
    <t>2fc70c247c051900c8abaaa45291a550</t>
  </si>
  <si>
    <t>a445b6401e3e4d84ee679e972a27dd5c</t>
  </si>
  <si>
    <t>785dcdbc58a710e224aa1142dfe47b4d</t>
  </si>
  <si>
    <t>85c04666b7024c4919f632488106471b</t>
  </si>
  <si>
    <t>fd8e60cb42297bbbbaaaf1ac6bee35e0</t>
  </si>
  <si>
    <t>2ab9337d0f09cd2880f06d13814e63f5</t>
  </si>
  <si>
    <t>2030b3782100634ff5f55d32f277f534</t>
  </si>
  <si>
    <t>153b6859e8eec8d10851ffd1d8117ac9</t>
  </si>
  <si>
    <t>fbf612b1ce9022eb8c38a5e3fe723ee1</t>
  </si>
  <si>
    <t>e2fbd89c08d0dfbcce0761dabb116c30</t>
  </si>
  <si>
    <t>08c40ca6ee6c025d3bb786361f568cb1</t>
  </si>
  <si>
    <t>de1c3002883f35f9886ce2d28d819531</t>
  </si>
  <si>
    <t>08bebae285d6bd0b91151f62a8ad97cd</t>
  </si>
  <si>
    <t>7d5bf42abd2fb15dc664483dd711f2b1</t>
  </si>
  <si>
    <t>14167b3e442b14a78cb681162afb8541</t>
  </si>
  <si>
    <t>d7546f8557095b0a47ac76683a070aef</t>
  </si>
  <si>
    <t>a3c435b57b9c8d0c8a8e9e7430c4a0d4</t>
  </si>
  <si>
    <t>e50546c383c9e70c5ff6090f0217bdf6</t>
  </si>
  <si>
    <t>3ae118f004f43a45773bdb932af46cc6</t>
  </si>
  <si>
    <t>6f17a0bfed1ded66279d95ed4c2c6554</t>
  </si>
  <si>
    <t>c19bbff42789e6541c0139f4434b43a1</t>
  </si>
  <si>
    <t>6691cd6ab6c6f9d21928da693e728c20</t>
  </si>
  <si>
    <t>c38dcae85eb198605860e886a2dd63b0</t>
  </si>
  <si>
    <t>7f5f8fa0663c4c221a3777975a011dea</t>
  </si>
  <si>
    <t>cfdca0637e04017d980fdfee9f0d31b0</t>
  </si>
  <si>
    <t>799809eb329b5ad96e5afe56aaa9c97d</t>
  </si>
  <si>
    <t>f4e57c86f680e6f3b1dd80b20fd5647a</t>
  </si>
  <si>
    <t>c633056a3a806989094680361ac58a61</t>
  </si>
  <si>
    <t>1e5833efae569a614b4db0a36ecb6d85</t>
  </si>
  <si>
    <t>d676b4709ea638753d1dcf9a5dd4bfdb</t>
  </si>
  <si>
    <t>76aefc82d0655bcb8b044a75a2789549</t>
  </si>
  <si>
    <t>77ebc7bfcdc2eebc69851f6a0489f046</t>
  </si>
  <si>
    <t>2abe70d71396876a5596206fe356a76e</t>
  </si>
  <si>
    <t>9899fb68bb9768164ab39618da5dbd14</t>
  </si>
  <si>
    <t>90be2052934691494e273c078075fd8a</t>
  </si>
  <si>
    <t>3b9ae440a078592087474ae5a550993d</t>
  </si>
  <si>
    <t>f4901fbfe2cfc6acf8e491ac4a579232</t>
  </si>
  <si>
    <t>ed8c8a6e9d0116fcd6e2a2ca23d2cebb</t>
  </si>
  <si>
    <t>251b89c6a4510fc38127b216cd8c0ee1</t>
  </si>
  <si>
    <t>f5654d6ce25f8376b81decc7e5c173d0</t>
  </si>
  <si>
    <t>1eff0d682ed5c3aeba3bfa0496fbd81a</t>
  </si>
  <si>
    <t>9f33ec5c16aa35290a8c583cbee71594</t>
  </si>
  <si>
    <t>8c93dd69dc29d0af3146d926071522c9</t>
  </si>
  <si>
    <t>0a8d6b06cb4133e57be119e3cda157f2</t>
  </si>
  <si>
    <t>d9e0fa003af9d5af6c5d1050ea950cf5</t>
  </si>
  <si>
    <t>fff775f5823f261950a23dac596eda5f</t>
  </si>
  <si>
    <t>9ce711b916666f311e61b13466b685c4</t>
  </si>
  <si>
    <t>95afbe863ecbff608acbf4c41e74b5f8</t>
  </si>
  <si>
    <t>947463b1f4f3e4adf9d021ae219cc4a6</t>
  </si>
  <si>
    <t>ed3226e01f149b2b4f71f195ac84820f</t>
  </si>
  <si>
    <t>e1490d9edcf9a7d3415fa3a23a279cb2</t>
  </si>
  <si>
    <t>c9cd6cec34bbdbcb2497eda4a733b32b</t>
  </si>
  <si>
    <t>34ce2bd6b5add2e5f1823aacc137f71b</t>
  </si>
  <si>
    <t>e86744654bdee255d857a90c3e492e9e</t>
  </si>
  <si>
    <t>4f270bb22bc22e3f3b11085984799b11</t>
  </si>
  <si>
    <t>f598a48b6530c916e57d7fa54e98622e</t>
  </si>
  <si>
    <t>6580dfb3a074debfd220d5e0a13c24c2</t>
  </si>
  <si>
    <t>91d8b32448a299ca32d8b19507d800b0</t>
  </si>
  <si>
    <t>e00184b272600c23168ad5d44941383e</t>
  </si>
  <si>
    <t>92f736de561cf3f5ef22e5275a99db5b</t>
  </si>
  <si>
    <t>e62a953e91f81b39d894f47c79c0bff6</t>
  </si>
  <si>
    <t>c36a4924d0b847b9ed6dcc548ddd0b7f</t>
  </si>
  <si>
    <t>4e2f38d595430ff7e957d3869d57bfe2</t>
  </si>
  <si>
    <t>2af9bd443010bcbf15e13bdc9939cf79</t>
  </si>
  <si>
    <t>735968fa2d863a2dd6e2c8d5dba1444f</t>
  </si>
  <si>
    <t>b496ffd36757df6c3fbf073e0811a8af</t>
  </si>
  <si>
    <t>1954759db43056d154a5841ae80601b7</t>
  </si>
  <si>
    <t>7d0d1a1de1c973d0c8f553308473d885</t>
  </si>
  <si>
    <t>524e152823b4ac115ee5bc2d72cf9af7</t>
  </si>
  <si>
    <t>1d67746c5255e6d9ec369e99b46cd554</t>
  </si>
  <si>
    <t>288620277c7bfa4d52ac1023b268f89a</t>
  </si>
  <si>
    <t>064819f5a8b3cd63e95980429a565b6f</t>
  </si>
  <si>
    <t>ac709aad535456c9f9ef5d6774299f77</t>
  </si>
  <si>
    <t>000d743726d0046e639334d0dbb8bb2f</t>
  </si>
  <si>
    <t>edf033b43e4de4ee52e4e497c0c8fca9</t>
  </si>
  <si>
    <t>1b5a288fbfcd46e4797e4db98bfa9cec</t>
  </si>
  <si>
    <t>ff4c46348c37935c4c50aa19cd1e7940</t>
  </si>
  <si>
    <t>ce1b9fd3c3f8634d5f4ea9be4528ea6f</t>
  </si>
  <si>
    <t>133d0a93837c485863727b5a70c7510f</t>
  </si>
  <si>
    <t>cda71bb22e191d9d1b8db4940ef22c29</t>
  </si>
  <si>
    <t>57fcb4e5cdbaca7511c199035d04eaf9</t>
  </si>
  <si>
    <t>861951dedff6c819eb88ab486063684c</t>
  </si>
  <si>
    <t>e2ea62cc9d22671f4bb2daaf5badfc13</t>
  </si>
  <si>
    <t>53f481ca4c68cd595eaca728c15b604b</t>
  </si>
  <si>
    <t>14c6f9a1546718b9a48e7e6095d94954</t>
  </si>
  <si>
    <t>9d703b1e544d497f09c1213c16255328</t>
  </si>
  <si>
    <t>358109dda4cd3dc92812b9934b1a7ff9</t>
  </si>
  <si>
    <t>0a855cf9c5db9f9cc20cdc28dbe6bcc5</t>
  </si>
  <si>
    <t>d6b69bdba221dd8d2efe0afe0e0d523b</t>
  </si>
  <si>
    <t>87b2775acaa479d302045da340e5c19a</t>
  </si>
  <si>
    <t>f8373200f1669f8a41cb6cace41a48f7</t>
  </si>
  <si>
    <t>89d3ee004f114391be57a69fb2e1464d</t>
  </si>
  <si>
    <t>098a4a3a73fd607825bab01925fe77f5</t>
  </si>
  <si>
    <t>3cbf0c4e0f67493ee570e684db62b032</t>
  </si>
  <si>
    <t>2350066161d631c6a2513d8187c5d28f</t>
  </si>
  <si>
    <t>f527985dd189d52e3d721052c844adaf</t>
  </si>
  <si>
    <t>dd48fd28805383f17ac14ef7bd6e737e</t>
  </si>
  <si>
    <t>2c2a01327149867b6ce75396270d6095</t>
  </si>
  <si>
    <t>933ee78f4c7c33b2c21c550afcec61fa</t>
  </si>
  <si>
    <t>89e8ed5d10fb7f64aec73b6c585ce33f</t>
  </si>
  <si>
    <t>0cd7c9134f39e7d716457aa9670d1e41</t>
  </si>
  <si>
    <t>9f7ffd78899240e645a1619c049339e4</t>
  </si>
  <si>
    <t>e13ac08514a705ff54562f9d270682a9</t>
  </si>
  <si>
    <t>b4eaef5a3bdbcf8e05d3054c097f877b</t>
  </si>
  <si>
    <t>ec897f746888525f61b44d53b5a9d112</t>
  </si>
  <si>
    <t>190c0459f2a3f0824afa613a228780a4</t>
  </si>
  <si>
    <t>265d96152ac636948414e34b404b94e8</t>
  </si>
  <si>
    <t>c383a3c0706717856051a599a1ea9a70</t>
  </si>
  <si>
    <t>002af39b5dc3873ef1fa02993dcde716</t>
  </si>
  <si>
    <t>6daa1973f40e9109ddb7859f8eccdc7b</t>
  </si>
  <si>
    <t>0ac10c5a63d93ab2439938a2d2fc9780</t>
  </si>
  <si>
    <t>d569002a8bdfaea154a347eb67f86743</t>
  </si>
  <si>
    <t>0cc1eafcbb2af5636af8197c7bd6a688</t>
  </si>
  <si>
    <t>eac8f988f62f3c163c6c48e23bd7d6ca</t>
  </si>
  <si>
    <t>ea6a700d19dec085e611d134f3f496e9</t>
  </si>
  <si>
    <t>9383d55146398054c1f2f0d4fc5c8038</t>
  </si>
  <si>
    <t>da5956182fc1b9168ed2768e617dec5e</t>
  </si>
  <si>
    <t>66294d9d78f575ebe71561f0bdfd3dc5</t>
  </si>
  <si>
    <t>00cdae7411f59bdc0ae957c9e34f8ae1</t>
  </si>
  <si>
    <t>6730f7746b897ef28150f398efec0b15</t>
  </si>
  <si>
    <t>e3a4c91d05a5df8744e314c6a9351bdf</t>
  </si>
  <si>
    <t>97c3503ab0061bd03f05cef0c8f4fd01</t>
  </si>
  <si>
    <t>eadfc4df75879a71e857c523b98b0c21</t>
  </si>
  <si>
    <t>12ad07464ab940cbef63c02f3c26a9a6</t>
  </si>
  <si>
    <t>3ede48a7f7eb1565bba250a486c65286</t>
  </si>
  <si>
    <t>60b288951226d4ae9090b059bbb3c59f</t>
  </si>
  <si>
    <t>0e17c0ad52c9c8462a92a10c5206999a</t>
  </si>
  <si>
    <t>8065963b0360134a9e1e4a160ca3d6bf</t>
  </si>
  <si>
    <t>3b38ffc51d3a3c1bc0817486b901bb0f</t>
  </si>
  <si>
    <t>fbb1f08cfecd942774d8050b1e0979f9</t>
  </si>
  <si>
    <t>ac8c806ba5e85f449980121f734db2c6</t>
  </si>
  <si>
    <t>8d770afeee9f1cbada32d323602ac268</t>
  </si>
  <si>
    <t>aee39821443628d4354504e0b587c87c</t>
  </si>
  <si>
    <t>8825ab4052f5eeff2a9fadb7393f16fe</t>
  </si>
  <si>
    <t>f9208640d9534058c6cd3c2fb14f66eb</t>
  </si>
  <si>
    <t>efaf0c6a376392bbb299cf2bef80c41f</t>
  </si>
  <si>
    <t>16dfb978365cb44911303428895982b5</t>
  </si>
  <si>
    <t>1f585a506273bd1fba6b8d5304633820</t>
  </si>
  <si>
    <t>4cc5a25d35683c954a5e653e1a6e413a</t>
  </si>
  <si>
    <t>3963f6d186206495d1bc15360fa73305</t>
  </si>
  <si>
    <t>dfaabe51f5205379972befa91836c871</t>
  </si>
  <si>
    <t>7c8eb9edd4cb2de5d1d4313e02cd30ad</t>
  </si>
  <si>
    <t>41ccefc8f01e41787b4fac28efd8ecc7</t>
  </si>
  <si>
    <t>e26779b3767fb654cc22fb83c2dab385</t>
  </si>
  <si>
    <t>27b77314914ff6765b2aa99572e2a9ba</t>
  </si>
  <si>
    <t>b2a2328f1baef82d4dcbb0cd0476a134</t>
  </si>
  <si>
    <t>d0ca9bc3d8c9fccb3e1ff4cf6d8d8d73</t>
  </si>
  <si>
    <t>97e4360d7ab7c79edd0ce334e244e7e8</t>
  </si>
  <si>
    <t>d6dcc026514c352c058500afaebb2851</t>
  </si>
  <si>
    <t>df877424cee87a5cc935e54171481fbd</t>
  </si>
  <si>
    <t>dc832909cd8764d9a7a6f94d8d4e396e</t>
  </si>
  <si>
    <t>0fc464a5e8f3d02b6df4d8ce4d5b7455</t>
  </si>
  <si>
    <t>8d8c783d3c676ec1bbac876167a26e23</t>
  </si>
  <si>
    <t>8810696d98c25b5a462a282a7aac9890</t>
  </si>
  <si>
    <t>60b1e4575a2bf629be173396065b0762</t>
  </si>
  <si>
    <t>8e4f5d5944df70fdce315854c24c56d6</t>
  </si>
  <si>
    <t>ec6e47d31dfd906713858adf4f1e2cc1</t>
  </si>
  <si>
    <t>7af427c380c4d87221ee68ad9902b41d</t>
  </si>
  <si>
    <t>3e4a35140bf36316d9f0fad3a8cce52e</t>
  </si>
  <si>
    <t>c8706f50b721db4478700739ad72b8ff</t>
  </si>
  <si>
    <t>33e2fc205244234c323327efb9526eb1</t>
  </si>
  <si>
    <t>4f7abb2f7f044480c3fb1b373482b9e1</t>
  </si>
  <si>
    <t>7db02de21901e795ab2292b5245f9298</t>
  </si>
  <si>
    <t>063ecdd6c18b397adb7a6345cf80faf8</t>
  </si>
  <si>
    <t>54d4dee8b9639ffb066fb8558b294733</t>
  </si>
  <si>
    <t>dd58f4f4a4dbac066b8d5044d24e9f65</t>
  </si>
  <si>
    <t>ecabd5f5cf759b0f9b810c6fa5436a01</t>
  </si>
  <si>
    <t>12a2c7d8fd4cf84998b5665ec0d4d93d</t>
  </si>
  <si>
    <t>beba0161593b51306afcfc13cba3c8d5</t>
  </si>
  <si>
    <t>ac6db5565049e49ab82b604397012045</t>
  </si>
  <si>
    <t>f9bc8e39b72eda60576ca24745ef58d8</t>
  </si>
  <si>
    <t>b5b54c474f790c851a6320750bf322a0</t>
  </si>
  <si>
    <t>34282741dfac9db82e93dfc8082f7173</t>
  </si>
  <si>
    <t>8317aae33628616656752e852f6cd283</t>
  </si>
  <si>
    <t>5f51f04ff33dc4722d8aaec38bcba615</t>
  </si>
  <si>
    <t>839aeac21f871609df35b7e7339af971</t>
  </si>
  <si>
    <t>459c19b5217fad6c68a8c976a1f5ebf8</t>
  </si>
  <si>
    <t>fabfc7a648ac15b716986e175a52cf1c</t>
  </si>
  <si>
    <t>1305972f950129993725e191ea163b9d</t>
  </si>
  <si>
    <t>aca640f90e3d70221297a15c39b5a504</t>
  </si>
  <si>
    <t>d3a5ff313e56b94d9d140562a8e76f8f</t>
  </si>
  <si>
    <t>8f1a2bef1a03a05c7cc27afbd79fbec4</t>
  </si>
  <si>
    <t>c3d92348edb119ff830ac1b8ec27e778</t>
  </si>
  <si>
    <t>f62a694b41e70f6e27d29578be0f080a</t>
  </si>
  <si>
    <t>0905482176da7488a7f104db71024793</t>
  </si>
  <si>
    <t>186c8779cb399a7eb0cc37a25b0acd86</t>
  </si>
  <si>
    <t>ba92ee6e7273257509f6782694c46b23</t>
  </si>
  <si>
    <t>dbc82cb67e7097b57cff09332649a777</t>
  </si>
  <si>
    <t>a5fc18841ca84c1cc9746ee6acd7a323</t>
  </si>
  <si>
    <t>5c8d276d151ddaaa09606128a3cf797a</t>
  </si>
  <si>
    <t>8ae4c0256fd4bd7f725c970dea84c6f8</t>
  </si>
  <si>
    <t>ce32f89d620cff14c96fde2973bd5881</t>
  </si>
  <si>
    <t>44fe11c48e22cc2ced3c271a16bf306a</t>
  </si>
  <si>
    <t>e2a71b523d5d493f1cecf277cb37771a</t>
  </si>
  <si>
    <t>51efc4a2d76594f2c84bbcc4ae186e3a</t>
  </si>
  <si>
    <t>66333021bee4fd598e67dbeccb25192c</t>
  </si>
  <si>
    <t>78c054b8fe4d37cb8b689f431ec41a7e</t>
  </si>
  <si>
    <t>1dc1c9f710a376d03221484d2b426d92</t>
  </si>
  <si>
    <t>b3113e0ec7eadd82e4271d34e604c9d7</t>
  </si>
  <si>
    <t>0d820df8e0b79e100ba0c8f28b39a074</t>
  </si>
  <si>
    <t>1e63374b4ba2e2b3d1413f1dac696e97</t>
  </si>
  <si>
    <t>edbc5a997110a38bd2b23db9665d7111</t>
  </si>
  <si>
    <t>3c99fab45bb8c76cb2af20e18132539a</t>
  </si>
  <si>
    <t>01f815fc9c2d9ae6d611c6f4b946bb32</t>
  </si>
  <si>
    <t>ed1cc84ffc543007b5837ee31eafb549</t>
  </si>
  <si>
    <t>306eb8a46b2dc61b50df6d03d22891cc</t>
  </si>
  <si>
    <t>d79545d2fd5bc31a00fa196eeca48aa6</t>
  </si>
  <si>
    <t>c0241de83ab97bdc9a10a02956100b2b</t>
  </si>
  <si>
    <t>4943f7741028346f090e15c1a2e9f95c</t>
  </si>
  <si>
    <t>b2f5bfd1f595fba691f5078fe9f4ba31</t>
  </si>
  <si>
    <t>8fe85c8895b5372a4fe0c8c446f20fe7</t>
  </si>
  <si>
    <t>2ce67dd7002d23f5f044376aa87ea7b9</t>
  </si>
  <si>
    <t>5717c96ffebe27df31f12b196dc28457</t>
  </si>
  <si>
    <t>ec0343f258b1227f55427f61ffd69e5c</t>
  </si>
  <si>
    <t>9f38ea079f7ed436c1adcb37bb953cd2</t>
  </si>
  <si>
    <t>47d63b198316e453da67bae2df14d2f9</t>
  </si>
  <si>
    <t>9f8aa709d04edf20cb55e927d07c09b0</t>
  </si>
  <si>
    <t>5e59a7254fc0f7c52f71572ee75b05df</t>
  </si>
  <si>
    <t>0b1b53267f3047300ab1f316ee91e071</t>
  </si>
  <si>
    <t>1350ab7d9bcb9cc8f7d33b224c68f8d0</t>
  </si>
  <si>
    <t>3470e2fd6f9d83e8e35aaf26458ffd1d</t>
  </si>
  <si>
    <t>c6007ab1331501d82a7673d74e47cf05</t>
  </si>
  <si>
    <t>1a91cf0d5a0027ea9a0930f6247653ab</t>
  </si>
  <si>
    <t>0d8bac0ff57edb56448738cad8230119</t>
  </si>
  <si>
    <t>51bd5c0f7a42d652f7a705b90b81a27d</t>
  </si>
  <si>
    <t>e08d49473bad6fcb358aa8a0f300daf4</t>
  </si>
  <si>
    <t>daa2d1f97ff2768e9a5584379ae9cd89</t>
  </si>
  <si>
    <t>e3db9a17f207bd00e9443b98f8b6545f</t>
  </si>
  <si>
    <t>eaa7bda7bd500edd216c23455845af31</t>
  </si>
  <si>
    <t>bccba48df5d61f041571724be1e07389</t>
  </si>
  <si>
    <t>25ba1b89117ba2e83fc60bc981e47e9f</t>
  </si>
  <si>
    <t>a917f22cee286598a5eff8f317f8bb41</t>
  </si>
  <si>
    <t>89eafd1b6403b4722946d8afa18d87b6</t>
  </si>
  <si>
    <t>4a6ae176b8fca3dcd6021023f1e16ffe</t>
  </si>
  <si>
    <t>012d49c4f3a96109e738bf12ac34c3b2</t>
  </si>
  <si>
    <t>c2b3c7a0f2799f933be9129564705a86</t>
  </si>
  <si>
    <t>950854f0dd1775ad638757bd146a8216</t>
  </si>
  <si>
    <t>c4ef8d9e3c7fd07ccec855f4acededdb</t>
  </si>
  <si>
    <t>9bf32b22304eeb7d7f4317a089104f24</t>
  </si>
  <si>
    <t>71cbcc6a47392dd6eb8fa511950e8c8e</t>
  </si>
  <si>
    <t>24d749cf85ff498d82c5150defb0a472</t>
  </si>
  <si>
    <t>f73ff59b7e06b9783a8bd8640cfeac9d</t>
  </si>
  <si>
    <t>e61fb08cd380f2bf70dea26ab355786c</t>
  </si>
  <si>
    <t>4788e3513ac15d639490e42f96d5cd61</t>
  </si>
  <si>
    <t>3eaf39c16809abe40b37e73e50371796</t>
  </si>
  <si>
    <t>fc077cc4ee2eb4d6e0b9edadd02d7550</t>
  </si>
  <si>
    <t>8543b7436076438e704df6dc68929e3f</t>
  </si>
  <si>
    <t>75af91949c48227d040addbf5e2c7ba2</t>
  </si>
  <si>
    <t>44018c2552806b94047e8ff3cdb71230</t>
  </si>
  <si>
    <t>35732122bed53885a9fd7a98ae5c4926</t>
  </si>
  <si>
    <t>93044dcfcf6a5239d329c00cf5a6f81a</t>
  </si>
  <si>
    <t>10f9445d5e12411ee3f4fb501626d717</t>
  </si>
  <si>
    <t>41f8334ffa36aaf5af5c031328008a6d</t>
  </si>
  <si>
    <t>b5e1d9ca64e9075662ba435ddabe3d4f</t>
  </si>
  <si>
    <t>63adec81a00676aaa5f68f0e5e6c6cbb</t>
  </si>
  <si>
    <t>039591be05157aad854727f7de3475d8</t>
  </si>
  <si>
    <t>9833f494981afa5f84faf1f1db2ee3e5</t>
  </si>
  <si>
    <t>60f6436caf219d4315cd2fce632c6cac</t>
  </si>
  <si>
    <t>adc6186d2fed27f270776d8ad7ce60aa</t>
  </si>
  <si>
    <t>4b5a37b84092bc8ac84dd9009674ed67</t>
  </si>
  <si>
    <t>d2de4c1c3e4e27968fd6a044d172a8b3</t>
  </si>
  <si>
    <t>52d8ba784aa41aaf5d793bd7cbc9932b</t>
  </si>
  <si>
    <t>4751c865cb3f95bf5e72673472baf879</t>
  </si>
  <si>
    <t>bc86a76cf17ce963ef6e76885938af24</t>
  </si>
  <si>
    <t>e486ee18de5f48e12fa49bb0106f6796</t>
  </si>
  <si>
    <t>f8fb4e6beb53fa093b168b186c5fe734</t>
  </si>
  <si>
    <t>c63117143ba4a119cdea7c6363bdeb2d</t>
  </si>
  <si>
    <t>21412d9bf5a52c43726940bfc86cc04b</t>
  </si>
  <si>
    <t>715ed51d8aac9731c2a89e8b0fb7a014</t>
  </si>
  <si>
    <t>c55df80d1cf1c2f3be5d239503087a9b</t>
  </si>
  <si>
    <t>cd5172c422152d061591a9458f1d1061</t>
  </si>
  <si>
    <t>63444a91bff82c085219503db46bf060</t>
  </si>
  <si>
    <t>e354a3c298cb9587f0a21cfb76367773</t>
  </si>
  <si>
    <t>cb758d01ef6b3ac88567cf904c8555f9</t>
  </si>
  <si>
    <t>a063637a294a2800c08ad2d46ba6037a</t>
  </si>
  <si>
    <t>1ec726a41014d149b0babf2bec3c1c80</t>
  </si>
  <si>
    <t>d5d8c22d043530ea602fe6ed4c54f884</t>
  </si>
  <si>
    <t>0f855b1536b4bf6bc624deac87b2d48f</t>
  </si>
  <si>
    <t>7037f4ac4ad243e41da55b4cbc7f1604</t>
  </si>
  <si>
    <t>c95e707f570afc2759e0ffa4e87ee520</t>
  </si>
  <si>
    <t>0ce59c2d9ad03d3d8c30cb9acbdfe1c5</t>
  </si>
  <si>
    <t>c5ef721a9943670b5850ca0c968f327f</t>
  </si>
  <si>
    <t>564aae7a8a2e35c9383fde21c60ed195</t>
  </si>
  <si>
    <t>adef78a10a4df4ebfb52fc9cfacdbeb2</t>
  </si>
  <si>
    <t>c6e564f52077ccd6cc99b84203212de8</t>
  </si>
  <si>
    <t>5036d6b0cb358cf8646342bc4e519db4</t>
  </si>
  <si>
    <t>502f02d4f2f86cd6e4e38d13d47ba7b4</t>
  </si>
  <si>
    <t>927cf6059f97dbb1d5a9244735a520df</t>
  </si>
  <si>
    <t>9e4e91cc49e5ecb4ac4094fff3e915d9</t>
  </si>
  <si>
    <t>4f6fa426be4c5d5a54031aefc7cf412a</t>
  </si>
  <si>
    <t>62cf2e14a8221859e3ba32013e231d54</t>
  </si>
  <si>
    <t>711f847e83094192ba6a288811ec9ff5</t>
  </si>
  <si>
    <t>abe2e991fd249ad691c507dc710b4118</t>
  </si>
  <si>
    <t>ad220fe36a3be79ea8dca19d4c83de18</t>
  </si>
  <si>
    <t>532cb4f17b102dd28a1fcb8651aa194e</t>
  </si>
  <si>
    <t>49bf02500c12a80ca6974b761e237620</t>
  </si>
  <si>
    <t>1bfc526a289fac98a1797f484231798d</t>
  </si>
  <si>
    <t>06819ee550de05a21a585b85629f3ec7</t>
  </si>
  <si>
    <t>8432771eb6e15a525893926a770072ba</t>
  </si>
  <si>
    <t>3ca28efa96158509ee23272c3f798ea5</t>
  </si>
  <si>
    <t>0e802467d43befaab8cc6f989d7d6180</t>
  </si>
  <si>
    <t>0fadc544e599d37c126d48ce669f79fa</t>
  </si>
  <si>
    <t>37a325fe7a85c64e9309b3ace64a181f</t>
  </si>
  <si>
    <t>91d6a5e37be7a3d2af7f5c28de82ba5b</t>
  </si>
  <si>
    <t>2a9130d77b260dafc7f1d00f523fb3f0</t>
  </si>
  <si>
    <t>711655f4ca9295af4befc92bdf61a4ae</t>
  </si>
  <si>
    <t>a5c02299e698622970e299490ead48ff</t>
  </si>
  <si>
    <t>3def8aafb0099ec154d7a0385d3bc651</t>
  </si>
  <si>
    <t>cf1144cdbc009da05aa81e96cd384a12</t>
  </si>
  <si>
    <t>f8f3c5e95246cefaac3b64c668fb04cb</t>
  </si>
  <si>
    <t>99920690a0dc5f974e755ee85447c327</t>
  </si>
  <si>
    <t>39d882523686a897bcd86ddc4b754345</t>
  </si>
  <si>
    <t>34c95c9fd9bb9a2d408162010bb6e951</t>
  </si>
  <si>
    <t>eb06b2ffbb9384e56b3ea180a5439f26</t>
  </si>
  <si>
    <t>fa6cf963da10df512bf2bf9842101904</t>
  </si>
  <si>
    <t>bb2094975a754395eb175495b73e0217</t>
  </si>
  <si>
    <t>afccabadcae933bd41eb5f3e93482561</t>
  </si>
  <si>
    <t>5364c142eaf782c242fb19fc72a04b79</t>
  </si>
  <si>
    <t>f3d6bb84d346db153296b83f262d53c1</t>
  </si>
  <si>
    <t>1c7568ad54c38c90d1b9f7e60c797864</t>
  </si>
  <si>
    <t>7b2e39a0ab3989e83ff1fad8b9f405ca</t>
  </si>
  <si>
    <t>ba7ffb66ff8c594e22fb47ef0348dd29</t>
  </si>
  <si>
    <t>24fff6052f0fd34a96e697016349ec96</t>
  </si>
  <si>
    <t>8760b31d64c5bc28e79fd3272ccd1d63</t>
  </si>
  <si>
    <t>66eeb2bcc7be6d3f49e4f17a717c0fdd</t>
  </si>
  <si>
    <t>8ed71e1e975b2a8af6f220ffed3dcd15</t>
  </si>
  <si>
    <t>ceea73ccab8679fc48c0657794a8f069</t>
  </si>
  <si>
    <t>7df2febe288a2aa97fa4bff4db75f26b</t>
  </si>
  <si>
    <t>58379abeb9a07726f8550bde569b56b6</t>
  </si>
  <si>
    <t>aad6f3a0fc54b19cd357f56c1e2a816e</t>
  </si>
  <si>
    <t>414eff40eca4a8763c4c190e111c1579</t>
  </si>
  <si>
    <t>c051dee40b3485017029a5f5bb08fe1b</t>
  </si>
  <si>
    <t>fab46ef48c5eb75b784c41ca33fe9dd6</t>
  </si>
  <si>
    <t>a1c4dce31713fb4b8af137fa00bfb36b</t>
  </si>
  <si>
    <t>c5789c310bfa0d0293207cd0beaa2414</t>
  </si>
  <si>
    <t>14949ee95a95923d32998c33b61aea56</t>
  </si>
  <si>
    <t>1eebb6d971c65667a6175b78331712fe</t>
  </si>
  <si>
    <t>df1c4c7acab82df15246dca74309d6bb</t>
  </si>
  <si>
    <t>6a59f686cc4168eb8fb78213106bab80</t>
  </si>
  <si>
    <t>59c7ddff3acfc8eb79ea7fd617ef05d7</t>
  </si>
  <si>
    <t>1b67de939f7ee46d7eb850d0ecb9d621</t>
  </si>
  <si>
    <t>c430d37fb9225cf9e2199277981a143f</t>
  </si>
  <si>
    <t>d4c15382f893a722d3305a28c07dcb0f</t>
  </si>
  <si>
    <t>e5bc3f0707cf5ea7d8c1f6af6e1cc09a</t>
  </si>
  <si>
    <t>7ad089dcb431ed0150fd5fb19823b690</t>
  </si>
  <si>
    <t>a3cf12a1c4d70de42b5482b4489a5082</t>
  </si>
  <si>
    <t>a4868118ded16804c7bacb94123f0f89</t>
  </si>
  <si>
    <t>3573661df7e456fa334c8236c30a7bcb</t>
  </si>
  <si>
    <t>d2226015f00362817f3eda894a5e45e8</t>
  </si>
  <si>
    <t>f8765be0a436eebf31b847c14d2702c7</t>
  </si>
  <si>
    <t>0d8f8dc2fd46409e55528e14d533b029</t>
  </si>
  <si>
    <t>b38d46ec6f8d6b53bbcc8e0a235351b7</t>
  </si>
  <si>
    <t>0474edf5ef96f67334d24b9b86cd021a</t>
  </si>
  <si>
    <t>5161f07d838dd732cc0c15929612477d</t>
  </si>
  <si>
    <t>d6757eee9ab6cf9fe5d04ae8dbaffd34</t>
  </si>
  <si>
    <t>8cd75b3c769d927502b89ab45988bfe5</t>
  </si>
  <si>
    <t>d2917f7a4e8b4c80214efc8e1ee21e76</t>
  </si>
  <si>
    <t>f0992af05a32b4883c47a8e2b1d125f8</t>
  </si>
  <si>
    <t>f9161a9ebfec85aae2bd630623689764</t>
  </si>
  <si>
    <t>2830568ae1fb76273e94c9ccec7b8cc5</t>
  </si>
  <si>
    <t>2a704afcd81d4f01cec97b127c5d4770</t>
  </si>
  <si>
    <t>2c7dfe86a04b314d06c5cb023ec4d63b</t>
  </si>
  <si>
    <t>8a5779cf89c75a8a09ecb0ac5fc4cf9f</t>
  </si>
  <si>
    <t>421d6e39c7fd2e0f8a2c6f556d32488b</t>
  </si>
  <si>
    <t>1e0916e13377c0e349df10cd2ad345dd</t>
  </si>
  <si>
    <t>1a12ba25be079f71fed226a5751b9a03</t>
  </si>
  <si>
    <t>921e96a2a1aebc8bc57652cdbdd2fffa</t>
  </si>
  <si>
    <t>43f9325a54b90641539d8fbfc0c598b4</t>
  </si>
  <si>
    <t>852713abd203fd7c47b24ae2c5f8ab4a</t>
  </si>
  <si>
    <t>1d5930e66d974a9bd990f5cdb0c27e5b</t>
  </si>
  <si>
    <t>06c12ee4e77464aeb37b95c5e77d3d96</t>
  </si>
  <si>
    <t>0d59b4c806d074bdb6bd56c7a67fc32c</t>
  </si>
  <si>
    <t>6b6f1a32a66b62c36d23fa36685eb7d2</t>
  </si>
  <si>
    <t>3e08712d7b4c45fcc1ee201ec0fc6d22</t>
  </si>
  <si>
    <t>0eeb0b49c3597756d83d9081f5f13cf8</t>
  </si>
  <si>
    <t>b9d080d8291507576bd4e0d243a661d5</t>
  </si>
  <si>
    <t>d095f4bbde1e4117e165b29b25d050ab</t>
  </si>
  <si>
    <t>a9409d86bfe4bd6c8d73bd612529c81e</t>
  </si>
  <si>
    <t>cb21a33da600c64cfd78aaadea307318</t>
  </si>
  <si>
    <t>53f9448bd35ff93eae76dd0e3ed9f7bf</t>
  </si>
  <si>
    <t>2683426a48ac8221b991d704234dfbaf</t>
  </si>
  <si>
    <t>1b534a69f70cf990a341a74e5b8df5b0</t>
  </si>
  <si>
    <t>4ff4785315b402eed50634aab880d321</t>
  </si>
  <si>
    <t>7e2bf706bb26e7e6278ba8a8c6ab33b2</t>
  </si>
  <si>
    <t>f0a8134eef4337e4b319aa5bcac6174a</t>
  </si>
  <si>
    <t>ba1ef29070c5bb6b1615029bff190c6a</t>
  </si>
  <si>
    <t>461663ab077e083b1405d9d1fd02b4a7</t>
  </si>
  <si>
    <t>3d3b26b93bc2c4b28424c364ab13fa05</t>
  </si>
  <si>
    <t>86ab2aefacbd25614e8aee51df3d9dd4</t>
  </si>
  <si>
    <t>8ed0c3a03daa5f5b98dcd23ac71c2449</t>
  </si>
  <si>
    <t>7526963ab696b275cd5317b6370dc9e0</t>
  </si>
  <si>
    <t>8913780448e3bb6378e7d3ddf77f10c2</t>
  </si>
  <si>
    <t>438d8f46ce8af5dc52036be032cb0b03</t>
  </si>
  <si>
    <t>6f0ea108cff99151bf4f2ba7eccf89a1</t>
  </si>
  <si>
    <t>e87f01257c02718d31bd99bda84371a2</t>
  </si>
  <si>
    <t>e22ff6a9c421a36ce70d7dae5f5586dd</t>
  </si>
  <si>
    <t>3c41af88ff44056f1d16f1d9ac5ee1d9</t>
  </si>
  <si>
    <t>fd50e42044be21da9fd3d5b2ec8e370c</t>
  </si>
  <si>
    <t>c4d4bffade9a49bccf690f964b4d33ae</t>
  </si>
  <si>
    <t>9a781086f971a2dff83f690042ea0adf</t>
  </si>
  <si>
    <t>7816434ec2e8d7f501e02500bd996a6d</t>
  </si>
  <si>
    <t>31179c529d1c3403f89d1efa84450f8b</t>
  </si>
  <si>
    <t>a94943bc694a71e9df8b4ad41a7f9bbf</t>
  </si>
  <si>
    <t>820def2de59dee01b43ea9257d048789</t>
  </si>
  <si>
    <t>6ba14de3d96d418030cf8301347fba79</t>
  </si>
  <si>
    <t>b8ffef2d42408b7293faf3498b87c6b2</t>
  </si>
  <si>
    <t>8850d2f2e16ff571a40d94a9a3edd135</t>
  </si>
  <si>
    <t>31133ca714324ef186c84e08ebe009d5</t>
  </si>
  <si>
    <t>16720b442f54211794c4cc6356194ac8</t>
  </si>
  <si>
    <t>38e73c848ed5da22caeba429fefcbc15</t>
  </si>
  <si>
    <t>f259be58548b7ce05796ba5339656a31</t>
  </si>
  <si>
    <t>8fcda314fd49a6af02bc3fe9e6c1e8b2</t>
  </si>
  <si>
    <t>dbbc66a5c531936f56841dc885d3696a</t>
  </si>
  <si>
    <t>632663d3cb99fa2dbe0118e063a1bbba</t>
  </si>
  <si>
    <t>4e3924b3f153eca34ba5066124279161</t>
  </si>
  <si>
    <t>0ef4d863e3fb1bf88fb5423ef40ae835</t>
  </si>
  <si>
    <t>b9bf2dbc68a40a8604098e8aa08eeda3</t>
  </si>
  <si>
    <t>3c99d2ce9164cd7151a84197946f563f</t>
  </si>
  <si>
    <t>c5c5e79502fb2216fa6010d277217e95</t>
  </si>
  <si>
    <t>e333e407942d16c78b82b60db1e9c32b</t>
  </si>
  <si>
    <t>87059a8a3d47219888a99cc126e7c83d</t>
  </si>
  <si>
    <t>0d43caf9bd75bb857d5148f032879159</t>
  </si>
  <si>
    <t>c5c2afce8831c93eaef58dc32f297d6e</t>
  </si>
  <si>
    <t>2ae5612ac268d4a5a14e947a05c88682</t>
  </si>
  <si>
    <t>d6915d7c532a8a08c41808e1358afb95</t>
  </si>
  <si>
    <t>5c71e4ec500e0ecec26beb7cf89e8a31</t>
  </si>
  <si>
    <t>9c3d0f10697783e88c0124ef330c8fb0</t>
  </si>
  <si>
    <t>f36dedf6146593c06a82dfb1f27bc266</t>
  </si>
  <si>
    <t>9140af7e990ba8e5f8a975c574dde75d</t>
  </si>
  <si>
    <t>93472dca65001d3f1b9e963d131a14c7</t>
  </si>
  <si>
    <t>ddb017d1e5e8607dc81f0c06eb28ccdc</t>
  </si>
  <si>
    <t>3ca58b836a970dc90c995f2cc19b6158</t>
  </si>
  <si>
    <t>d7675e1639a717199e76c8815e952c87</t>
  </si>
  <si>
    <t>eaf00677eaceac793dfc9f4db1d7fd0d</t>
  </si>
  <si>
    <t>8ab168e2e5ba58b2bd7747c835f99f41</t>
  </si>
  <si>
    <t>d0f515a0238cf71ebd64cc9ce47d597a</t>
  </si>
  <si>
    <t>5201f8a7053dd54c74112071d71254c2</t>
  </si>
  <si>
    <t>49ecfc0d93af41549651939df544ff4f</t>
  </si>
  <si>
    <t>087ffed4714d9eef01c7f41fe1538052</t>
  </si>
  <si>
    <t>72d0ce4720ce20a9806d38456aa8c426</t>
  </si>
  <si>
    <t>47ee0a2617d3198604961038182cafa0</t>
  </si>
  <si>
    <t>4df2a16e9048fd613748a0ad504b4e7d</t>
  </si>
  <si>
    <t>4a7460687141106d51dc32338a83a53c</t>
  </si>
  <si>
    <t>140a2f0f30111f10eea15d56b23a50c6</t>
  </si>
  <si>
    <t>9a142403c2e0a7c610f3f169a43c7ccb</t>
  </si>
  <si>
    <t>4445bd7374f11b98fc9745677535534b</t>
  </si>
  <si>
    <t>6e62b799f76bcf53c87061ec862fa2d8</t>
  </si>
  <si>
    <t>c0fc2f4f3a5caa994800c343dda61d2c</t>
  </si>
  <si>
    <t>dffb738422522de3c9ff63185c174fe1</t>
  </si>
  <si>
    <t>d7ddd8ea903c1624599ae4f7f7f60d24</t>
  </si>
  <si>
    <t>ba4a3667417884620a48e43d54cc3ff2</t>
  </si>
  <si>
    <t>217cd5b33ca60dd2ac1c001a64f4d7d0</t>
  </si>
  <si>
    <t>a96a636472c58a4d1d4581c5394fc4db</t>
  </si>
  <si>
    <t>0a9825e17b28a73fcbef756a1f5c51ba</t>
  </si>
  <si>
    <t>3c231fe664a454ed80a9df99665bbd41</t>
  </si>
  <si>
    <t>58567937394c81b1100e2c45b3a0edd9</t>
  </si>
  <si>
    <t>b16115de5408aba4ab9ae512a66bf802</t>
  </si>
  <si>
    <t>558f6daccb6db3fdbdaa81d6748dca86</t>
  </si>
  <si>
    <t>5706ffb6b78ad3ef81b1ae004905dd18</t>
  </si>
  <si>
    <t>27b31d6099d0f67a7a3b83252eb049fc</t>
  </si>
  <si>
    <t>a9e1ff75e476c14120e7d441d9d52605</t>
  </si>
  <si>
    <t>fc2b9721e656e7ee6b6bc31ad194ba73</t>
  </si>
  <si>
    <t>d824ed652c55ba8c16fc8efc28a95d63</t>
  </si>
  <si>
    <t>9ff2e738fdce7c0238fd92d19169f5ec</t>
  </si>
  <si>
    <t>5bb9c488a11a2cd959c05ae821d7a5ab</t>
  </si>
  <si>
    <t>6df89106424bca7bf437e14ec79a1f34</t>
  </si>
  <si>
    <t>2de0448ae5c9e045aec47a7a3ab1b80a</t>
  </si>
  <si>
    <t>c05645d520270649f3d418264ddab2d6</t>
  </si>
  <si>
    <t>1cc97666c72d9e1bfaf483cb970779c9</t>
  </si>
  <si>
    <t>8d887d1fce613729376ca4815881dc4a</t>
  </si>
  <si>
    <t>25e72c63773893007c3bbd1ef7edd7c6</t>
  </si>
  <si>
    <t>ce7e20052b12841c2dadc11d788fcbaf</t>
  </si>
  <si>
    <t>58394f579b31812dc193fa5088801c09</t>
  </si>
  <si>
    <t>116d9fe1806d064f8d170de088cb1784</t>
  </si>
  <si>
    <t>4da46f86ebe79cc9d56276cf66a77696</t>
  </si>
  <si>
    <t>0e4955f22ad4e289c2aea1cd0364b972</t>
  </si>
  <si>
    <t>f9dd2ac630928e54e30c3f5269913893</t>
  </si>
  <si>
    <t>660608146bd83d8faf356af368fd1b70</t>
  </si>
  <si>
    <t>e9d7e87064bc8e063cdb3e95457e60b5</t>
  </si>
  <si>
    <t>ee0546d96e603a5f231567195b57d8ed</t>
  </si>
  <si>
    <t>516ef4caf912e2c9c784c26c0778661b</t>
  </si>
  <si>
    <t>457e19f9ebb6273ef7c76f8c7542bee5</t>
  </si>
  <si>
    <t>e0fb46caa3da95e87740a75104a6ad33</t>
  </si>
  <si>
    <t>882f818b2eb78e25b124256bc2ff22bc</t>
  </si>
  <si>
    <t>b953cafb9062fda361a973c68a574f09</t>
  </si>
  <si>
    <t>8503f290a121646f9dc3361bd586ceb1</t>
  </si>
  <si>
    <t>af3ff3b71463da8da1b859ba6e9f431a</t>
  </si>
  <si>
    <t>22f562e33da0ef8ebecd5b803a189da1</t>
  </si>
  <si>
    <t>d9cdd89e97b136ea0d832e370517566e</t>
  </si>
  <si>
    <t>4627cf6b8ba65c1183a66a706c7d9e91</t>
  </si>
  <si>
    <t>f928a70bb65f9495712b2ecb3aa94948</t>
  </si>
  <si>
    <t>c40a4d9d62727efc71eb23554de39ef0</t>
  </si>
  <si>
    <t>2f5f73fa2b443d5f6a88d5d6bdcf371d</t>
  </si>
  <si>
    <t>d621d5337dee006654e6625aef9b23df</t>
  </si>
  <si>
    <t>06a2e1fda07511c8f64dacfad4e918f9</t>
  </si>
  <si>
    <t>f56d33f2140766b631a4f280d196375f</t>
  </si>
  <si>
    <t>7fcc7b7d0fe29bfb53139b76ebade5ce</t>
  </si>
  <si>
    <t>1495de5f55492518e7d9b0134635f8e2</t>
  </si>
  <si>
    <t>98745a46ae8126eeed81e9345a7fc350</t>
  </si>
  <si>
    <t>c9f6ae31f24da8491c8c454b7f0c9855</t>
  </si>
  <si>
    <t>cfa8f02deb1ef0daf6229677a00f32ba</t>
  </si>
  <si>
    <t>e0fa48fccc0039127eb3d6ae1e4b55ab</t>
  </si>
  <si>
    <t>a324778c9a6b59b0830eed5cebd75d30</t>
  </si>
  <si>
    <t>06d2000543cda3a9077aed6a0c91340a</t>
  </si>
  <si>
    <t>6aed5864d38f176d4022fbd49d67297d</t>
  </si>
  <si>
    <t>68ee22a2a31d822588ecf86b61208e40</t>
  </si>
  <si>
    <t>311cb7c811ca5214ccb41f200605c092</t>
  </si>
  <si>
    <t>e0e43fbbde28f326759184a22858657e</t>
  </si>
  <si>
    <t>5fe26bc28a9ec16b26ee7cbf3f730e54</t>
  </si>
  <si>
    <t>223316ffade8890df35a50e605665ed9</t>
  </si>
  <si>
    <t>6433940189d259abab9eab7d4a72b6dd</t>
  </si>
  <si>
    <t>13b9f06942930d90939d3b1bae742137</t>
  </si>
  <si>
    <t>3f4c54310d62bcbd160b473ed1deeb7a</t>
  </si>
  <si>
    <t>2535f1db86f5d05cf280c54c63eaee91</t>
  </si>
  <si>
    <t>3c8c63670cffd90c2be9fabb71a49572</t>
  </si>
  <si>
    <t>cf5d4788be5401e9aef7d5623a812e81</t>
  </si>
  <si>
    <t>76f688f70f4fa269cb824956f48a1fb1</t>
  </si>
  <si>
    <t>5676fd73f843c8183af8ff61166b4a73</t>
  </si>
  <si>
    <t>1548b18173c6079dc44f21b7fd663808</t>
  </si>
  <si>
    <t>0aa083b205b8b1751c03cb96b7aaa56a</t>
  </si>
  <si>
    <t>1ab5496a1e0739861598777a42c47afd</t>
  </si>
  <si>
    <t>ad71b7f38fe523712585ecf712440e56</t>
  </si>
  <si>
    <t>899ca3854036a7025971a563628bd26d</t>
  </si>
  <si>
    <t>dbe699f53706d31c9d448548005690df</t>
  </si>
  <si>
    <t>9827881f8fb410a0fbdeeabcbc99adc0</t>
  </si>
  <si>
    <t>509d0dbb0a3250e9d0c6ebb11898c463</t>
  </si>
  <si>
    <t>de2be23611e9c9f395403a4966292fe7</t>
  </si>
  <si>
    <t>5ce9e115a72d4bf69e8131553a13c03c</t>
  </si>
  <si>
    <t>aee77119347700d8730f78e88d1ae87c</t>
  </si>
  <si>
    <t>11e808a8daa25a3e61360dc36d8f2868</t>
  </si>
  <si>
    <t>8eb355b7a404a87bb6b861dbb6a75c99</t>
  </si>
  <si>
    <t>34ff47ee636778871418565b19e48cd3</t>
  </si>
  <si>
    <t>13cf15fe411e69425732681cec49dfa4</t>
  </si>
  <si>
    <t>59beaa778d934e9cd3ea085e0ccb2bc9</t>
  </si>
  <si>
    <t>6fd9e5858ffc4e9bbcdb264ccba15699</t>
  </si>
  <si>
    <t>3567b10e137bd0ab41c6c69e88e7375b</t>
  </si>
  <si>
    <t>e9a6b19af0b61f83509356bbf69e7814</t>
  </si>
  <si>
    <t>b8e9ba0ff11af182f80d8a4c272bc526</t>
  </si>
  <si>
    <t>ad5933f8341731fb0d60164c5467b6be</t>
  </si>
  <si>
    <t>d7429f930047597f9ec7e92edf9294df</t>
  </si>
  <si>
    <t>012810119452f93d591c4a66cb636a00</t>
  </si>
  <si>
    <t>0d84adeb9c3d35c1fd324c0425b73c93</t>
  </si>
  <si>
    <t>22a6dd7493b7eccd6744c02a1fcfd4b0</t>
  </si>
  <si>
    <t>c11d98db11ed59e1b20f7e9448309d1d</t>
  </si>
  <si>
    <t>9e804078d0c5748db0bcdf86a35b7342</t>
  </si>
  <si>
    <t>c98f19c03a14b66b663ba587b150b9ee</t>
  </si>
  <si>
    <t>3a5d8b4d772351d7ef1c04035b6b9a81</t>
  </si>
  <si>
    <t>a073ee0843edf64ef5199a143ef67f97</t>
  </si>
  <si>
    <t>9cdd6192baccbc1954923559b632fc54</t>
  </si>
  <si>
    <t>92e1a0065e5b1eadea5bb4e773d84ae6</t>
  </si>
  <si>
    <t>bfab5fdb35626627da54240e092517fe</t>
  </si>
  <si>
    <t>e91db6cb5ac56460cd5ffaf4f53e9b3c</t>
  </si>
  <si>
    <t>21434aa4a59b3d665c47733ac64ad8d7</t>
  </si>
  <si>
    <t>b8e53575ddf15115093c1bb03d68e9ea</t>
  </si>
  <si>
    <t>06dea22c3a189f80a1eb5d61f2562cb1</t>
  </si>
  <si>
    <t>e8d0d0fcd207ed66325ecabfdad04258</t>
  </si>
  <si>
    <t>89af479f99fa10c7a6d52c3eac6d6093</t>
  </si>
  <si>
    <t>138c1592b87ac396c069fb78ff92d470</t>
  </si>
  <si>
    <t>8340244ea118a92d5a4aef31db46f993</t>
  </si>
  <si>
    <t>fecefead6b98513f79fbb4e0feaceabb</t>
  </si>
  <si>
    <t>06cbecfa6644524650808fc2eb4f1fa6</t>
  </si>
  <si>
    <t>3b69d37f59679d3c5d460946e3e05b89</t>
  </si>
  <si>
    <t>3afb3c8197278afbc20c130822f74dfd</t>
  </si>
  <si>
    <t>29d856c8d9fa1fcf0914fd282fa04997</t>
  </si>
  <si>
    <t>78355ea127f0a201bbaac94734ddd9cc</t>
  </si>
  <si>
    <t>2329bdc3808485d16842010d7c5def02</t>
  </si>
  <si>
    <t>3e0bea0e783b4fe2908594fa4be64b34</t>
  </si>
  <si>
    <t>369cf07a0b783ddb7178bf287db1ef07</t>
  </si>
  <si>
    <t>ff277f9a981b9c3e744f40aaddc3d5be</t>
  </si>
  <si>
    <t>aaaf0e13ad1ba6822731b86adb5f5b54</t>
  </si>
  <si>
    <t>237a098bb75e0c9e2d7397cdc656573a</t>
  </si>
  <si>
    <t>6f53232676a5377db7def613ad27fd93</t>
  </si>
  <si>
    <t>1d820a07fb96d6fab010ee1215dc408c</t>
  </si>
  <si>
    <t>a90d0b9bab495dfa9f80ff51fd309848</t>
  </si>
  <si>
    <t>70bcf27279415e24f2ca5d09817bc700</t>
  </si>
  <si>
    <t>6a372782ff0be166df8ba58bd0a3a8db</t>
  </si>
  <si>
    <t>59438dd881c1287552141bf462359e08</t>
  </si>
  <si>
    <t>901c043318c1a6ff36071464444d5f19</t>
  </si>
  <si>
    <t>0c023c56b651ede73ba3326070e19cb3</t>
  </si>
  <si>
    <t>d8f0c4c3d8c3e9e969d7439754c2606d</t>
  </si>
  <si>
    <t>d11dc5c37329be8eaf82201401ffc14c</t>
  </si>
  <si>
    <t>4542d25a2f2d9e180d6cb0a30e51d616</t>
  </si>
  <si>
    <t>0281e849367f6085c8538675738d75ef</t>
  </si>
  <si>
    <t>b9fb03172af220b5d7a98eda014bb3b1</t>
  </si>
  <si>
    <t>40b966b11ac32c21004458da871dc36e</t>
  </si>
  <si>
    <t>054b3ba0100168cebfd49542b56d54b9</t>
  </si>
  <si>
    <t>14175179f8a873000f877cd4ea2b016e</t>
  </si>
  <si>
    <t>711fda673284364cf37f276fd187efb7</t>
  </si>
  <si>
    <t>434e4b9975b957f81c4a68a31a752fad</t>
  </si>
  <si>
    <t>17ece115ae46a635d9bf6e20fdf37e99</t>
  </si>
  <si>
    <t>8f51b194d08510cb86278a4775bc91e3</t>
  </si>
  <si>
    <t>b1238145d2c6adec4636795d4b27e05c</t>
  </si>
  <si>
    <t>1492a21496d0c83247a42197146b8cdf</t>
  </si>
  <si>
    <t>588b91ffdeca1ce0980436a0659c6ab8</t>
  </si>
  <si>
    <t>02de73b2b4d78e8e9d1b9c4ad698ff94</t>
  </si>
  <si>
    <t>27475fddf7d3c0bddad7429e2dd6a48d</t>
  </si>
  <si>
    <t>3be8b55dc499725fec601c17c4928944</t>
  </si>
  <si>
    <t>4a1974fe1e81f23d0264afa2d2904254</t>
  </si>
  <si>
    <t>4a9b396d743563ddb1b893d89145be7f</t>
  </si>
  <si>
    <t>70c6c564ac991bd1cfe7d6d8468cab0d</t>
  </si>
  <si>
    <t>b0f824478d1ae7ea89626ece1997d06c</t>
  </si>
  <si>
    <t>a07961aaea33ffbdb5e7af0e965bab51</t>
  </si>
  <si>
    <t>fcb4f72ca4dec8dd180fee33f31d35b2</t>
  </si>
  <si>
    <t>4b415aa113cee6525f1ff8a00e65a720</t>
  </si>
  <si>
    <t>d9cb1e048303681ac488c6f131403100</t>
  </si>
  <si>
    <t>5dcf2d0c4ce58fad5361b9fc049b7bd6</t>
  </si>
  <si>
    <t>48cfa6f5571b9e223a2458ac453b602e</t>
  </si>
  <si>
    <t>c684830ab4cc962d212287d5bafabf1c</t>
  </si>
  <si>
    <t>58338e4ab3c5aef25904912ce8a4bae2</t>
  </si>
  <si>
    <t>41a78dfe68ed618632e96c3d7afdbf7a</t>
  </si>
  <si>
    <t>584c447f2d6d79430b67f5b0c582c06f</t>
  </si>
  <si>
    <t>1bec48ffba8219c23036bbd64bad9e7e</t>
  </si>
  <si>
    <t>23112fbec5b88c714d3e47bb8ddeb6bc</t>
  </si>
  <si>
    <t>3b5dc1ce78bb05ee16d4d4d6019542ce</t>
  </si>
  <si>
    <t>2949ebf3120d7da16e70b27169c6a5ca</t>
  </si>
  <si>
    <t>4b5bccbda84ead75b53d4b1a8018e18d</t>
  </si>
  <si>
    <t>41d4c06d4a8a7d5613325bd0389a7624</t>
  </si>
  <si>
    <t>06cb721f14b7ba276fb3b003fc1c30cc</t>
  </si>
  <si>
    <t>730720aa323ad2cf990b478629e8bb22</t>
  </si>
  <si>
    <t>a5d061c5e885a4514399e556fa644470</t>
  </si>
  <si>
    <t>525c41a788dc6e5c58ea88d25f5c5b97</t>
  </si>
  <si>
    <t>01cf2d7c8bc65418127c203cbbf5da95</t>
  </si>
  <si>
    <t>9a1d1b32523cc347391f67554c4a95ad</t>
  </si>
  <si>
    <t>f4639b4a6d058a7e32cb9fa1b3288fae</t>
  </si>
  <si>
    <t>7be1bc75299541cac37a825601e2b447</t>
  </si>
  <si>
    <t>5048916633f4cd03180bb5a6aea4e423</t>
  </si>
  <si>
    <t>0965272cbae65cf7b7730d4bc1b810a5</t>
  </si>
  <si>
    <t>e496be865ef51ac303d1abf28858630a</t>
  </si>
  <si>
    <t>8174412fb8627be3074132c33d640793</t>
  </si>
  <si>
    <t>04d4d576122aebe42ba714a32f3a86e0</t>
  </si>
  <si>
    <t>7931d105723112993809fe3302c1dd0f</t>
  </si>
  <si>
    <t>4ac7730376a71ddf9b2046e463e73b9d</t>
  </si>
  <si>
    <t>76c5ebc40fb9028f903d8efbb49690ea</t>
  </si>
  <si>
    <t>4c192927e684572d1b3b9eb8d379243d</t>
  </si>
  <si>
    <t>7553be72e5023a56eb0abbc30251a250</t>
  </si>
  <si>
    <t>5647707c5edc8c591ad3f62ec137464f</t>
  </si>
  <si>
    <t>c2b724a2b08afaec39907988523160b3</t>
  </si>
  <si>
    <t>81aaa32d32bbd8fc9e181bb8d7b3088e</t>
  </si>
  <si>
    <t>34b5f62db44d66f56df203cfc0cdba73</t>
  </si>
  <si>
    <t>fadc164bceb691c4f506f05adec5a5f1</t>
  </si>
  <si>
    <t>53661327bdb0ea972ea0e11b3bc49a16</t>
  </si>
  <si>
    <t>d688145544f729d3f82fb9624f6a71a9</t>
  </si>
  <si>
    <t>066271cb8d0b34465ad86ec5d185584c</t>
  </si>
  <si>
    <t>f05d8f8b02ab1143baaeff337f268d48</t>
  </si>
  <si>
    <t>452b0e90d792aa54b279985db263307f</t>
  </si>
  <si>
    <t>601a98f532b129382f802cef9c68df08</t>
  </si>
  <si>
    <t>9afabbcc2ebcc49c9e838de2039ada76</t>
  </si>
  <si>
    <t>0120f21baad5b6416bb1188960de42df</t>
  </si>
  <si>
    <t>1599ef96c5391e87aa8e6377b8505807</t>
  </si>
  <si>
    <t>483dfea8d134c54fed20a728a5fb803f</t>
  </si>
  <si>
    <t>2bab811d42df589a306f59838cc95c28</t>
  </si>
  <si>
    <t>b443b1a168b17372dda13a84b3d42869</t>
  </si>
  <si>
    <t>0bc650227f3e36aba7edd70dd99a7160</t>
  </si>
  <si>
    <t>bc37d9450134e7a189f0e0ebf9337813</t>
  </si>
  <si>
    <t>efc7aaa687202cf020a723c9bcd7571f</t>
  </si>
  <si>
    <t>52c50735660a0c9b88655df02422837f</t>
  </si>
  <si>
    <t>499411ca9d98aba22d798f04c4d2bfdd</t>
  </si>
  <si>
    <t>4c1ab271cfbcf802ef0d8a348a932a22</t>
  </si>
  <si>
    <t>6931deb3ced946f5736c354036012c41</t>
  </si>
  <si>
    <t>deeccccfabb8616ef2ef558a111656a6</t>
  </si>
  <si>
    <t>ab9b7e5515b18392666b3be584026d8a</t>
  </si>
  <si>
    <t>18d2471a57b5342d80771b865f3267c8</t>
  </si>
  <si>
    <t>34e514875d2911af0e1013c0082fa41e</t>
  </si>
  <si>
    <t>37a35d4178f41d4866b7a3ef489e2d4c</t>
  </si>
  <si>
    <t>abca2438d56fc5264887f78843d677d8</t>
  </si>
  <si>
    <t>e98eee290be2ef5507bc6ea5ad2506ee</t>
  </si>
  <si>
    <t>46cb04be7f4ad1210d7df709e783d4ca</t>
  </si>
  <si>
    <t>8da361010b09a2047762edba294c1ff9</t>
  </si>
  <si>
    <t>d334064f6acb33f9bfb75a69e109cd70</t>
  </si>
  <si>
    <t>c38756a7b6c26508f0a77b649991cdeb</t>
  </si>
  <si>
    <t>d70a5c7306fb96be23008e85eccb59db</t>
  </si>
  <si>
    <t>307816beeca6c70ed87a830151673629</t>
  </si>
  <si>
    <t>dabcc6afeac69cfbf15b1c78611d4f9b</t>
  </si>
  <si>
    <t>dbd6de1d5fef19f28be87ff61e2cbded</t>
  </si>
  <si>
    <t>087dbe9aa533ec3351e27e7b0a1f1321</t>
  </si>
  <si>
    <t>fb2cb462d9bed8d3b83e251d27efd241</t>
  </si>
  <si>
    <t>99d809d6cbe8bcde105b539b5d53c392</t>
  </si>
  <si>
    <t>ba7c7739830558c50c80fe5ce6951550</t>
  </si>
  <si>
    <t>af66b4e5465df5b395bbe3abb2319264</t>
  </si>
  <si>
    <t>01d8417b316a86dc0414d1f405fe1b6e</t>
  </si>
  <si>
    <t>47437f665f9ad9a291445a9636a658e8</t>
  </si>
  <si>
    <t>b218fe58950a201fc28d38d047a1bb79</t>
  </si>
  <si>
    <t>724f8ceba26768390e4f1318b857db89</t>
  </si>
  <si>
    <t>ddb8866b8efe67973a57a1d6c79fe477</t>
  </si>
  <si>
    <t>6bce79ece8cba8b2de1db08d1ac4c81a</t>
  </si>
  <si>
    <t>ccdb682286e6df925b92e5bce481b93b</t>
  </si>
  <si>
    <t>d43c9efbb671ef7968135a82f210a49c</t>
  </si>
  <si>
    <t>c2730147f0e8f3b12dc9a9c9e7d06581</t>
  </si>
  <si>
    <t>d213efb5c8012fda006806f1f0212d63</t>
  </si>
  <si>
    <t>f5156197d4881833fc94f8f1a124de3c</t>
  </si>
  <si>
    <t>20c9b3d2fdf2bdac80b6c9854890879b</t>
  </si>
  <si>
    <t>06647d52f5ecba412d508c58ced2ceeb</t>
  </si>
  <si>
    <t>a58c46e31b532d56e1f596c4fa47cb04</t>
  </si>
  <si>
    <t>99477b75cc6576ae2c1ee9882915c1f7</t>
  </si>
  <si>
    <t>af4276e93335ef2a84b3e889685ad7e6</t>
  </si>
  <si>
    <t>c28b0071802967a6e95794102ff1c6c6</t>
  </si>
  <si>
    <t>98bbe65b977fba27055184d8e3ddeb48</t>
  </si>
  <si>
    <t>515e2d376a212e8591c1f3ec11dc3a3d</t>
  </si>
  <si>
    <t>877ca4e202db8b1e1625fbbebaeb6ae0</t>
  </si>
  <si>
    <t>0b38765b0c544549892f37720d38b3b3</t>
  </si>
  <si>
    <t>a4b54e663eac12d89700c2ae8f4276d6</t>
  </si>
  <si>
    <t>32c6d7f9cbed204bc63ca95bd97c04d1</t>
  </si>
  <si>
    <t>80931d1883274f3b3ed7507c7f1db3b6</t>
  </si>
  <si>
    <t>b0d8e582c2846b51cb44fbcc4ac8fb38</t>
  </si>
  <si>
    <t>924a71a8ac462b4f2b0774013865988e</t>
  </si>
  <si>
    <t>9e1922d20558d6a6a7d4a60114ae96f8</t>
  </si>
  <si>
    <t>a92880f424bcd0ad8221cde68d05c776</t>
  </si>
  <si>
    <t>e81077a432f7632d2e1c5ff6aa7d8938</t>
  </si>
  <si>
    <t>7275f2cfe3314d9aab514129c881329f</t>
  </si>
  <si>
    <t>fcc54e451ae9cf93102690a02e563eed</t>
  </si>
  <si>
    <t>0ade068c3ac05281b7bf87df8a128ae8</t>
  </si>
  <si>
    <t>b7aea1a9d0772c246d3713733ca94dfb</t>
  </si>
  <si>
    <t>f4ad8cad1b04e708c555beb80da418e4</t>
  </si>
  <si>
    <t>87889508d98d23b22c5c944834b21681</t>
  </si>
  <si>
    <t>e1aab12a35d3a5f38e90000b3b14ddac</t>
  </si>
  <si>
    <t>1cfc9f92e53346e5056c23be6e13ef0e</t>
  </si>
  <si>
    <t>b305216a7c6e080e4cd5f74f22432ecd</t>
  </si>
  <si>
    <t>619c3c7cefde2a7f11b3a50ccda11870</t>
  </si>
  <si>
    <t>7b9e6a5c417130873f5540019e79e5d5</t>
  </si>
  <si>
    <t>9c5293cd5d322378f07193f047eb0cf9</t>
  </si>
  <si>
    <t>545b48730d856c2eb5464030f2076e43</t>
  </si>
  <si>
    <t>e18d2dfc603fcd3d25e1c046dc8924e3</t>
  </si>
  <si>
    <t>c6296d98919afa4df93416783f1e74c4</t>
  </si>
  <si>
    <t>1d5ac9ff42015dc91ada3b7aab7a468d</t>
  </si>
  <si>
    <t>6f08d83f045dcf563ad23dc799230022</t>
  </si>
  <si>
    <t>c5c25fec3da1bc2757241b27c5e56f06</t>
  </si>
  <si>
    <t>670d316e2450728798499d1deb7eb9fe</t>
  </si>
  <si>
    <t>44b08fee02eab00d054a2b896039c78f</t>
  </si>
  <si>
    <t>6cfc8bf561312b783a89a7efb980dca6</t>
  </si>
  <si>
    <t>6037e5e53964226feca487ac8c1a6d07</t>
  </si>
  <si>
    <t>eefe65a96c3e122e8297897a62d871bc</t>
  </si>
  <si>
    <t>aa8fa4697ea6ab29c85e2c13f2818863</t>
  </si>
  <si>
    <t>51f6341a40dea12bdc3725714c4f8a64</t>
  </si>
  <si>
    <t>a04a18c16624e01b4e6a9098893e9d44</t>
  </si>
  <si>
    <t>789082b934f8762afb8ff1d2988157ee</t>
  </si>
  <si>
    <t>f9bfdf4fc985faedb663f08ea416f276</t>
  </si>
  <si>
    <t>33e687b9e13d135070125c5ee75f2197</t>
  </si>
  <si>
    <t>075d02eb31928f62a53fda99695d3ea7</t>
  </si>
  <si>
    <t>a923b81d58f3edf090b2d65fa8b4c2c1</t>
  </si>
  <si>
    <t>856ce01e5e064e59abd412528adb64e7</t>
  </si>
  <si>
    <t>90f6b02e9341c3d135704fead3687eb6</t>
  </si>
  <si>
    <t>45594a88974b91cfc5cdda39326c5151</t>
  </si>
  <si>
    <t>59569162e2168ae9599bcb31b23d8310</t>
  </si>
  <si>
    <t>ca8af0552aa2318a3ea806c2ee265b39</t>
  </si>
  <si>
    <t>e4262b0f31a92b9caea377c2d0a82396</t>
  </si>
  <si>
    <t>1f0b732423ba027e7a66ea3b1c3b68b1</t>
  </si>
  <si>
    <t>22d677ba8c98558ad565da375eb48d15</t>
  </si>
  <si>
    <t>05c264e0fc746989d771077c01261cd7</t>
  </si>
  <si>
    <t>e38b257612b6975a5f44cbb284461247</t>
  </si>
  <si>
    <t>84c073d53a4636c134446f2ed73c92df</t>
  </si>
  <si>
    <t>db9340dbc475a51712bd4d7dbd20dc93</t>
  </si>
  <si>
    <t>7bd15d69bb903225b01181a149e740b0</t>
  </si>
  <si>
    <t>8b2c6350de0e681585ac2bf992d63ab8</t>
  </si>
  <si>
    <t>49eb7754180aada93f6c39af009fcee8</t>
  </si>
  <si>
    <t>229679a85a4e121c4803035686212daf</t>
  </si>
  <si>
    <t>512f81eb87ba30d47d1caae0f7e823a1</t>
  </si>
  <si>
    <t>4ed818fe049bace594130aa02dd0b16a</t>
  </si>
  <si>
    <t>f08cd018d9c69de50f73182b83335924</t>
  </si>
  <si>
    <t>16ac0ffa871149e74b549e1e0444020b</t>
  </si>
  <si>
    <t>eed013cb0d433e1076ea40557f788e03</t>
  </si>
  <si>
    <t>75b08b30cdae029f60c130d29d25fe70</t>
  </si>
  <si>
    <t>45a46e1c8715cc2e1951fb3d02007a31</t>
  </si>
  <si>
    <t>9f7416d231e1c00bc2ba93cc9da67b24</t>
  </si>
  <si>
    <t>765612d98d4ed07031083eb194c97593</t>
  </si>
  <si>
    <t>8af750199efe667ef060c8cc08eabb91</t>
  </si>
  <si>
    <t>bddbb8969d6316f8c6cf03215b45fcd4</t>
  </si>
  <si>
    <t>0e622394ebdc5ffaac8f3e94b161ecf4</t>
  </si>
  <si>
    <t>c34dc5c66c8fc750df567113a48777b6</t>
  </si>
  <si>
    <t>d7c097737171b8e29d84b7614c8be2f0</t>
  </si>
  <si>
    <t>2c27304b4fec4836da92f4ff328ebeb5</t>
  </si>
  <si>
    <t>5c13e21346f8e96658cf752a1cfe019f</t>
  </si>
  <si>
    <t>69d5b1501ac2b207616143dc18553edb</t>
  </si>
  <si>
    <t>8aca577bf1414a5d4f0a44176d0db3c0</t>
  </si>
  <si>
    <t>eb00c25695dd1820a898013f9a57ccff</t>
  </si>
  <si>
    <t>6760c901e39511a8cdb519ad8683f0dc</t>
  </si>
  <si>
    <t>6918eb6678bd841cfebefe817cf428ef</t>
  </si>
  <si>
    <t>98bda7715166d0155810b47026417c07</t>
  </si>
  <si>
    <t>3ab2831d3ebbe3fb9dba701ce5e680e9</t>
  </si>
  <si>
    <t>8d028b6439204dd98c7d346715632aca</t>
  </si>
  <si>
    <t>e0261b187f32458743f2352ba45ce3ba</t>
  </si>
  <si>
    <t>afe0bb84fb98ffa633b7ef3dbf5aa003</t>
  </si>
  <si>
    <t>eb1881f30b13493ffc3be498e02ad585</t>
  </si>
  <si>
    <t>c63013c376931894df7ae8de6142ab1a</t>
  </si>
  <si>
    <t>cd7cc6c8e008339a710663f48bbd346e</t>
  </si>
  <si>
    <t>aef00b31604f66d36a874deb14376bd6</t>
  </si>
  <si>
    <t>d7d03e662d757cb1eadae72362f3a305</t>
  </si>
  <si>
    <t>58148c338f0d642fdc67614bac6fb267</t>
  </si>
  <si>
    <t>157cda66a75add6e5248d552bd2c301c</t>
  </si>
  <si>
    <t>593c071e92a9a130bd3a51f65a5877d0</t>
  </si>
  <si>
    <t>a8d6e5eef9935a87cccd976e05f0b235</t>
  </si>
  <si>
    <t>75a0802c7cc6357b9ba531259b86096a</t>
  </si>
  <si>
    <t>768916b781d16db2b3f5549765f2e8cf</t>
  </si>
  <si>
    <t>3cfee96cab93b474f24f0c05dbe58c3f</t>
  </si>
  <si>
    <t>202c91f158049eaa9fea2b8feca7b7d8</t>
  </si>
  <si>
    <t>a9da0cfd35ecda04df876bb0ca6a014c</t>
  </si>
  <si>
    <t>a97a7321de5e58cd83a23c2bee16458d</t>
  </si>
  <si>
    <t>5d3ce64b4cedc35052a1e8c6d53a7b1b</t>
  </si>
  <si>
    <t>d0ca3aaf44c1ab3a09dda53dcc36f319</t>
  </si>
  <si>
    <t>0cecfe3c35af19caeb49608a9c00049d</t>
  </si>
  <si>
    <t>8d8fa6db340c30912349ec1472faeec9</t>
  </si>
  <si>
    <t>62a519207db5b13c7988297bbbdc8629</t>
  </si>
  <si>
    <t>c94650a26f99a88ae8fe19b28376707b</t>
  </si>
  <si>
    <t>439efbce0af0bc87ac91e0977f98219c</t>
  </si>
  <si>
    <t>6fbc4ac4dcc7fa7352e84dd3322240bf</t>
  </si>
  <si>
    <t>34f5cbbf30f7561809bf5b0549bbffb6</t>
  </si>
  <si>
    <t>7ffaccd97d6248ce3bbaffe0635e9d28</t>
  </si>
  <si>
    <t>66a3891720fc26295f03f1f9bb49efce</t>
  </si>
  <si>
    <t>f16783b7ba404131fbf6ce0832e8289b</t>
  </si>
  <si>
    <t>8e3c531e8e8d49dd91a2f01f61ddd816</t>
  </si>
  <si>
    <t>296cfef4a22747187abfd8914df9eede</t>
  </si>
  <si>
    <t>07320defbd8fe1efee751433f571dddf</t>
  </si>
  <si>
    <t>6b3753231744a86408f44660f1998ad3</t>
  </si>
  <si>
    <t>d3f4001531b437ea1b6bfb4e496fa1dd</t>
  </si>
  <si>
    <t>5d28594e7d98a9f772d44a8aa7d44c0c</t>
  </si>
  <si>
    <t>2f9ea1a2b57051c01c92751bf0387a15</t>
  </si>
  <si>
    <t>99fd2cfad5fb8d06ab0ab052ce8597ba</t>
  </si>
  <si>
    <t>2ffca2e7c11a0406aca6a75c88ebc6f1</t>
  </si>
  <si>
    <t>f76417bd0545f7bae43bcb06a17ec099</t>
  </si>
  <si>
    <t>44b4b006f46628ef16a26fe99bdc77b7</t>
  </si>
  <si>
    <t>4a0f4921f76f43a88d21304d60537fb7</t>
  </si>
  <si>
    <t>1b3dab1e486873f2eaf3efa6f203ec27</t>
  </si>
  <si>
    <t>3b7c829ec15203ed7fb46ff34e1ca362</t>
  </si>
  <si>
    <t>b50483281fe74d92ac7626de7b5c2ccb</t>
  </si>
  <si>
    <t>6f5bbc4579cff8012060362cfb5d059a</t>
  </si>
  <si>
    <t>4718e50fbe7599b70cdabbfec40f3a9e</t>
  </si>
  <si>
    <t>ffa3c6b77d62643bcfeea4aab533c07d</t>
  </si>
  <si>
    <t>e9b9e806a4a2465a99ab9cc781ae1a62</t>
  </si>
  <si>
    <t>694e483559faf894feadb318a631ce65</t>
  </si>
  <si>
    <t>4e170a98bf57793416d43cf94cd03d39</t>
  </si>
  <si>
    <t>0bf2e0e65d00b6a8510f65d57dd7cbba</t>
  </si>
  <si>
    <t>1581b782132359db8b93c2b522a93130</t>
  </si>
  <si>
    <t>3bac848fac675d9e84a7aee949328d97</t>
  </si>
  <si>
    <t>ae1dacde3f8364c133ada8f55b544f52</t>
  </si>
  <si>
    <t>c3b5f829c30547fc3dd87c41bde4b839</t>
  </si>
  <si>
    <t>b5d5153d41fe044c46b4f80fabc962e6</t>
  </si>
  <si>
    <t>c4d6679a20c5d476b80dec9ab7867906</t>
  </si>
  <si>
    <t>522938fc25927bd8aa4a63881c502475</t>
  </si>
  <si>
    <t>896d6126a1f3e0328db7a874436e23af</t>
  </si>
  <si>
    <t>b247d1fc5d3991bf3b2a30432d475a4b</t>
  </si>
  <si>
    <t>bdc1589803a812b5c5cc1f013f0bd6e9</t>
  </si>
  <si>
    <t>9fd07c655b2ef1e618e0866f3e5a664d</t>
  </si>
  <si>
    <t>6c8bff3a04705d38dd08b8cf9470f6dd</t>
  </si>
  <si>
    <t>902afa53500afbca82287bcb9093030b</t>
  </si>
  <si>
    <t>f2527aa265f3c0e1814ac2b9fe28a409</t>
  </si>
  <si>
    <t>687b2cbe353402996a4a3b70aba96733</t>
  </si>
  <si>
    <t>ec57fd904f7943478f1f08e90398bc96</t>
  </si>
  <si>
    <t>2003135a714feb59830c419f25309f1f</t>
  </si>
  <si>
    <t>a02208e26b7b58eb04247edf00a658c8</t>
  </si>
  <si>
    <t>13bcc4561c96312312e355af42c58e1e</t>
  </si>
  <si>
    <t>e056e5fc613111fb175674d8bc5c33d8</t>
  </si>
  <si>
    <t>b61119854b66db8827b5391b953ee9f5</t>
  </si>
  <si>
    <t>4c03af0825a484db1ac8f8aeb2dc26c7</t>
  </si>
  <si>
    <t>ba9019157716a005867e508d9810f285</t>
  </si>
  <si>
    <t>f4b09a739169be4cb2ed7a4410d45538</t>
  </si>
  <si>
    <t>19ca42b987f8a571ffb870fa62c5ae1c</t>
  </si>
  <si>
    <t>e91f33d74dafacdfe1944f023f250803</t>
  </si>
  <si>
    <t>2b1a31636f1be287e57a9cd24455d718</t>
  </si>
  <si>
    <t>95abd6d58f8ce7865e045908a858c37f</t>
  </si>
  <si>
    <t>9b2d140a6b8eb60f01333cd9c0104509</t>
  </si>
  <si>
    <t>7dfabc60814005ef3e621eec96612286</t>
  </si>
  <si>
    <t>15749fc4c2f111cc5a5243fa76de6ec8</t>
  </si>
  <si>
    <t>17133309ba9e49b1741ef289d0aff935</t>
  </si>
  <si>
    <t>620886b024a292bf627e60e689e05c2c</t>
  </si>
  <si>
    <t>035c58df35f848c1b00b3786349f7588</t>
  </si>
  <si>
    <t>308e3e1cf09067d821c945aa1456af99</t>
  </si>
  <si>
    <t>d0fdd7bbb71ab7f7926ecf642af3f801</t>
  </si>
  <si>
    <t>3da8af7276f53a6c06685616c2ff4c87</t>
  </si>
  <si>
    <t>a00540abaaa8140bcf5eb660b08e21f1</t>
  </si>
  <si>
    <t>fd22d290706d32554de7c76a0d9c11a1</t>
  </si>
  <si>
    <t>4634883aaa48d8ef8ef7d122e6e31827</t>
  </si>
  <si>
    <t>0c5322d77001bd8555fda8fbef25de45</t>
  </si>
  <si>
    <t>34487e65593143ef8819ecb61b7fe6c0</t>
  </si>
  <si>
    <t>ebb9f1838297beb7d1ccf4651a3bcc0e</t>
  </si>
  <si>
    <t>8aba41a9f154b5a04d05d7afe5ea1fd5</t>
  </si>
  <si>
    <t>7210147c0fe817b699b6ff125dd7d817</t>
  </si>
  <si>
    <t>19be7413ca14e284798b319534a95a38</t>
  </si>
  <si>
    <t>40859ef3bae52471cdbfdc4f21e10a8c</t>
  </si>
  <si>
    <t>deddaf8949c803ad2fa7e223ede12ac6</t>
  </si>
  <si>
    <t>ca7f81f758e99a72ad416cf5bf7ad777</t>
  </si>
  <si>
    <t>d176f59fbfb5ff3e84c25ea39e2bfe47</t>
  </si>
  <si>
    <t>3ec93ae054f23dcc11e9bf7a5ee3d469</t>
  </si>
  <si>
    <t>6551dd4e702e64ba5f6f5782a97e6148</t>
  </si>
  <si>
    <t>b9c149d419a865ef7987fb4ade221e38</t>
  </si>
  <si>
    <t>5a2001c76cfb83cca91028a496b9aeb3</t>
  </si>
  <si>
    <t>04a93b4330d2f40157a10329786118e4</t>
  </si>
  <si>
    <t>90a3ace1869a1a11b033ec1c347d29c9</t>
  </si>
  <si>
    <t>8ac8debe9c74dbd7f8c70cf79790e70f</t>
  </si>
  <si>
    <t>cc8fb950f6ae0640ea22935d1339c342</t>
  </si>
  <si>
    <t>e33c716fcc32c643e16c5deb21d7fc0a</t>
  </si>
  <si>
    <t>d940927b25d03a69e64fd75e1cf47136</t>
  </si>
  <si>
    <t>302984de378625a521ed710462a84f7a</t>
  </si>
  <si>
    <t>5676b51709e2a6685ccf102fc60b00c3</t>
  </si>
  <si>
    <t>83eba01633f051541eb4a4c2a274fb65</t>
  </si>
  <si>
    <t>90453225ede5fc22e855ea3cfaa95b60</t>
  </si>
  <si>
    <t>77394e9f567432c6498b1a55103a0a17</t>
  </si>
  <si>
    <t>4505e3af840ae9b7c43ee5d669eebdae</t>
  </si>
  <si>
    <t>44bfbd6b8417bb7fa542cee22973882a</t>
  </si>
  <si>
    <t>4d2d3db046510e9f902658e1ad6ff8bf</t>
  </si>
  <si>
    <t>0a580eecb7a21fa4233bb186066495be</t>
  </si>
  <si>
    <t>8b85a2617dc041e6a760b38c25076f21</t>
  </si>
  <si>
    <t>3b7b0c74ae55aa6840dff3659ea255b6</t>
  </si>
  <si>
    <t>08fc905ae6c9b01b2ba14e1193060ffa</t>
  </si>
  <si>
    <t>c6c4f4126f23f4cd43f2822d4c022957</t>
  </si>
  <si>
    <t>937a3778880c08bcf2e3e8d020f26266</t>
  </si>
  <si>
    <t>23210c0ab18c32310aedd2a5c7e6e2b2</t>
  </si>
  <si>
    <t>96435c2d1462e58a446de0860643105d</t>
  </si>
  <si>
    <t>fd83bcee711c198bdd96e24109821d26</t>
  </si>
  <si>
    <t>ada470f85d3be6cb6d0090fe795c4111</t>
  </si>
  <si>
    <t>119057de64daced5c25200f3e2394acc</t>
  </si>
  <si>
    <t>fa41971735c7f101b9e1d7466fe7cef6</t>
  </si>
  <si>
    <t>f1a6ecae1eaac8d8f407028b9c7abc24</t>
  </si>
  <si>
    <t>93458c714bfa7b1e5ce192d6f59794fd</t>
  </si>
  <si>
    <t>a76aad6a5c2a93566fa9ea1288661d0d</t>
  </si>
  <si>
    <t>f7e52180699d559b09c86a82e9d24348</t>
  </si>
  <si>
    <t>fa6d71e8eb18532b1e18a6315d252f90</t>
  </si>
  <si>
    <t>119a60b4830adfac040d11677f49a399</t>
  </si>
  <si>
    <t>24252498c37ec63736e9297171237ba6</t>
  </si>
  <si>
    <t>7b3f755f1cce2b3e6b08fc0ff5d031eb</t>
  </si>
  <si>
    <t>de8ba55b9b0e76e01518d3024b460d44</t>
  </si>
  <si>
    <t>23dd7710ff9828931e07c8643f3d385a</t>
  </si>
  <si>
    <t>e9c15a78712212f2f2c9ed8b03a2c92d</t>
  </si>
  <si>
    <t>d69c5874be108d0ee7b216e426b264c4</t>
  </si>
  <si>
    <t>59be2a867f0d222114d9413b9603bedc</t>
  </si>
  <si>
    <t>005c18d3b50aa9b061f9d73de2c3d6de</t>
  </si>
  <si>
    <t>c7f9942d4c1ba04fe0872f5edb17035f</t>
  </si>
  <si>
    <t>f8b007c746b8d64b2f885547978b23eb</t>
  </si>
  <si>
    <t>907d303327b0113cb47f108d832e2d1c</t>
  </si>
  <si>
    <t>8f3a0f438ab1e04afdf6036103bde3e0</t>
  </si>
  <si>
    <t>cc1f031749340659bfb910dbaffb0db6</t>
  </si>
  <si>
    <t>c21697a07633e6e4941638f11f6261e9</t>
  </si>
  <si>
    <t>d36403ab6fe4ec34ff077c6e5a1e9673</t>
  </si>
  <si>
    <t>88002abf207252b9d1e11549f5a83793</t>
  </si>
  <si>
    <t>8575b1bf885855997c20ff469734355d</t>
  </si>
  <si>
    <t>666b89eb0da194bf34d2be6ab81f7347</t>
  </si>
  <si>
    <t>7fd978abd82de120c17468baef0a0901</t>
  </si>
  <si>
    <t>268374e1b39b5b4692d0f29cd37595e3</t>
  </si>
  <si>
    <t>93f5d1a1b16f20d9b49ba361c1000774</t>
  </si>
  <si>
    <t>5a40ed8f1f9d734ae06351b3bf2983f9</t>
  </si>
  <si>
    <t>18dca8f3355be3cefcdb742e9c60b411</t>
  </si>
  <si>
    <t>fff29e5b677ab8dbac9e32adf306786d</t>
  </si>
  <si>
    <t>2bf490aad3251e3a2ba62c202b1548a7</t>
  </si>
  <si>
    <t>71313977a4c798a265cc6a89d40e4f46</t>
  </si>
  <si>
    <t>e9b1d2f2ed5e53ca1218da57d52758c2</t>
  </si>
  <si>
    <t>153b8fc3826b9e44c1c7a1b78d6c9fb7</t>
  </si>
  <si>
    <t>a84656dbd4ba62f21a4461460663348b</t>
  </si>
  <si>
    <t>13d3cee72380085a4edf56bfaa9b72c2</t>
  </si>
  <si>
    <t>7bab8480a25933cb8e5402f9543586ea</t>
  </si>
  <si>
    <t>3749633a727308e9883bc036dad27a26</t>
  </si>
  <si>
    <t>76223c86da641096462eb6439d195ee0</t>
  </si>
  <si>
    <t>b44e7311373eb7ac63b2ce320a3e506a</t>
  </si>
  <si>
    <t>859b91cb8bf37137e00603ab418883cf</t>
  </si>
  <si>
    <t>9d164750660c415404ff25744e5b0379</t>
  </si>
  <si>
    <t>8a15c37cd31e6f128b33049171ce8455</t>
  </si>
  <si>
    <t>85db4278b775ab4453b5ab19ae75fb66</t>
  </si>
  <si>
    <t>db5eec0eccd755345f9eb7dade48e397</t>
  </si>
  <si>
    <t>c454a37da0ccd02a46cd5df4ba4ae676</t>
  </si>
  <si>
    <t>ab41e11ed183034c90cdd37eac90db12</t>
  </si>
  <si>
    <t>52f191b69f5e99d2efc92d3b07f50c4a</t>
  </si>
  <si>
    <t>8f976c4a08d7a08cfbb21c50b191fdbc</t>
  </si>
  <si>
    <t>2e4e996b713245f3c27c8f4a9b05fc31</t>
  </si>
  <si>
    <t>df1610bd1e34e39698f9dde36c29d0b7</t>
  </si>
  <si>
    <t>cf8045a3d0dfca4dc07a1aaccb344efa</t>
  </si>
  <si>
    <t>624d879d053e2d2caa43d66598768b81</t>
  </si>
  <si>
    <t>3410e441ad3c848b00e2434f01917538</t>
  </si>
  <si>
    <t>d11d28b04ac09d8b72158ebdc299fa0c</t>
  </si>
  <si>
    <t>c4415a95a030c7b592a21b75570674f6</t>
  </si>
  <si>
    <t>92e83548ae608e6a860e3ec90345c326</t>
  </si>
  <si>
    <t>97a755c30efa9bbe5e786dd70fee58e7</t>
  </si>
  <si>
    <t>035976c5763df5618c91170e734d169f</t>
  </si>
  <si>
    <t>cc7ceec97ea1cd33987b0d238c1efb31</t>
  </si>
  <si>
    <t>4ab6e7065e0e9d89e753c4f75233a280</t>
  </si>
  <si>
    <t>a80003f21ed1a8064089cf411ef521a8</t>
  </si>
  <si>
    <t>497a7cd3def92f492085377e3c460588</t>
  </si>
  <si>
    <t>5f80929902fc898feb22041a9b7e7428</t>
  </si>
  <si>
    <t>4713851cd41582d67c9a37e52eac5ac9</t>
  </si>
  <si>
    <t>dea66f936b7dce1c6f63b879b13a73ac</t>
  </si>
  <si>
    <t>6d98220d540c83ca5268bb1325afb799</t>
  </si>
  <si>
    <t>7d275ac5a425b9648359efb841e0f561</t>
  </si>
  <si>
    <t>8f9643bb82004835e56e06080b1c64a6</t>
  </si>
  <si>
    <t>290ebef5f12090a913026363e191326b</t>
  </si>
  <si>
    <t>938d9c724ddd62728750ffa5a8928b8e</t>
  </si>
  <si>
    <t>0c2cba8744fa51c9cb5d400ffb42baa0</t>
  </si>
  <si>
    <t>a30675a64a4dbcc3a34ece9134889721</t>
  </si>
  <si>
    <t>0340c5cb7314ad34b650ff0758e5101a</t>
  </si>
  <si>
    <t>332850c57bfd11518e59666d5ffb4eee</t>
  </si>
  <si>
    <t>85f6603bdcfa25721fa25164e16d0a37</t>
  </si>
  <si>
    <t>729ed0ad15dfc1d37449dd5c146ca58f</t>
  </si>
  <si>
    <t>6d48f148a3d6f3bc9e0e73aa9f71807c</t>
  </si>
  <si>
    <t>f4695c2478e7297a5932bef998b06848</t>
  </si>
  <si>
    <t>986097ec7a907cbdb646056a7dd3d1eb</t>
  </si>
  <si>
    <t>55bc8ce1fbd24f6d0c3ed77aece63e07</t>
  </si>
  <si>
    <t>90d9b2836b77b077170bfac649c7f3a9</t>
  </si>
  <si>
    <t>f9ad5eef90fb86c793678fc0ce0c7eb7</t>
  </si>
  <si>
    <t>1c5764b1a63c0fb4ef14be7b79198a92</t>
  </si>
  <si>
    <t>574aafb0c1d6b14ee6ecdbc5fed7943d</t>
  </si>
  <si>
    <t>46d420c92a1a6d1fad76ae5cf0c466e3</t>
  </si>
  <si>
    <t>87c89d4c7926123e4dee4c75ff9fe663</t>
  </si>
  <si>
    <t>121d2b0b176a01fc4954d1dcf6d62673</t>
  </si>
  <si>
    <t>129acb884825e7c9132ca85d25afbb7b</t>
  </si>
  <si>
    <t>05bc74eda732574566e447ec6ca79b63</t>
  </si>
  <si>
    <t>cba7100f538c151dad152d1f6f3dd459</t>
  </si>
  <si>
    <t>f9dbbd3424081473b8ba020df2eec0a6</t>
  </si>
  <si>
    <t>241dfd0ce0368f8e8733ddb0097a4c3a</t>
  </si>
  <si>
    <t>54e4186194be690f14aac918c15f981c</t>
  </si>
  <si>
    <t>ffa278e3b608ba121e9a25f4d9c369ea</t>
  </si>
  <si>
    <t>474f707477821a01707f9029f758befe</t>
  </si>
  <si>
    <t>8c9b38b5b93f5f284dd0a1af6dd6d095</t>
  </si>
  <si>
    <t>6fc85ae981421110ed4abd21c41f2137</t>
  </si>
  <si>
    <t>02d3c7863a11d11ebee6deeecc0b947f</t>
  </si>
  <si>
    <t>fec3bc6138c5d4275bd76be0b25eb572</t>
  </si>
  <si>
    <t>de199118a2fc1b85c835524cfb578c54</t>
  </si>
  <si>
    <t>899d1f3485802dacf4a75dda0170344c</t>
  </si>
  <si>
    <t>4920c338eeedeee676fdb1134efa5531</t>
  </si>
  <si>
    <t>38016135d33144e70e650809f2803ae4</t>
  </si>
  <si>
    <t>575b7f06edfc77f7e5cbf83cd32235ae</t>
  </si>
  <si>
    <t>9dd2b41659e0dbc156f65b4d2ffbc35e</t>
  </si>
  <si>
    <t>6fa58e50233b377227bd609d0947b66c</t>
  </si>
  <si>
    <t>cb30a1213fa42111fa5420e62dd0602d</t>
  </si>
  <si>
    <t>0043a94916c36213bff615fd1826806c</t>
  </si>
  <si>
    <t>a18c2887d33a299232b70dc0fc93a9fe</t>
  </si>
  <si>
    <t>fbb71ac0020df086baf5a03e83ed921a</t>
  </si>
  <si>
    <t>fa1c049a8fa7b0078ec87263ed38472f</t>
  </si>
  <si>
    <t>117cfe4798c114bb336048d001f22b8c</t>
  </si>
  <si>
    <t>d2add203411fdf0266281f33aa77b9d6</t>
  </si>
  <si>
    <t>18283992794a88e7fe318d368eaed36c</t>
  </si>
  <si>
    <t>0a201dec10825338ab8bcab377af23fd</t>
  </si>
  <si>
    <t>c8b9bd43c3605203c93b1e7ae32e0829</t>
  </si>
  <si>
    <t>6876245306605288c7553758fd436bc1</t>
  </si>
  <si>
    <t>576b935b206d6ed18c2988971a3faaa2</t>
  </si>
  <si>
    <t>6c06552305585df555cd7f113119da09</t>
  </si>
  <si>
    <t>24989ca81a4da1576fd48d920a4a9744</t>
  </si>
  <si>
    <t>2e566109bd2763d97364ddaac7b00a2f</t>
  </si>
  <si>
    <t>6b9ca36407b70286a44da44268213c28</t>
  </si>
  <si>
    <t>dab075e76c64e52648c9a81f83f095f1</t>
  </si>
  <si>
    <t>5ed02431306e829c46015bb672e506d0</t>
  </si>
  <si>
    <t>6aa4f50baa0c8dca2d1983c176cb2412</t>
  </si>
  <si>
    <t>bb5c7ee5c5276664224f789830654287</t>
  </si>
  <si>
    <t>168098e1d51ea02c3f8b28d74cb36c13</t>
  </si>
  <si>
    <t>12e6f0b850c6c7df9a025a526850f6a9</t>
  </si>
  <si>
    <t>2338b39604b057c49882102afac857f3</t>
  </si>
  <si>
    <t>1968e6dc4cc3fc99818dbc30e2588c3a</t>
  </si>
  <si>
    <t>11c7c52c3e162af6b7e934371ddef7f6</t>
  </si>
  <si>
    <t>ba37552d64d8057f525968e6d40ed51a</t>
  </si>
  <si>
    <t>5bb19a9a2e62425344632614dd6239c0</t>
  </si>
  <si>
    <t>acc5cf0d6eab72e403f8fafdd9460a8b</t>
  </si>
  <si>
    <t>f6e778057d1e7b9c11f04da6f5b57fd7</t>
  </si>
  <si>
    <t>8eacab0de91835b5171859aab8a5a599</t>
  </si>
  <si>
    <t>cb9e80e91cf18c0fb728284ac64809a9</t>
  </si>
  <si>
    <t>cbe7fd5959f1c5ac7405173df6145ea6</t>
  </si>
  <si>
    <t>5ae6e180f2b4282377b7dd4818631e37</t>
  </si>
  <si>
    <t>55f82c2ec32a1f95241f26fa3afd24af</t>
  </si>
  <si>
    <t>56f066fa5c1061de5643544d1063cf49</t>
  </si>
  <si>
    <t>c5074f3f300f8d0b376de8fb97d40d60</t>
  </si>
  <si>
    <t>dfcc8e75cea703f96fa25a1aaab6cdf7</t>
  </si>
  <si>
    <t>27e9194fd6b39308a835c3492c0cf74f</t>
  </si>
  <si>
    <t>f3d86a1a20f37b527376926a13c7764d</t>
  </si>
  <si>
    <t>89957243cd6d3dbd242211d123d1b715</t>
  </si>
  <si>
    <t>f3a60dc5236d3828a0bfcd92aa9dc210</t>
  </si>
  <si>
    <t>24940b85d7af7649f7ec3fd2ed22b5a2</t>
  </si>
  <si>
    <t>71f5df3b02ef9af95662222e70a53426</t>
  </si>
  <si>
    <t>72d738d54d57c172b45c367db5f2c45c</t>
  </si>
  <si>
    <t>6b254e07fbd64324db767e09a299f1aa</t>
  </si>
  <si>
    <t>d7e1ad58c24bed1d11da1f2b66950c77</t>
  </si>
  <si>
    <t>3b2e0e2758ab1794055a7cbfcc595a0f</t>
  </si>
  <si>
    <t>398bc90d2690528533a355eb12e4cd52</t>
  </si>
  <si>
    <t>371594ce91c8fa8e4de8e74aea6322b3</t>
  </si>
  <si>
    <t>590392fd3b6e2d8f25b06e6935ce8e6f</t>
  </si>
  <si>
    <t>c58be7e3576be015413466860257ddc1</t>
  </si>
  <si>
    <t>e9cb5ed6c173e6225be0c6cbbd92a767</t>
  </si>
  <si>
    <t>6a878260e8d3eb7be08bb9ca4b7b9a34</t>
  </si>
  <si>
    <t>b2ceb2a1381c7b17c45a0bb3635433e4</t>
  </si>
  <si>
    <t>483b9eb5bb963f857936e36319696962</t>
  </si>
  <si>
    <t>fcfe488500ed653867c4f2effa25f7a9</t>
  </si>
  <si>
    <t>ba208e98aaff467711cb0679d1be438d</t>
  </si>
  <si>
    <t>5e83928bc5abcc8d7a3d4522bfc2285c</t>
  </si>
  <si>
    <t>2fb534dfdde43831551c489c7c0acafd</t>
  </si>
  <si>
    <t>b9e4d0dbc06c4e289782e7f0ce9ef263</t>
  </si>
  <si>
    <t>4878afe7375b6b0a9e9390e56e644755</t>
  </si>
  <si>
    <t>fce8a7374a5050943e086bb7b272865b</t>
  </si>
  <si>
    <t>789f9508bcdb77a9db9b7ef182cfd4ce</t>
  </si>
  <si>
    <t>9210813136583de2f00c2e758db71d7b</t>
  </si>
  <si>
    <t>8b20a752d7fe06f5e92c0e368511e3d3</t>
  </si>
  <si>
    <t>8e72dac528862dce207fb4ef1f265e0c</t>
  </si>
  <si>
    <t>5626e91a55d86060eb82ae90f0bc8631</t>
  </si>
  <si>
    <t>3767101ad6d5266c53bad1e930acce33</t>
  </si>
  <si>
    <t>d43c4476887032cb3c0e15deb0bffb17</t>
  </si>
  <si>
    <t>1a04b1625d2f9bf80ccd3e1bb4bfed16</t>
  </si>
  <si>
    <t>51a138335b6d9bf4e2f8227aaf33be7b</t>
  </si>
  <si>
    <t>80902fa004cd089db2c321c6aac14652</t>
  </si>
  <si>
    <t>dcdf4f48c314b54c0f992addd5d9f349</t>
  </si>
  <si>
    <t>eb4f15cab2a768d578eddd5029499daf</t>
  </si>
  <si>
    <t>57ceecb2e69b78570b7da3d7d4479d8c</t>
  </si>
  <si>
    <t>da0134ab09cf964258b5f3bb29f81d0c</t>
  </si>
  <si>
    <t>8fc632a1e55edf86e68d3227ce239902</t>
  </si>
  <si>
    <t>7a5cba1d6aad902b83d2a63adec5cc71</t>
  </si>
  <si>
    <t>a330d8c07bb21027f97c498e55556377</t>
  </si>
  <si>
    <t>09eac60a6ed588c4356f2f146c6399a2</t>
  </si>
  <si>
    <t>c2336677266f45f958166b642d8dede0</t>
  </si>
  <si>
    <t>ce26fd4ac02ba225d96c9af4250d644c</t>
  </si>
  <si>
    <t>df6f71f0fc4f79e3ad85f6088f4cc6e1</t>
  </si>
  <si>
    <t>364deab1cb7f42bcc3006f47df5af7d9</t>
  </si>
  <si>
    <t>28e27e721270bd218732835ac42bbfc5</t>
  </si>
  <si>
    <t>e9bd7ee5280f501edb587ea5bac41038</t>
  </si>
  <si>
    <t>3710f672d0623f584fd2eb75ced17fe2</t>
  </si>
  <si>
    <t>6a5ef086afdd909c6187d473da20b122</t>
  </si>
  <si>
    <t>de2290ba8a5b6c8e32bb1184dfdf36d2</t>
  </si>
  <si>
    <t>57b34d3179a7a434d7df03f3910da378</t>
  </si>
  <si>
    <t>d3264dbd9d97b440c66086202d597449</t>
  </si>
  <si>
    <t>082be08730f587b06e11ee0a69b9fb09</t>
  </si>
  <si>
    <t>3a40d024c31317f24ff197502e08c758</t>
  </si>
  <si>
    <t>901aca5cb31c489c0c63120f079a3774</t>
  </si>
  <si>
    <t>7a0b2fd88401c64626f3ab15da9a655e</t>
  </si>
  <si>
    <t>0251e323459d0103c00d693162557449</t>
  </si>
  <si>
    <t>ecae44a6f485b79af29be5daeb3bd047</t>
  </si>
  <si>
    <t>a5b71455f527c452c83fb8a8794dc7ec</t>
  </si>
  <si>
    <t>1298e50a7f3441e8c187645fea06f7e9</t>
  </si>
  <si>
    <t>7dab627dfcef1e67642ad2c22b062af7</t>
  </si>
  <si>
    <t>4ec91e645adfdb4dba3515df8708875a</t>
  </si>
  <si>
    <t>9161739e0711643a124a53581a66e390</t>
  </si>
  <si>
    <t>7974641dc4541b2328db88fd4cf04ba4</t>
  </si>
  <si>
    <t>75dbfa6fd37f962a80e8131e97853af1</t>
  </si>
  <si>
    <t>53f0cf21c654b0e4fbc8d9079241a053</t>
  </si>
  <si>
    <t>e987ba531d0b236c60bf34771e3d2003</t>
  </si>
  <si>
    <t>60ed5469adf178f40b60d4692417f5f1</t>
  </si>
  <si>
    <t>e030c3a235a4cf6659167cbe443d5606</t>
  </si>
  <si>
    <t>5d666cd502533bf945fcc9193e3298b3</t>
  </si>
  <si>
    <t>903d35b6e9be840da0b609dfea5ab872</t>
  </si>
  <si>
    <t>c2c460eb81500b077ed81c12cddc9e89</t>
  </si>
  <si>
    <t>89ff7a446980a63f793dfdf3ca2caff1</t>
  </si>
  <si>
    <t>e21ae3b010687b01f2273d6f8379bdcb</t>
  </si>
  <si>
    <t>67b34a1286927268da85e8f64dd765ac</t>
  </si>
  <si>
    <t>524c62e887d05b4a4a2e842df7522d8f</t>
  </si>
  <si>
    <t>ba6fce119e89080d68da4ff59551b1f2</t>
  </si>
  <si>
    <t>e83d30a4e03a80f6acbf136f064c5420</t>
  </si>
  <si>
    <t>4beb0c3abb171a44d573b0db824e22de</t>
  </si>
  <si>
    <t>6e4ed54fd7ff76263c7422e972824fb2</t>
  </si>
  <si>
    <t>ed0df291632c760a64736129b4fae57e</t>
  </si>
  <si>
    <t>0bc2edc2eabe8634d8c3a1985098900f</t>
  </si>
  <si>
    <t>bd016393ed8682c832f96c064e0b8292</t>
  </si>
  <si>
    <t>dd0479e437dd60b85609a9b29fae976b</t>
  </si>
  <si>
    <t>4bf8e5fe0e2d62c8ff21c1f7e60c958c</t>
  </si>
  <si>
    <t>e40af0ce3e8a47a4a815c3e3f2aa2213</t>
  </si>
  <si>
    <t>10370f76cde277e089dea6853b6276e0</t>
  </si>
  <si>
    <t>908e11b646b085fe21e33daaa0c7d495</t>
  </si>
  <si>
    <t>66e6faef5ff5e71917f9a8be82d28636</t>
  </si>
  <si>
    <t>b915da2743232db7dd68bb883ea611be</t>
  </si>
  <si>
    <t>5ff176c0c25d7dc85cb40c672a7b4be3</t>
  </si>
  <si>
    <t>452f2cc3f0034757f491f32cb073ccce</t>
  </si>
  <si>
    <t>f429923f4fc5322ece7bea515758a1f5</t>
  </si>
  <si>
    <t>76396b9d4924933312c6415dd13b5c7f</t>
  </si>
  <si>
    <t>35f7064758a9cf44bc5e5c8dc986d60b</t>
  </si>
  <si>
    <t>b2153f163e43c78fa00dc6483ba72965</t>
  </si>
  <si>
    <t>20aa2e5d7bc9ee93075b21ca1fac8e05</t>
  </si>
  <si>
    <t>13930d912b9bc467ec52576aa3c2ebd8</t>
  </si>
  <si>
    <t>25bf0722125a5b2eb2e44cfdd38348f8</t>
  </si>
  <si>
    <t>7025b7044db1f7713c10e731e939788c</t>
  </si>
  <si>
    <t>b7313a04dce213cc8b3b2ea00216399b</t>
  </si>
  <si>
    <t>754912931d6f9fdcf731c8f98134c5de</t>
  </si>
  <si>
    <t>605f44aa89d1aea8657ec730af5a4513</t>
  </si>
  <si>
    <t>0634916926d451c548c92f5b4ac614bd</t>
  </si>
  <si>
    <t>76c201927da7fdcd7fd63f001a7c527d</t>
  </si>
  <si>
    <t>a5ba942f8607cc4fff473bccf905a946</t>
  </si>
  <si>
    <t>c1840caa4eb17d8f88ae9a9e6072b309</t>
  </si>
  <si>
    <t>bdd2d5d76afed95bca5b4f36abc7bb8e</t>
  </si>
  <si>
    <t>e5a639a7962b402aa4531940bd72974d</t>
  </si>
  <si>
    <t>2885702323edcdfee8eeab95132e8a9b</t>
  </si>
  <si>
    <t>a4af2562686625b754fb7602258adb8a</t>
  </si>
  <si>
    <t>6f324ac522d6ff593aa295547ab7cc18</t>
  </si>
  <si>
    <t>177197701f85f6277e3f4f952ddfc4a2</t>
  </si>
  <si>
    <t>1f7a17c3105d43e5850027b76b6a2912</t>
  </si>
  <si>
    <t>16130d1dafaa803087846c45a1fe6d07</t>
  </si>
  <si>
    <t>5a5e822e3a4b411c249254ae5bb2f07a</t>
  </si>
  <si>
    <t>41f11a8491ae5d1e556d367f9dbb9d8d</t>
  </si>
  <si>
    <t>1bb5897bcad2ce5c42c4941de943d4ca</t>
  </si>
  <si>
    <t>99cdcd94a99f55187bb2800b137f8ede</t>
  </si>
  <si>
    <t>7a3e7070752d1238a84389d6cf2e76a8</t>
  </si>
  <si>
    <t>263be4eace6db8de40bd7e6e3d910526</t>
  </si>
  <si>
    <t>647d3079bb93aa0ca92a7f77e13b4eb5</t>
  </si>
  <si>
    <t>b10d07e9071bdf491908cc17b9cd0a2c</t>
  </si>
  <si>
    <t>a5a8f6873bd90ef18262cf8fe4ab70e4</t>
  </si>
  <si>
    <t>94fe3287ae1869f4ee60c989a0433c9e</t>
  </si>
  <si>
    <t>e0876a885189b627c4f0af7f22937805</t>
  </si>
  <si>
    <t>25fe02d14f4a4b72be6b61039d9dbdbc</t>
  </si>
  <si>
    <t>1d3c928892fd39374ceb60679b40fc6f</t>
  </si>
  <si>
    <t>221362da5d7c20af423ea303f38a54af</t>
  </si>
  <si>
    <t>cc10b540cb3f93935bea4c3512d95abc</t>
  </si>
  <si>
    <t>021e86b50d35e3a558be60f62f3d57f4</t>
  </si>
  <si>
    <t>20f0021ff7925bb552ec39ba461e4d2c</t>
  </si>
  <si>
    <t>89d630000d0a5e1fe976ddc7d1c87a6a</t>
  </si>
  <si>
    <t>72279ee0801c346ef42114b1e6ab31fe</t>
  </si>
  <si>
    <t>dc410c52d017066bb89ec8b82fb8de31</t>
  </si>
  <si>
    <t>08612ccf87996d26a57a297e981536a5</t>
  </si>
  <si>
    <t>594fa88d0f1d96dcc90320191a9252b2</t>
  </si>
  <si>
    <t>c678687e8acc35c2521077c2f38026b6</t>
  </si>
  <si>
    <t>9fb42b67f204395e7a8cfecb6fb90a94</t>
  </si>
  <si>
    <t>615ae4781cd2317042788107092f8dbf</t>
  </si>
  <si>
    <t>4da1772cfe09275f0f353f982f2fe0f5</t>
  </si>
  <si>
    <t>66ef5a429dcf9a435269608917fb49ef</t>
  </si>
  <si>
    <t>a7a6d979f89eb089e4885623b3c2c064</t>
  </si>
  <si>
    <t>3792af8a2afaa3266a356d3f80401ec2</t>
  </si>
  <si>
    <t>6fbfbf7c9c895ca68b62b7bc0a5d6757</t>
  </si>
  <si>
    <t>b0ffa30b519d28a0f19e3b6c03a46bfd</t>
  </si>
  <si>
    <t>ff615e4ecc6dce1f4f9c660ebf6043cd</t>
  </si>
  <si>
    <t>1aa801a20d1f1b7bd4099d449a2488e7</t>
  </si>
  <si>
    <t>be53291be66dc59d8b7d00ac8fdc38ba</t>
  </si>
  <si>
    <t>5bb2558ffb60f8d7964aa5fba5340af4</t>
  </si>
  <si>
    <t>3f742c6e3c86374b963d875e4bf02c3d</t>
  </si>
  <si>
    <t>a08a53d6db3887be0fb32dd668a1bf32</t>
  </si>
  <si>
    <t>f18819020658173bbc75e0246aa99d2d</t>
  </si>
  <si>
    <t>e547cd66643144413b9dc0e5d385b576</t>
  </si>
  <si>
    <t>c4401a1c90d8680c811772f950567301</t>
  </si>
  <si>
    <t>a5f1587cda0e0fa5279b5c9a77f85f80</t>
  </si>
  <si>
    <t>b4aeb476147170941bd59097b32310c0</t>
  </si>
  <si>
    <t>5a691944933478f16ae99bd6f5a74bb6</t>
  </si>
  <si>
    <t>c93cb0d42166068aa97cb8372e75297a</t>
  </si>
  <si>
    <t>9ccc636408ce83a41eb74305d3b58348</t>
  </si>
  <si>
    <t>8f475700c3e177647b9c54ec89d5fd65</t>
  </si>
  <si>
    <t>09b4fd3df453086f2e3470fab7c0a96b</t>
  </si>
  <si>
    <t>067332d3a55fd2f7bf87fb13c73c3ecb</t>
  </si>
  <si>
    <t>9714f6f56a2df46adf4f42ce61090773</t>
  </si>
  <si>
    <t>aac7df8c57990b50befda046a501eb95</t>
  </si>
  <si>
    <t>a760b9ac6bcda19781a60b90e329a142</t>
  </si>
  <si>
    <t>bbb91962ce085fd7d0e59a29655dddf5</t>
  </si>
  <si>
    <t>e902255b1e6074531d00446bad3cd8b0</t>
  </si>
  <si>
    <t>9b207d112cb26aac571d09fc7a210425</t>
  </si>
  <si>
    <t>801d2cbdc44b5750f9fe6b0467350815</t>
  </si>
  <si>
    <t>0e7415d484b664a5093ac06a1b49d852</t>
  </si>
  <si>
    <t>cdd5abf7a7ba4b0cd79d0333cbedb931</t>
  </si>
  <si>
    <t>50bed854ebd4c8351744a98758f0dbf9</t>
  </si>
  <si>
    <t>57b3afca23c79a4e0f6f7a2a5cf1f53b</t>
  </si>
  <si>
    <t>7f493aacda31477bcb3f999b5a926b6d</t>
  </si>
  <si>
    <t>f97a8e64b7442d8f0d78065f675f560f</t>
  </si>
  <si>
    <t>38f0c9aaba195c70e2377162ea1a71b4</t>
  </si>
  <si>
    <t>6b99d39c7bccef6e60aef6875154864b</t>
  </si>
  <si>
    <t>c15e2cc01d3625d533373b25e0bddff1</t>
  </si>
  <si>
    <t>c06d0073a6c29b6eff1c7ed741ce011d</t>
  </si>
  <si>
    <t>cddd01ea1768ff0152585ecc215a395c</t>
  </si>
  <si>
    <t>a73eadfe593c407a1db489af62ca7dda</t>
  </si>
  <si>
    <t>2370afb7ec7c9082671c2b858d5f1099</t>
  </si>
  <si>
    <t>025fa854147c4d982aa5403e4b67e9e9</t>
  </si>
  <si>
    <t>210cfc5006e392dd303ba9fff9c52233</t>
  </si>
  <si>
    <t>1a4fdcab868e0476dac54dc11b0fb406</t>
  </si>
  <si>
    <t>e439beae38625c27b2e5dacd6819c882</t>
  </si>
  <si>
    <t>d1bd0af549a52a71c86339c74ce80140</t>
  </si>
  <si>
    <t>3e5e127cc8711d8570008252da12c651</t>
  </si>
  <si>
    <t>e21af62b8bf808a4de424d8bd599812e</t>
  </si>
  <si>
    <t>19d680b617f9a57261dccca6f7d52c42</t>
  </si>
  <si>
    <t>cc9983b621b6db3d718122a7ae402c6c</t>
  </si>
  <si>
    <t>2a50732284e8d3c046f6649f64a3afbc</t>
  </si>
  <si>
    <t>b53fd3a9a13ad0529ddc2c12bc0206e7</t>
  </si>
  <si>
    <t>d0763fec485b72430c90529a09c8ea43</t>
  </si>
  <si>
    <t>14aeee2bc10efe9396eace4fa9d9543e</t>
  </si>
  <si>
    <t>9ee875cb9d9204294b2bd708a0e462b6</t>
  </si>
  <si>
    <t>738e776bf94c3414fcf7b47b583c089f</t>
  </si>
  <si>
    <t>9c1475f40367d46ed2360f6a89de4783</t>
  </si>
  <si>
    <t>1958e22c95aa6ccf19a07c50349ee0e6</t>
  </si>
  <si>
    <t>90b04458d0c0f78023346005e9228c7b</t>
  </si>
  <si>
    <t>5e97604408aced5d470189bb72dd4268</t>
  </si>
  <si>
    <t>000afe7811418494ede9e36d579e11f4</t>
  </si>
  <si>
    <t>88e9bff697535cd3aabf12e9c40b76be</t>
  </si>
  <si>
    <t>f2d9bfe5fe72a28ff3acdc4f86d77b67</t>
  </si>
  <si>
    <t>975eb89286870c6659cf3d833cf0a36b</t>
  </si>
  <si>
    <t>b34e2604ea97588e8cac6794d4bbc9ed</t>
  </si>
  <si>
    <t>63c54be89a504cc8d7ef4635a8cff619</t>
  </si>
  <si>
    <t>33e34455e52bda63d3244362c9b6af6a</t>
  </si>
  <si>
    <t>6bed7acb381006e16f4fb4655cbb0448</t>
  </si>
  <si>
    <t>05608ea87df8ede60beb47b0a9045f81</t>
  </si>
  <si>
    <t>552d041e73af170a558e056855ccd072</t>
  </si>
  <si>
    <t>16b0cc602800ef28d34fcc29e8966e61</t>
  </si>
  <si>
    <t>733074f769a68a241860410139be3561</t>
  </si>
  <si>
    <t>14e4ec3c5a1d99573474ae36261563a5</t>
  </si>
  <si>
    <t>c3452118fc015e31e3773dc5cf3de5f1</t>
  </si>
  <si>
    <t>2c63a277a3b16a50dbe33ad3467c4757</t>
  </si>
  <si>
    <t>edd774ec03fe9c2732eebba5f4c6f19c</t>
  </si>
  <si>
    <t>07efdec5bfc3cc93b122706d4f5f2a45</t>
  </si>
  <si>
    <t>8f0f8ee22b8637cdcf79007008e0b356</t>
  </si>
  <si>
    <t>34283cac4e3d232d2c1c0efeec9688f5</t>
  </si>
  <si>
    <t>cb51ba132a61cdccbfde17328f4bde23</t>
  </si>
  <si>
    <t>2db6aa6677352b2cb9d78f929cc16b09</t>
  </si>
  <si>
    <t>e38355454d678cbdcf7832c405d4bf23</t>
  </si>
  <si>
    <t>100f1aec5c254e8ee0bc30355a6f79fd</t>
  </si>
  <si>
    <t>e11aae80d239182122677046749be7cf</t>
  </si>
  <si>
    <t>d49004b51b1ccf73750ac980b663af4d</t>
  </si>
  <si>
    <t>e9ee6943168326c9ab299456b26b4cd7</t>
  </si>
  <si>
    <t>e91c60edfe28c99dc5645b4a5b706731</t>
  </si>
  <si>
    <t>02e8eccaeafb200206878522a9d3e1b3</t>
  </si>
  <si>
    <t>e5c102c42e1723bf3d436d513362008d</t>
  </si>
  <si>
    <t>e5b6db9c1c66d517ea0b64028ed024d9</t>
  </si>
  <si>
    <t>906eb6220d35505d49f498e519943040</t>
  </si>
  <si>
    <t>87ace7a6e4742cc5f68a584b179eeea3</t>
  </si>
  <si>
    <t>6f4a506d54e263e0331203e07fad5114</t>
  </si>
  <si>
    <t>76557b413cb06afbd4604178bf32c43b</t>
  </si>
  <si>
    <t>9e9cd967f2dd3e2caddaef07b5ac0285</t>
  </si>
  <si>
    <t>b3a709c18e75b775438c11d1dd58c697</t>
  </si>
  <si>
    <t>9242e17b164b30323367553bb79c2f1b</t>
  </si>
  <si>
    <t>7d10de91aebab17eee2a0529b0720927</t>
  </si>
  <si>
    <t>b91bf46ead5584a3c9e24ea68ca71fd8</t>
  </si>
  <si>
    <t>7a799faf5128e21b43f1b2004d6c01d6</t>
  </si>
  <si>
    <t>0a3bfe15083aaf21f14dc52a4b6a0e11</t>
  </si>
  <si>
    <t>f99a65dddf72cba5f980779bad4cf28b</t>
  </si>
  <si>
    <t>e3aec6d513a7b78c750c730a427fc1ce</t>
  </si>
  <si>
    <t>fc2c038e13397f030f82c37bac4187b7</t>
  </si>
  <si>
    <t>8a87d9cc0d3181f465f3403b104f70b8</t>
  </si>
  <si>
    <t>070e1177d5f68e2809994c898367f46d</t>
  </si>
  <si>
    <t>1f472a0c2cb458cc8fa5e0857e328112</t>
  </si>
  <si>
    <t>a04c88416ecff7c4fa45ba67942d54a8</t>
  </si>
  <si>
    <t>4ed846e6165ecec48ea420eefd7ed542</t>
  </si>
  <si>
    <t>c2c5c159d27c2c33e58cdf1a2cbc9eea</t>
  </si>
  <si>
    <t>1075f76e90d5cf7ce74595203892ff21</t>
  </si>
  <si>
    <t>10615d9cc599484f3e4e822395e3a77c</t>
  </si>
  <si>
    <t>d024f7016151270327bdb17382d2ad22</t>
  </si>
  <si>
    <t>97d8915d1d0b75fdca2fa1283128f8eb</t>
  </si>
  <si>
    <t>e3286638ca2d3b27d379debcf1f96546</t>
  </si>
  <si>
    <t>7072aef0e34a3cf64eb6a074ec92382d</t>
  </si>
  <si>
    <t>20f06b63f26f8f9431f67145dc53db1d</t>
  </si>
  <si>
    <t>6f266fcaa177b68608bbee2de76fee5b</t>
  </si>
  <si>
    <t>9f4e510712b5365cfe8fa8d7ded7bcf9</t>
  </si>
  <si>
    <t>79bc8254d3666ef13c51961cf25ef533</t>
  </si>
  <si>
    <t>e9417dc6f9e140c26edc1c8bbd117692</t>
  </si>
  <si>
    <t>8ecb00431863ead9c440bb97f8d8c27e</t>
  </si>
  <si>
    <t>0cd57d16d28862ef9b5112a213a7b822</t>
  </si>
  <si>
    <t>9297b77c6b120a8c0f6b3f5dc7aef834</t>
  </si>
  <si>
    <t>013c964d344d8f487c0fc9ec8e6612e8</t>
  </si>
  <si>
    <t>bd2b7048057c7bd51d2aef653744babb</t>
  </si>
  <si>
    <t>9857dbbac28205a0ca1d1910fea02dfe</t>
  </si>
  <si>
    <t>1347eea76906f3623c89e42ce9d08be7</t>
  </si>
  <si>
    <t>3f1d7d6bb352a24997da7d1c7d1b11ba</t>
  </si>
  <si>
    <t>f3b1f6c1f7ed9f3047a25c784d9b8ae4</t>
  </si>
  <si>
    <t>5ad67c361156edc7d2233285bbfc443d</t>
  </si>
  <si>
    <t>a294242750323d7408ecb3ef299088c1</t>
  </si>
  <si>
    <t>a368dd97bf64122efee73431fd412041</t>
  </si>
  <si>
    <t>7f5fd7d85099636f65d1a164438afc65</t>
  </si>
  <si>
    <t>dff50d5a7cd60c255f501010a6d14f6e</t>
  </si>
  <si>
    <t>093a1710bec04792fc87b05956a097cd</t>
  </si>
  <si>
    <t>5df7d1217408ca7cb6a5d892f1ff846c</t>
  </si>
  <si>
    <t>96238af51f7cc090c020674f7a9f06aa</t>
  </si>
  <si>
    <t>51f20843807f3be3b20e2583a6349cd8</t>
  </si>
  <si>
    <t>300f4309c384b66614e1cc343af95dbc</t>
  </si>
  <si>
    <t>c830ab0c34366205efbde6527a8e5172</t>
  </si>
  <si>
    <t>d5a2309fa937bfd8f2bb6d2db94f34fa</t>
  </si>
  <si>
    <t>12ae6ef89a612ab2a72de468433f3ef7</t>
  </si>
  <si>
    <t>04eef78e5617321a62b3e56df00e9b4b</t>
  </si>
  <si>
    <t>24a62e67f5d22d928def0df57aa4c2e8</t>
  </si>
  <si>
    <t>f60a3df7a7e18864056d18049810926b</t>
  </si>
  <si>
    <t>94f21d7a33387e15826ad599b4e90824</t>
  </si>
  <si>
    <t>d4e1127ef9a32fd7a26a73e65059b7ae</t>
  </si>
  <si>
    <t>d6bd1f1943b1c93b40ec66a6bd935dff</t>
  </si>
  <si>
    <t>7e0b9c7093a2ee58fb80a9d58a29e2e3</t>
  </si>
  <si>
    <t>56d361f9e68c01dccdf1c5c4842928e6</t>
  </si>
  <si>
    <t>e59571fe22e434cb011484775ba006d0</t>
  </si>
  <si>
    <t>cb46108aac0b30cb47ad9884a10fdcc8</t>
  </si>
  <si>
    <t>7cbfc379d426e086748f87abe46a5f62</t>
  </si>
  <si>
    <t>bf8c35492046901288d3286015b4d7aa</t>
  </si>
  <si>
    <t>a442b3b8e53a8e4daddff5de954f1e11</t>
  </si>
  <si>
    <t>b238c32221b08c72ca6e3e2184df5d40</t>
  </si>
  <si>
    <t>1b7d18b472d40f2d5c5147a73b9c4f14</t>
  </si>
  <si>
    <t>2c40fb80b2fea16310f141adcd1c4dc2</t>
  </si>
  <si>
    <t>e4bb0ed157fd3c61018f86021c3d6a92</t>
  </si>
  <si>
    <t>0d1566952a51ca3b9e086036a2a8966c</t>
  </si>
  <si>
    <t>ba1d58a2021e069c12354db33b73d4b9</t>
  </si>
  <si>
    <t>a6e119e90ecc17eddc3d0e79801b5f03</t>
  </si>
  <si>
    <t>3191420fbeea7c47ac0f1e2f7dcad872</t>
  </si>
  <si>
    <t>924a2bde5452ede37d9aa50f4360dec9</t>
  </si>
  <si>
    <t>fe0747d414b945fdab8e3bace4b70c62</t>
  </si>
  <si>
    <t>e3350ca1db203858a0e4f8cc322b48dd</t>
  </si>
  <si>
    <t>8c56a56f903f44388941c2a7ac3cf1e9</t>
  </si>
  <si>
    <t>c3f19e4cb9194b10f2d097b5990ec90c</t>
  </si>
  <si>
    <t>0a6ec9061651c973f8e7790efad16258</t>
  </si>
  <si>
    <t>c19472761cf5a32fca7ac1d9c5b0209c</t>
  </si>
  <si>
    <t>30c7f9bda5120a694cf0e4c6c21c02a8</t>
  </si>
  <si>
    <t>5752cff6256a0d17e4f503431dd76a83</t>
  </si>
  <si>
    <t>54a64ec51378ac6e6a131ba0c87b6bc0</t>
  </si>
  <si>
    <t>ec1a2078079b4cb7ac4bdf23790ffc47</t>
  </si>
  <si>
    <t>9f598954f99aea5c5e933ced1dfe1d6e</t>
  </si>
  <si>
    <t>86353045602faaa5c439a9accc0e7b8d</t>
  </si>
  <si>
    <t>380d998b285fc5daaa9981702699e2ef</t>
  </si>
  <si>
    <t>7efad836e664d055848da870f1690c31</t>
  </si>
  <si>
    <t>4e909c477caaadd316f2bf2947e3a857</t>
  </si>
  <si>
    <t>f7f71fe5ffc0d7e1e7eb0485f01591e1</t>
  </si>
  <si>
    <t>5f9460c53fba2cc2bebbf6ff3332562a</t>
  </si>
  <si>
    <t>7ae5882e5343e8be3d5b4b1ff5a9252d</t>
  </si>
  <si>
    <t>088b2b45cc94c4c99e4a22bb2adabff8</t>
  </si>
  <si>
    <t>cc65a24448246ea58e0bb839c8e8310f</t>
  </si>
  <si>
    <t>60a65ffdfae8fa2f37d57a09fd541f5f</t>
  </si>
  <si>
    <t>4b8eb9709cc8dcda685d55b7d0e6893a</t>
  </si>
  <si>
    <t>31db8b74c5857658c0a5d604ce2e2764</t>
  </si>
  <si>
    <t>83d26fc6fd85edca92f64861a3d194f1</t>
  </si>
  <si>
    <t>f36b4b78ac76a7f9a54c8cfda8dd1d9b</t>
  </si>
  <si>
    <t>6d3f92fa27891b7d9003a7300c08cc3b</t>
  </si>
  <si>
    <t>075b96f8cb504926c9075bd487895393</t>
  </si>
  <si>
    <t>8dac23198d4afc5bf0a190c4d1241d1b</t>
  </si>
  <si>
    <t>ec19b9ff079482730f386879e9071e11</t>
  </si>
  <si>
    <t>67e11a9fb4e8063b2298810722e295ad</t>
  </si>
  <si>
    <t>b53b8c196265f63718928b332c3cf383</t>
  </si>
  <si>
    <t>23a8d924e864f679eb255544dbeb8212</t>
  </si>
  <si>
    <t>35269700d39477155fc36d1c2c5b0776</t>
  </si>
  <si>
    <t>33d0fa57c1bfe230f67d858b59d6bba5</t>
  </si>
  <si>
    <t>5a10184b3ed8613955a035601d91de0f</t>
  </si>
  <si>
    <t>4e5360303b48b3172f83715bab71c7e7</t>
  </si>
  <si>
    <t>ef88dd31f64aa2320ca8c341f2fddda7</t>
  </si>
  <si>
    <t>322c118672804d6f488588961067923a</t>
  </si>
  <si>
    <t>5979a280e436b9f7bf37a717e90ba76b</t>
  </si>
  <si>
    <t>263642689fd631d44eff07b8f68b826a</t>
  </si>
  <si>
    <t>0770f04826b6f23c307158d512cc020a</t>
  </si>
  <si>
    <t>9bac067517fedf7298880fce036e5081</t>
  </si>
  <si>
    <t>17ca5c738ebb27da2545e4f2b501e183</t>
  </si>
  <si>
    <t>70cf35029000dceae3dd6132d723c284</t>
  </si>
  <si>
    <t>e6401c63a544a12bd5f1ff4afec6a9fc</t>
  </si>
  <si>
    <t>8a86a7b7bba48fb886ad8299dfc4abe3</t>
  </si>
  <si>
    <t>ed0b48e008f8b8a66f88d460f2e47ad5</t>
  </si>
  <si>
    <t>5a8f8d88c23d34fa1d984946fc14dadf</t>
  </si>
  <si>
    <t>0dbf3ed9e07c402ac045ac67d1dadfea</t>
  </si>
  <si>
    <t>341c40e86b7fa35062ddd8dc05ac00ab</t>
  </si>
  <si>
    <t>4a42089637e8c6258ed27f6238ceafeb</t>
  </si>
  <si>
    <t>2f32805b0cf06b3fd2f46329d0658431</t>
  </si>
  <si>
    <t>60545517b7afa23c8bcbf8a9a97c20a7</t>
  </si>
  <si>
    <t>16e6d00bbf47d0a3b3371f31f21bc16e</t>
  </si>
  <si>
    <t>cf295ac44062665aed1971d8f70f8733</t>
  </si>
  <si>
    <t>2287043f32f2a0b3c9aca11d6cc80de2</t>
  </si>
  <si>
    <t>b24705c99aa0819cde152d3dcf7b530c</t>
  </si>
  <si>
    <t>14878fe72915f90062419326241bdac0</t>
  </si>
  <si>
    <t>ccce687fcd81a6879bd422b2e36eedea</t>
  </si>
  <si>
    <t>0bd3b3eb4b2640e6e2b5d78b1ac4a9a3</t>
  </si>
  <si>
    <t>4f8e3999a4dda265678aeda2386e80dc</t>
  </si>
  <si>
    <t>06f37589b70ad840c2e9693bd332edbd</t>
  </si>
  <si>
    <t>78c09c4521be26d992fb748ada1f466a</t>
  </si>
  <si>
    <t>ce73b1e94e235742b0e54bb4d5f5eb68</t>
  </si>
  <si>
    <t>780cdb22cc4ea514dc717997b346c31b</t>
  </si>
  <si>
    <t>9050a48629093138544db6fa9f9f013d</t>
  </si>
  <si>
    <t>0796a291454af8f1dee3b2dc4c4e407c</t>
  </si>
  <si>
    <t>ed596379aa364ce816256aa118de7738</t>
  </si>
  <si>
    <t>9a2c5f87a4478195a1e338a3a18d4eed</t>
  </si>
  <si>
    <t>90f8dff8e28c5ffdc181d64318b80f2a</t>
  </si>
  <si>
    <t>75e3124a1f687c9fee5d14332ac2c27a</t>
  </si>
  <si>
    <t>ddbd1272d2c0826141aad6d8ec1d1d57</t>
  </si>
  <si>
    <t>bd1ae656f27b1d1372603ec1a7613568</t>
  </si>
  <si>
    <t>1340c629a5b068fa57f688b609fe4a1a</t>
  </si>
  <si>
    <t>7c08407ce8e1b8abfdd598f67f7f82a0</t>
  </si>
  <si>
    <t>52ea629fdf30deb0c8a997e4528dc6fc</t>
  </si>
  <si>
    <t>92731792dbc2a04c996efed4fa568ee7</t>
  </si>
  <si>
    <t>e06b6ac17956f1397514d9c3cdafec32</t>
  </si>
  <si>
    <t>52b0cd2e64eb522d4646b7cfe3b6c1f6</t>
  </si>
  <si>
    <t>a6ed1ccc888387b2acac27eed79fa637</t>
  </si>
  <si>
    <t>6a918375659e300b2a83fe13ca2f8147</t>
  </si>
  <si>
    <t>d5c05ab7913ea660da2642c0aabcfe3d</t>
  </si>
  <si>
    <t>4767e735c9647f27137150b4282acc24</t>
  </si>
  <si>
    <t>ab486b26884993abe6352ee7658d9635</t>
  </si>
  <si>
    <t>094c305e6daf88c6a0369039051321f5</t>
  </si>
  <si>
    <t>b784510013844343b8a745e1ce9d6072</t>
  </si>
  <si>
    <t>1ca2fcd1daac09c3c48cec5eaaa50d3c</t>
  </si>
  <si>
    <t>eecbc8abd605462945fdf21e089f0859</t>
  </si>
  <si>
    <t>24cd3a56974b1562b4002dfa9b7332ea</t>
  </si>
  <si>
    <t>869f1c1daa30900c19ba9496277b7e01</t>
  </si>
  <si>
    <t>e89689d08cb294aed9ddfc2f1861b406</t>
  </si>
  <si>
    <t>2f44eb6b88e41abfc03fc86101c88b20</t>
  </si>
  <si>
    <t>f0bdcde61881e0ecdce2f70e4a9f9c0d</t>
  </si>
  <si>
    <t>ee11b845451a9bc8fef4b9e729a99bb5</t>
  </si>
  <si>
    <t>78f62844dd80c8ea8d51eded83e0881d</t>
  </si>
  <si>
    <t>7eb2cbb6894102ad99522e3d67de6557</t>
  </si>
  <si>
    <t>5fb7ea219b14e03bddd881ea0f4f0314</t>
  </si>
  <si>
    <t>4df3a39487eaf71aac6dd14927252212</t>
  </si>
  <si>
    <t>62e6301b812d155c235b0b035c7b4edc</t>
  </si>
  <si>
    <t>7c874d8c80f36934c8147c3828d9f782</t>
  </si>
  <si>
    <t>e4ce237a890a0a9a86eb59adcf35a6b5</t>
  </si>
  <si>
    <t>f6d8204b1a00069d4de46cd2439206e8</t>
  </si>
  <si>
    <t>5ec3a2d47c01286554c17d5b747e32ca</t>
  </si>
  <si>
    <t>84359759eb6373d3ea395ca272636918</t>
  </si>
  <si>
    <t>002f3812fc13f029f40acb8155d39738</t>
  </si>
  <si>
    <t>b85f94f1411e1aae4050d5b526aa28fc</t>
  </si>
  <si>
    <t>a1169cbed67c60d85060f69242ad3c59</t>
  </si>
  <si>
    <t>6a4f3c3df199a1caa17165d4c4e89614</t>
  </si>
  <si>
    <t>a10bfefd1af2573bbac4a538b3eae315</t>
  </si>
  <si>
    <t>4dd06948e069f841d6a703c218a37db4</t>
  </si>
  <si>
    <t>f245db057013a2c9507069b8b6059bba</t>
  </si>
  <si>
    <t>d1b74f4b06d33cbadc17497a9909ed15</t>
  </si>
  <si>
    <t>c13ed934b6361173a35332075e3ffd18</t>
  </si>
  <si>
    <t>206a447d202b379651c6033875486a4d</t>
  </si>
  <si>
    <t>825c377fab85070e7d6aca5b2a84b737</t>
  </si>
  <si>
    <t>e9f26eca7bb38a87b8779829eb6ddcd3</t>
  </si>
  <si>
    <t>570b6ed36dcc52b939718023aab87051</t>
  </si>
  <si>
    <t>9755f9f0240806da3fbe8dc797434cda</t>
  </si>
  <si>
    <t>09f2825e0e2635ee105975ba609b536f</t>
  </si>
  <si>
    <t>b1568b2f9eb81834bd6b76fa978222e5</t>
  </si>
  <si>
    <t>458ce161b7a6fd737642b9da32230cba</t>
  </si>
  <si>
    <t>50ee956de0429624b723bf973c29226e</t>
  </si>
  <si>
    <t>49bf3b1f06d8a3a1307fbc8024a1334b</t>
  </si>
  <si>
    <t>0128cf4a8cec9087597a04504dbab812</t>
  </si>
  <si>
    <t>ef82215f4354b1282870bfa101347bd6</t>
  </si>
  <si>
    <t>31ef10dd667e369fcddf46f16e9f45c0</t>
  </si>
  <si>
    <t>2b106f577fe62fa4da0175faf13f5be7</t>
  </si>
  <si>
    <t>91a35c9e9b47e35b12f136001e8e4632</t>
  </si>
  <si>
    <t>8eb9870df4e62191cfe514780add5ed9</t>
  </si>
  <si>
    <t>a3ed321fcebf0c1aaafb62b813500c6b</t>
  </si>
  <si>
    <t>b9f503d1682cc62b5ad012e7ce321d40</t>
  </si>
  <si>
    <t>8efbe1f6fdbaf7684f1950e53d2c3a27</t>
  </si>
  <si>
    <t>d00a479b22b322db9d62ff2a62786fda</t>
  </si>
  <si>
    <t>ab799ab691d0d07b0ba061b793122890</t>
  </si>
  <si>
    <t>a62c0b369c4ad131e091b4f15321cff7</t>
  </si>
  <si>
    <t>9a69c0c022a2c5f9220d52c836ad67a5</t>
  </si>
  <si>
    <t>889c245033139554b402c96db4be55a7</t>
  </si>
  <si>
    <t>0def00ab8106ac68ba6e3ac749446329</t>
  </si>
  <si>
    <t>2f7c9e49eee65bd9b441c13482c55d0d</t>
  </si>
  <si>
    <t>1ae2b3e38a7d5b016f73c9137396f449</t>
  </si>
  <si>
    <t>e7be6ba490563474e36fdf74bffba21a</t>
  </si>
  <si>
    <t>90b5ea2177593d365bfc6f649717bb27</t>
  </si>
  <si>
    <t>d1a55f9850c3599a569dcaa20669d9d6</t>
  </si>
  <si>
    <t>0c39c9ca482ba9d5ec5b1aeee667008c</t>
  </si>
  <si>
    <t>363a6796934a4f40999a9b7089edacef</t>
  </si>
  <si>
    <t>85faf36f61b4f0a61541f5de3ec3d550</t>
  </si>
  <si>
    <t>a1f8b2221b407ca8afa0517e1cfce921</t>
  </si>
  <si>
    <t>65387b9fac0bfb16041171b91602ecb3</t>
  </si>
  <si>
    <t>c299915040ea83fa6b356babf7ec280f</t>
  </si>
  <si>
    <t>a3ff8634c48a605e225033bf91535ead</t>
  </si>
  <si>
    <t>a764e769ba4187c10b4260c370863d0e</t>
  </si>
  <si>
    <t>b888efc2677265ee37283dba9fd55550</t>
  </si>
  <si>
    <t>57adb67e47e5681d56d43ffe982119f0</t>
  </si>
  <si>
    <t>15c621bc56527469d1891360528d751a</t>
  </si>
  <si>
    <t>e3c64fa281b604143836523b04660435</t>
  </si>
  <si>
    <t>2ff250ff87ff200a386b49d1c0fd663a</t>
  </si>
  <si>
    <t>030e32ee091da6082fa132f07fe0b13f</t>
  </si>
  <si>
    <t>ac9803e918eaad0592483bb7efab05d9</t>
  </si>
  <si>
    <t>e7238aeb93c6b69329bafcccefc9d7a2</t>
  </si>
  <si>
    <t>391f2209ba7ee4c9ee44d1fa7cc1c1df</t>
  </si>
  <si>
    <t>52e6a2310f0edd4dd20aa8147ae2ba98</t>
  </si>
  <si>
    <t>11b4fae05c8f068025e42ae2f4caf55f</t>
  </si>
  <si>
    <t>80a246c0b8d56923bdb175b181949338</t>
  </si>
  <si>
    <t>e698adfe4c0599a0f872fb479aa635c5</t>
  </si>
  <si>
    <t>6226e13cac81af76bfe3b6da930ab56e</t>
  </si>
  <si>
    <t>2ef4830dcbf7c29dd2279dad919692f8</t>
  </si>
  <si>
    <t>cade4fe423fca6ebc28cba65724b6fbb</t>
  </si>
  <si>
    <t>97a62d8d2fa754e4f11242c6bab55bca</t>
  </si>
  <si>
    <t>8d3cead1dae9482e2d07adc8c6e324aa</t>
  </si>
  <si>
    <t>4442947c3d63de82f583733159688c04</t>
  </si>
  <si>
    <t>4091c4f20b7dff24c39ef421d2dbe670</t>
  </si>
  <si>
    <t>cebe8d08c4f16f963b7d35ed0de71f5f</t>
  </si>
  <si>
    <t>07db6181c361af50265deefe22ec5450</t>
  </si>
  <si>
    <t>d75daf76928a89048f1a4caf0470b121</t>
  </si>
  <si>
    <t>a9dac584bd1e935af3dbf185a9d780d4</t>
  </si>
  <si>
    <t>35488f5e93d005b04c4c7d0eee091e3f</t>
  </si>
  <si>
    <t>f85df68f826bb7142ac1f4eb72c03e43</t>
  </si>
  <si>
    <t>8b6eb1514557b9060aa92d4c015cff11</t>
  </si>
  <si>
    <t>86dcb766030efc3fbb2d632d9bc83c0f</t>
  </si>
  <si>
    <t>1d046c466015d096ec4719ce5f9669bf</t>
  </si>
  <si>
    <t>7d785ebf7c830d1ce9b5f9c1e3cb7dc4</t>
  </si>
  <si>
    <t>e7ad3132f303789dbada9cf685ca9579</t>
  </si>
  <si>
    <t>0c2855364a2a025006e2de97831f466e</t>
  </si>
  <si>
    <t>f537c9ca3621f6010a09ab15c656f17f</t>
  </si>
  <si>
    <t>e23511a774f0369e42e064711eea454f</t>
  </si>
  <si>
    <t>8d8c097aba62b36690c50e568aedd79d</t>
  </si>
  <si>
    <t>3c13c06fa6cb1c310da834aee0e24421</t>
  </si>
  <si>
    <t>a6bc67419e984d1542e66a2cc10964f4</t>
  </si>
  <si>
    <t>4a98efc8e8091370069438dd272d1a78</t>
  </si>
  <si>
    <t>ab962f45a63d77f7f796c4de056d87ff</t>
  </si>
  <si>
    <t>fae9bfc67aa4ec9ee5af0f56d01385af</t>
  </si>
  <si>
    <t>7a5db4faf6d2e88af50d6fe7dcf0401f</t>
  </si>
  <si>
    <t>fc345f3ed636f745daee6f42c256568a</t>
  </si>
  <si>
    <t>bb19387c6f446582a9a6f57d21122dd3</t>
  </si>
  <si>
    <t>0b27f889712844f29f975b23764f0255</t>
  </si>
  <si>
    <t>f12bf37e9141dee5cbf5cab58ec2ae51</t>
  </si>
  <si>
    <t>d0c2a2d440f0e4e365e67ce16bebd82c</t>
  </si>
  <si>
    <t>51fc651d53656fd698c77d5e6de9a4c6</t>
  </si>
  <si>
    <t>1c7c36eb61800468a51824a07743fa09</t>
  </si>
  <si>
    <t>e815ec5a5056b80ece36c0cae6ca2d1a</t>
  </si>
  <si>
    <t>1bb050a02b05afc09ca3a0f1b96b5d9e</t>
  </si>
  <si>
    <t>97280b3f70cab5c936f3c1aceb7b3c32</t>
  </si>
  <si>
    <t>7c585a5c2a98c9043a8095905afe61a3</t>
  </si>
  <si>
    <t>4b317d660eda4f994c3d076e185e4de4</t>
  </si>
  <si>
    <t>5616e19e80eea27b1099fae0ad8d6c97</t>
  </si>
  <si>
    <t>6e34b09efde2dbcf65ffb5fa8f566cbf</t>
  </si>
  <si>
    <t>79c56e67223357e7ee7d18e60bbac136</t>
  </si>
  <si>
    <t>fc619be2669e63b9c7723bf4d4c1413c</t>
  </si>
  <si>
    <t>c952eca97138d3f34ff84a092fc3bbb7</t>
  </si>
  <si>
    <t>36a5019c0056fa3688d33c894e8677a0</t>
  </si>
  <si>
    <t>c32ab44c129a816c9abf0aa910a500dc</t>
  </si>
  <si>
    <t>dc1de2a9c20efeb25042c0b13e7e83b6</t>
  </si>
  <si>
    <t>843e77ab07e11069a890d6abaad3758f</t>
  </si>
  <si>
    <t>640edccee2c01bfe0c915813992292db</t>
  </si>
  <si>
    <t>ae20a060c28de5f57d6922a9b1e2422c</t>
  </si>
  <si>
    <t>796341dfb715a1adcd60f21c7890e55d</t>
  </si>
  <si>
    <t>77ff6a985f19130b1b4744aebc219fcd</t>
  </si>
  <si>
    <t>b46f77880178e0cb808cb436de197c69</t>
  </si>
  <si>
    <t>1d6034153d9d4f4164c6a1c53dcccbab</t>
  </si>
  <si>
    <t>5fb82c36b1f4085b370df9da72e5bb2c</t>
  </si>
  <si>
    <t>57c38f0e616b1954efbddd30a6ec5188</t>
  </si>
  <si>
    <t>a71bed22ae77019dbd81546fd072358f</t>
  </si>
  <si>
    <t>b43e8bc42971aca06627d0085f57db56</t>
  </si>
  <si>
    <t>0a14ee41a0be758660e87752fb1b9bf8</t>
  </si>
  <si>
    <t>efbbf82664a8dab97b00c7b0c6cebd2e</t>
  </si>
  <si>
    <t>2c4811c64a003fbf5293f9633dc58c5d</t>
  </si>
  <si>
    <t>00f6c1a2117b24e83f0762e30fe68f77</t>
  </si>
  <si>
    <t>303731a4cbe02c67e008cda10846711c</t>
  </si>
  <si>
    <t>67858063570dd0d38f0f07846218f514</t>
  </si>
  <si>
    <t>5798d631d1cfa13e140c631734bea354</t>
  </si>
  <si>
    <t>ffe378bd67647fb0d04165f21d3f70aa</t>
  </si>
  <si>
    <t>7ba0e00a6251421e8f7789bb79d4cf76</t>
  </si>
  <si>
    <t>f1a465d69c73699adec44c7cdcffa630</t>
  </si>
  <si>
    <t>1f4f3a6afe9a85541db04f6726090349</t>
  </si>
  <si>
    <t>11831af81438c1e00c1bbb8b5e68ebd6</t>
  </si>
  <si>
    <t>59decbcf2973d2f90d9250aee2693ba4</t>
  </si>
  <si>
    <t>9d63225e1440bbe57393dcf63f241441</t>
  </si>
  <si>
    <t>d61262a8c32771b6407f968363ab4162</t>
  </si>
  <si>
    <t>4c0bedd34e5b6edb5189f722ce4e88b5</t>
  </si>
  <si>
    <t>362faadb147aa0245e24e3059b86c551</t>
  </si>
  <si>
    <t>1ba6fcaddebd5bbf026c4acee94acb5e</t>
  </si>
  <si>
    <t>82246ec3b6e4508747a34d2bcb099a5c</t>
  </si>
  <si>
    <t>892cd048e510897a7a278ebaae093250</t>
  </si>
  <si>
    <t>c105622cfdcc562ec96a515c0c5046b1</t>
  </si>
  <si>
    <t>7c67bec41a4a805a27e75c5dec3dac1e</t>
  </si>
  <si>
    <t>00c7e211618dfc300ca6f5a4fc2a8b08</t>
  </si>
  <si>
    <t>7d4dcbbede848f246175901e4ae4d4aa</t>
  </si>
  <si>
    <t>f181a51dc3acbe6da007f58178bdfbf0</t>
  </si>
  <si>
    <t>2e875a9d626fd897f72b35c131cecbee</t>
  </si>
  <si>
    <t>7483dfae4bbc40c5b9c55852a8c7ade2</t>
  </si>
  <si>
    <t>683f2516c954d51792314b5403aa730a</t>
  </si>
  <si>
    <t>91e197528f1622b4d0e7f370886efa8c</t>
  </si>
  <si>
    <t>10728543aa65641e111c68eba2d9744e</t>
  </si>
  <si>
    <t>34e093c4c59432e6ea5173fe78b43a91</t>
  </si>
  <si>
    <t>f919f7c7feeddf3dc615951d615506e8</t>
  </si>
  <si>
    <t>5573b3d22cd3aa007355554f0db3d9c0</t>
  </si>
  <si>
    <t>0b9ab4f501be679960f1a3ff86da4bb6</t>
  </si>
  <si>
    <t>8738ca91f897038fc3effcda4e8f44cd</t>
  </si>
  <si>
    <t>b297103f59a6f1ce7164f8ec9c47f641</t>
  </si>
  <si>
    <t>477034b26bed4488f7ddfe921dde7ab9</t>
  </si>
  <si>
    <t>a14a66c8a43ca072c3311248023f0392</t>
  </si>
  <si>
    <t>8df96b0ccc8db28c160b8a8eb95bd001</t>
  </si>
  <si>
    <t>b0c8b03c4a777035c6d7f4fc09521ae5</t>
  </si>
  <si>
    <t>0d8d3724003ce975c179d3c4f5c0e6f6</t>
  </si>
  <si>
    <t>83f4f47e90893dded1bd6ef376d9ae8f</t>
  </si>
  <si>
    <t>ec919ca185773cc57a69a84d75c88272</t>
  </si>
  <si>
    <t>b6a06339ff0058ab900ccf085a20fd1a</t>
  </si>
  <si>
    <t>2eeb39203f3b9bd41eb142933b89e2ad</t>
  </si>
  <si>
    <t>162f300b32c6ca950d16e2f42843773b</t>
  </si>
  <si>
    <t>26358da269862dd138ed12f4bd28dd88</t>
  </si>
  <si>
    <t>a7fdc45282e8f4acddac987efe10f73c</t>
  </si>
  <si>
    <t>364c48786573ed939bbcd972c77c8193</t>
  </si>
  <si>
    <t>b971c97667c1ff1058f12993b9cc80c7</t>
  </si>
  <si>
    <t>010a455215d5e3a5b16bbe8d420ad460</t>
  </si>
  <si>
    <t>0c08496f4abc2dc71b0ddeed70ca8aee</t>
  </si>
  <si>
    <t>5c333d4546d5ccf4f9778fa1e4c6cba3</t>
  </si>
  <si>
    <t>2179b4e63f3e76d24e9ac91e1caeeed5</t>
  </si>
  <si>
    <t>56666243cb777975b8c637a1549d5070</t>
  </si>
  <si>
    <t>b88f6fc75e6e0a6acb320b12576fa6a4</t>
  </si>
  <si>
    <t>36933b8111bc632a121d5be00ee5e2a2</t>
  </si>
  <si>
    <t>800cac4308accffe50e23fa695f4fa75</t>
  </si>
  <si>
    <t>dd16df3861d6845eb51502a9d40c1e1c</t>
  </si>
  <si>
    <t>898c10be12b1675ea77e6c184691d678</t>
  </si>
  <si>
    <t>962fbb7059060b8553bccd62a8d97bea</t>
  </si>
  <si>
    <t>2ce076b0b9d2dec925f80382cd0f9bcc</t>
  </si>
  <si>
    <t>bf42328e9db4b509df81eedfd81ab600</t>
  </si>
  <si>
    <t>517f27e51f9e28ad1bdbc47be0699b20</t>
  </si>
  <si>
    <t>f79d73308cd45bba571c82f7d3da1566</t>
  </si>
  <si>
    <t>3cdce6938078ec0a879f2fdcc7ec8459</t>
  </si>
  <si>
    <t>de81ac883e6b5e08d41a27f48f1dd4af</t>
  </si>
  <si>
    <t>280d44a9967d9cecd12169efd63ea367</t>
  </si>
  <si>
    <t>dcf25e01dca87d4a22244318ebdc1260</t>
  </si>
  <si>
    <t>44c3a6b79da6b4e35a6af1cc7a67dce3</t>
  </si>
  <si>
    <t>4961d884371fd514549be918682fccd1</t>
  </si>
  <si>
    <t>ccab4d99a33badc1869ca57e33978ca6</t>
  </si>
  <si>
    <t>ea69d2dea9243b06f2d497aac0087fae</t>
  </si>
  <si>
    <t>9ae6159b379d91df732875afd56f8ff8</t>
  </si>
  <si>
    <t>89f8f050cf9daddc4b0d08745e8a13bc</t>
  </si>
  <si>
    <t>0cb7e7ddd3b523c78b3484b19283cf71</t>
  </si>
  <si>
    <t>9eb78be6d088461deb5883e875e748d3</t>
  </si>
  <si>
    <t>4965f54b6c5efa40414a9c85cdfdbc17</t>
  </si>
  <si>
    <t>593abca4c559c3728e65c7f837045d2f</t>
  </si>
  <si>
    <t>f1ccb8851bc25ffc958751d42cec9f80</t>
  </si>
  <si>
    <t>01105455524c764d7bbe1408a6c93294</t>
  </si>
  <si>
    <t>7538473f158c0d1a39bc586c3e916e38</t>
  </si>
  <si>
    <t>5a6e5b7199125ae6fd6e62eabcbc48e0</t>
  </si>
  <si>
    <t>89c72386f704d5d89510d27e99997e45</t>
  </si>
  <si>
    <t>b5d0d1836c1f63a220ecdfea8bd922ca</t>
  </si>
  <si>
    <t>a5202817767c6052dc8c1a13ba5eaf02</t>
  </si>
  <si>
    <t>00ee29496394a407c397bbc7eabf8367</t>
  </si>
  <si>
    <t>a501d38bbd3d833b4cfb6f6bd4fba6ca</t>
  </si>
  <si>
    <t>0aa68bba7bfc2adab1ba9ce8d4306676</t>
  </si>
  <si>
    <t>0aa57cfd3058fde7ad4a64d158b1400b</t>
  </si>
  <si>
    <t>bfa05631b6faf9036c79a78d0d2143d6</t>
  </si>
  <si>
    <t>45ee93c33370aa6e02f6a3d32a35cc53</t>
  </si>
  <si>
    <t>9697cc09b17beb18f2977e32adfaf070</t>
  </si>
  <si>
    <t>45c5bf08d2c40c376d7f1fbd79ab4b2d</t>
  </si>
  <si>
    <t>1c2d83ae1836e8ddbf4770f2133776fb</t>
  </si>
  <si>
    <t>119daf01d258b6280c0a0914c03f1a8f</t>
  </si>
  <si>
    <t>1bd60b4bb21d5ecebee4fbcb60b1dab2</t>
  </si>
  <si>
    <t>b6c76138fb70deb3ec196341e2a15fea</t>
  </si>
  <si>
    <t>22d67d25a62d166ee469b11d30b13dcb</t>
  </si>
  <si>
    <t>6879af8ee13e6a2f6d30097e9e212908</t>
  </si>
  <si>
    <t>a3497c67ac89760dd436977b82a95d5b</t>
  </si>
  <si>
    <t>bf622ef2b61d8168f9ef48296d090b8c</t>
  </si>
  <si>
    <t>c989f543fa6e34b4af03f6632807cb04</t>
  </si>
  <si>
    <t>35d3e42feffa5a4a4bbc65d854262d4b</t>
  </si>
  <si>
    <t>ecb23981cddeef030712b3a6ce270338</t>
  </si>
  <si>
    <t>0d8e85e0cda5f71de56edd6317c4d812</t>
  </si>
  <si>
    <t>61ebf323d69d1fa43882fb37ddc3f22a</t>
  </si>
  <si>
    <t>7fe4cc1fac37124d75a17d667ffe0a89</t>
  </si>
  <si>
    <t>4188cc4e916b1212fb135e6bd6d9d90b</t>
  </si>
  <si>
    <t>a9f68166e314d1b7fb8791ac94cea3ee</t>
  </si>
  <si>
    <t>6596effcff2ade1c1d4be8d8124e8891</t>
  </si>
  <si>
    <t>ad6956bdc4d696757c0e45ecdb3b62c4</t>
  </si>
  <si>
    <t>5d960c25f6c008a743189733970c356c</t>
  </si>
  <si>
    <t>a9239ecf8b5598af1c1bcd176bfcb682</t>
  </si>
  <si>
    <t>f5899329654b1d7a16a605df92ed5879</t>
  </si>
  <si>
    <t>e719d269e0ff7fbd004a9770c66de75b</t>
  </si>
  <si>
    <t>3c2b306d15ea2643e840236a274a9f7c</t>
  </si>
  <si>
    <t>a90636fcfb419856a79ff643b52da9de</t>
  </si>
  <si>
    <t>1fa829369c6fbdefaa92bd8fa197b560</t>
  </si>
  <si>
    <t>cd93af37f423a3ae977c255bc0a6e601</t>
  </si>
  <si>
    <t>65c31348f92037caa280a810ce0e24e2</t>
  </si>
  <si>
    <t>d8034072edf6c91e3fab7199eb75602d</t>
  </si>
  <si>
    <t>10df1c7ef7cffc4d0c7c1af819fe969d</t>
  </si>
  <si>
    <t>59e5e5dcbe859a80864dc83bbf995aec</t>
  </si>
  <si>
    <t>43b0c8a608bff4b164283ef943923239</t>
  </si>
  <si>
    <t>0e197ccb0b520c8bf6adcca0a95b8eb6</t>
  </si>
  <si>
    <t>cde107358ca56e3bb11f8825360eeb42</t>
  </si>
  <si>
    <t>c0963e0585ce4c53b9984bf6608ba307</t>
  </si>
  <si>
    <t>4630f2399c31647e0d890519d7a987ed</t>
  </si>
  <si>
    <t>3fe8959e479d95e32d988858446c8399</t>
  </si>
  <si>
    <t>dbdf2d4ad4b4bd6b97c6f3334c926f9a</t>
  </si>
  <si>
    <t>2ef02e029e90d96fff817fcd7bd116be</t>
  </si>
  <si>
    <t>34792a8a55d5e2b09d2c5b4510a71c6c</t>
  </si>
  <si>
    <t>57866c63d598d7d8368ace7eb7bf4559</t>
  </si>
  <si>
    <t>2d9d4310d2c6b61874e9ceefb8d88bc1</t>
  </si>
  <si>
    <t>f849bc0a70bb8fff18d3fd6697df47d6</t>
  </si>
  <si>
    <t>a42b0b72ed373ce56736a84ae6f8353e</t>
  </si>
  <si>
    <t>e26f87ccacde3b4be5ced8187ea8e0f9</t>
  </si>
  <si>
    <t>144af89cf945951d3ef6ed1cb83b9005</t>
  </si>
  <si>
    <t>484a38eec03218322c1753d16dc1bd7c</t>
  </si>
  <si>
    <t>8f9cfe72d945075a9fa0655d3ab84533</t>
  </si>
  <si>
    <t>510fbc2d78af15ef772ec525537435f5</t>
  </si>
  <si>
    <t>25c4f804c0885f3612a97e8f0cd3012b</t>
  </si>
  <si>
    <t>afeeae02dad9e69c39be6dc54e5774d5</t>
  </si>
  <si>
    <t>cbdbcb7c49e617c7c3b9a75a05133e73</t>
  </si>
  <si>
    <t>26adad1c13844680172c99cdc21512ea</t>
  </si>
  <si>
    <t>6d2263363038255ce144cbd4b6fee0ad</t>
  </si>
  <si>
    <t>809d4273809ed3c2959473bf3c855304</t>
  </si>
  <si>
    <t>82bc243b350f09126248391ea06079ba</t>
  </si>
  <si>
    <t>a89b3d2373737bf7c7ea70b607605f48</t>
  </si>
  <si>
    <t>31b2ca8d79f29d93ee30a16679ce1370</t>
  </si>
  <si>
    <t>28212421f33382a1cab257a3a10409c1</t>
  </si>
  <si>
    <t>8ef85092930106cc3635dd6ad58dff47</t>
  </si>
  <si>
    <t>16f37a14d289690e1dbdd5623ae9b4de</t>
  </si>
  <si>
    <t>19343b7b4e03430acae79e99226c03ce</t>
  </si>
  <si>
    <t>d3af425c5d1eb231a4a5077717a44fc9</t>
  </si>
  <si>
    <t>31d89d5ae4314a191f3328374bf43d4b</t>
  </si>
  <si>
    <t>45395ded85538425c0f849872f42d320</t>
  </si>
  <si>
    <t>fe1f6872901bc1e38e1168306ffdb439</t>
  </si>
  <si>
    <t>5aa79ff2f293ffb5f3998abc586c6e28</t>
  </si>
  <si>
    <t>032a02eb9f892ae2d32c5e588105c041</t>
  </si>
  <si>
    <t>3c3f0777d781c999a59f7ee024dd39fd</t>
  </si>
  <si>
    <t>961c8e98e39451c9e72c812b66f4040e</t>
  </si>
  <si>
    <t>f466682ee76be5256b545dc168ca8b46</t>
  </si>
  <si>
    <t>8b41107a9bb05f4b311896c662b2b4e5</t>
  </si>
  <si>
    <t>41d8edac32ed3fc4d9eb11499b3fac99</t>
  </si>
  <si>
    <t>4b12d725be2e5bf723750983043a11c1</t>
  </si>
  <si>
    <t>6de71815dcd2d3facddb7c324c54edf4</t>
  </si>
  <si>
    <t>6b357fbe4a01cc1a9cc45090c9b8e1f0</t>
  </si>
  <si>
    <t>edb6b6236aad2ea8f6f2ace73236dc3f</t>
  </si>
  <si>
    <t>54c9c096d53a9d2382bc17b481131fe7</t>
  </si>
  <si>
    <t>bef6002b985b3fef242cbe3eb6cab64b</t>
  </si>
  <si>
    <t>c94fcc42c27b19a8b92b9ad2fc7df2d1</t>
  </si>
  <si>
    <t>8135bd9e82186cfda95a71cb8bb830eb</t>
  </si>
  <si>
    <t>f8c64f62afd6751384b506c96492282b</t>
  </si>
  <si>
    <t>0aa507965be9fc8c1de1254482ab7f00</t>
  </si>
  <si>
    <t>6aca80f3738c72166a08db2c9b06ff84</t>
  </si>
  <si>
    <t>177e3aac63cbf3a442d090ec0ac570c8</t>
  </si>
  <si>
    <t>e1b0531d275748bf9fbacc06ff964849</t>
  </si>
  <si>
    <t>3c96911bd315470541d906a2024cfdd2</t>
  </si>
  <si>
    <t>e34409d6a2e9a2155ea611a29a6fc458</t>
  </si>
  <si>
    <t>07b811bb68c04a40a008d7125c161c4e</t>
  </si>
  <si>
    <t>4e38cee99a29a2ff8dcc48e161fd9b77</t>
  </si>
  <si>
    <t>3db919b700fbad6cbd032c6b795097fc</t>
  </si>
  <si>
    <t>347fbfb442c8f1942ab1783743955e86</t>
  </si>
  <si>
    <t>058cf12a886897f09fb22e360e50ee9f</t>
  </si>
  <si>
    <t>50924ea5cd6a15ebc835e8b15bb0de99</t>
  </si>
  <si>
    <t>adbec9e2619a16be0ab03881a67b11bb</t>
  </si>
  <si>
    <t>3c371975e7e622176c0f430134ce5bd6</t>
  </si>
  <si>
    <t>6e58d405bb5af27f6f1f25c2cff06ba2</t>
  </si>
  <si>
    <t>500614b7bc53e1069a757b78af104e35</t>
  </si>
  <si>
    <t>084584caa1d821f8d4db97f4b1d1ed1f</t>
  </si>
  <si>
    <t>d45662611cbf91cb73e0ab84fcf0e044</t>
  </si>
  <si>
    <t>c0af891626ec3e0a0789e25341d928a8</t>
  </si>
  <si>
    <t>096db238ed2627d5c7c63a7499800029</t>
  </si>
  <si>
    <t>ab8bcc9739a55812cfe9d441ae3ca6a3</t>
  </si>
  <si>
    <t>a4eda0f6ac56eeae6b01e40fa9b7972e</t>
  </si>
  <si>
    <t>a4a1343d1dc1bd888f681e7ea9132cb8</t>
  </si>
  <si>
    <t>d27261cd027b83eb1c73d8990bbb3972</t>
  </si>
  <si>
    <t>9a03ac53a44b4c28ad482a988c7ec348</t>
  </si>
  <si>
    <t>1691df55a69ed4b00081597a7f3dc392</t>
  </si>
  <si>
    <t>1de4dbb783be5834731e14d2737afb44</t>
  </si>
  <si>
    <t>7841000216909c9486b92b29344ba186</t>
  </si>
  <si>
    <t>134f09b552109b375fe378bd59070ff6</t>
  </si>
  <si>
    <t>d44e57daeebce19bda9508fc4f6f4985</t>
  </si>
  <si>
    <t>a36829301f782052858972c28bc7b424</t>
  </si>
  <si>
    <t>59dcde37de165368480ad4fab01a934c</t>
  </si>
  <si>
    <t>8191790d8718cec1aa392228b6beb4b7</t>
  </si>
  <si>
    <t>fa105a11f4a30782ef2fe6752e37ccc4</t>
  </si>
  <si>
    <t>1006efcba730adc2063b94229953161e</t>
  </si>
  <si>
    <t>a8bc8abc1e12e83bf1a970fd9d18d59e</t>
  </si>
  <si>
    <t>47057cb5e66432c111f4b2ce0bbfab1f</t>
  </si>
  <si>
    <t>56a8f3d412c7958b6feab13aa166f54a</t>
  </si>
  <si>
    <t>a2b0b3e7f8f2942166b1b413ef6ceed4</t>
  </si>
  <si>
    <t>a90ee350e9c6dc14ef04a558b6f1ed39</t>
  </si>
  <si>
    <t>9cc1714d76dd0140d50b3cc6145244c2</t>
  </si>
  <si>
    <t>aa0d02b360ee931b05cc913a5c6ce695</t>
  </si>
  <si>
    <t>1988be6f27cde1d585f44bcbd0dd3bef</t>
  </si>
  <si>
    <t>07b1548ec63c3fe32d20f9fd99d91afe</t>
  </si>
  <si>
    <t>f61b713c674074c48d5cb0b66f8d1ba6</t>
  </si>
  <si>
    <t>8f9533ec81b3270593df32ffa5e17073</t>
  </si>
  <si>
    <t>c441786b3ac2cd4631d2044e338a530f</t>
  </si>
  <si>
    <t>7a8ba0455c9456a2133b11e043fe18bf</t>
  </si>
  <si>
    <t>9458c3efdc2230b503928d55a99f89c2</t>
  </si>
  <si>
    <t>dc39d52d82b5e9fc2ec735404fa82997</t>
  </si>
  <si>
    <t>90686ae1cda1d24106bb868015947552</t>
  </si>
  <si>
    <t>fdc4ef6da04d67d2076de5795652184b</t>
  </si>
  <si>
    <t>b523928f88e7b94272de1645ce768570</t>
  </si>
  <si>
    <t>15402eb9e177723ff351d846b3e29256</t>
  </si>
  <si>
    <t>352c86829bed85b54ae6e499944bff1d</t>
  </si>
  <si>
    <t>ec31ea4ae398e89c6ce3de9438b12098</t>
  </si>
  <si>
    <t>780853d5d69cadaa5162ee1569328747</t>
  </si>
  <si>
    <t>a21855e1b98c26f75eaf65e74672e544</t>
  </si>
  <si>
    <t>d8d33d00cc5fb3bc9ae4a8f6691a1785</t>
  </si>
  <si>
    <t>a644ef7381751da64590e760a330355e</t>
  </si>
  <si>
    <t>9f8e8a87e93752dbcbd256717287356d</t>
  </si>
  <si>
    <t>d01453e8429409b9909a723974485083</t>
  </si>
  <si>
    <t>0d3988226a12357496ece410427646ce</t>
  </si>
  <si>
    <t>d9ddc02dd074c51b18a988c789f9cce3</t>
  </si>
  <si>
    <t>8e478d3ffaeb8077723a3c67ea72b21a</t>
  </si>
  <si>
    <t>66623be2cd5c85d3738d549a5781ef87</t>
  </si>
  <si>
    <t>241fc6757c477bb602d8b9bd168adaac</t>
  </si>
  <si>
    <t>3b1ac59591ba69ce73f7cc91f5281ee3</t>
  </si>
  <si>
    <t>18aa4bbe318ac2b9aa0bd094072d3a36</t>
  </si>
  <si>
    <t>c5dcf358cf4ff3cbe7208529a8ba99c2</t>
  </si>
  <si>
    <t>dd2b9f64d1d92c7e9afb5e28487ecaa1</t>
  </si>
  <si>
    <t>bee5f4357254a5da8facf96594ef40b9</t>
  </si>
  <si>
    <t>48c2b700d749caa239feb8e104ba622f</t>
  </si>
  <si>
    <t>830d498efa8ae215ed17da46b104a827</t>
  </si>
  <si>
    <t>8875292492308037e19e7a4dcf7b981c</t>
  </si>
  <si>
    <t>abb1f43d102e24a0788fcc75ce0ec2f4</t>
  </si>
  <si>
    <t>365407e01ecf34fb35f19db7de462431</t>
  </si>
  <si>
    <t>d5bea55789b937d22341777150574156</t>
  </si>
  <si>
    <t>23f16071a94df0b78268c6bdf02030f1</t>
  </si>
  <si>
    <t>11fd96dd86db71c08ac04c7ef9960003</t>
  </si>
  <si>
    <t>ef3d1449d92dab78f0b2669c8220bc1f</t>
  </si>
  <si>
    <t>2d0b011da373d9769d5ed186cdf52aa9</t>
  </si>
  <si>
    <t>bac7ac7b8a43dae3593f21c31a871ada</t>
  </si>
  <si>
    <t>a5ee9b921f875a662b484d741a6710ab</t>
  </si>
  <si>
    <t>6cb870af2a77b85cd752ed76dfc27fbf</t>
  </si>
  <si>
    <t>0f060d609ffeec997349e196948e5997</t>
  </si>
  <si>
    <t>7bdddb86b15a7f74cc48ed683c10f562</t>
  </si>
  <si>
    <t>7bf831d1698acb129596137d915a4ffd</t>
  </si>
  <si>
    <t>26ebfda6a7224b5de81ac375e19415cc</t>
  </si>
  <si>
    <t>18c316ca0e02ae4dc6aa3519c40784b9</t>
  </si>
  <si>
    <t>96f7be4c5bd78b08a28a3789610f59ce</t>
  </si>
  <si>
    <t>09ecbd01c074f7ab06cecbcbfdc4f92a</t>
  </si>
  <si>
    <t>8a126ac473c0e0b49dcf70a6650739d7</t>
  </si>
  <si>
    <t>fe09176b5e25848a0cec0c08a9f5e8a9</t>
  </si>
  <si>
    <t>d2ea689e0c51907361ae0c6d6c5210a4</t>
  </si>
  <si>
    <t>07855c50cd2324789ae2744d2954051b</t>
  </si>
  <si>
    <t>f5e6c08a8f0be102c072957cc57d3468</t>
  </si>
  <si>
    <t>595a55e486b381596c73fd88e9246a60</t>
  </si>
  <si>
    <t>c89f102329d75d11bd740c00423f05a2</t>
  </si>
  <si>
    <t>ff18a5773e76fd5c002ceae957861b28</t>
  </si>
  <si>
    <t>7fd7359bc5207fb445a2508f6876c737</t>
  </si>
  <si>
    <t>03ed3b7e4e09aa584eb05f57b624b745</t>
  </si>
  <si>
    <t>c656066abb0d7ed366f514ed99ed4d7e</t>
  </si>
  <si>
    <t>95cffa0ca4c2663f98d7fadca665c4b1</t>
  </si>
  <si>
    <t>2b42109e4b87f6580f56b9430237b5db</t>
  </si>
  <si>
    <t>1d40b6f0e61e9affa4263ccf147ac919</t>
  </si>
  <si>
    <t>532a6ab944c5142433009f8d4a773c1f</t>
  </si>
  <si>
    <t>ab9ac97a14559fc9845f539f1e152caa</t>
  </si>
  <si>
    <t>e1b908d14afd8ffb6986c14fdde6955a</t>
  </si>
  <si>
    <t>283c00c28df79c351b564f9601587aa3</t>
  </si>
  <si>
    <t>5484867873cdaacd487165a14edfcb15</t>
  </si>
  <si>
    <t>1413c9fe32ea33d5fd58c610e7cba8a0</t>
  </si>
  <si>
    <t>1705ab82813d20d5f667af4ce17fe4ce</t>
  </si>
  <si>
    <t>58171991ecdf92401e828465c202e27b</t>
  </si>
  <si>
    <t>3841164a00ea56b577e19bdbcecddba8</t>
  </si>
  <si>
    <t>f07ee95af95e8fb109b49ca300d59740</t>
  </si>
  <si>
    <t>caef6dc5f22bb4a58a3f7a06e08fc736</t>
  </si>
  <si>
    <t>484f300358c7a702ec8768010c3a0b80</t>
  </si>
  <si>
    <t>51ffd8d1263f7f649d6def8f6dcaed44</t>
  </si>
  <si>
    <t>147366a8db83b5347d9817769c0f6420</t>
  </si>
  <si>
    <t>7118fdcb0e6a6c1f1b785432938b23da</t>
  </si>
  <si>
    <t>969fe1aa80fe025cd2738d139e2d29d0</t>
  </si>
  <si>
    <t>b44b660edebaa4ce73f866c8a7e91f58</t>
  </si>
  <si>
    <t>edc86bd2178536b18b02cd3e697bbf00</t>
  </si>
  <si>
    <t>bbeb4a3de9b40424cb69f87e5af4c238</t>
  </si>
  <si>
    <t>2352d86a5efc68270da3d19a810ec126</t>
  </si>
  <si>
    <t>e1819a21f857f87079c118c2eff50950</t>
  </si>
  <si>
    <t>dc11115a1d7eabed9fae654bdf7c6a1d</t>
  </si>
  <si>
    <t>61139f1baaa7b16f5333fed95b8e0df2</t>
  </si>
  <si>
    <t>07fb8b2a9094743e3c622de1714283d6</t>
  </si>
  <si>
    <t>ad3ee0856a5e4e76b4629155268ace66</t>
  </si>
  <si>
    <t>3a8a46c81bffb36f6a78419a872e51a7</t>
  </si>
  <si>
    <t>43e18c7a5cf55acc3f838c0fbe73bcd8</t>
  </si>
  <si>
    <t>23cb62de47cea9dbfa7874a3b54a8fd3</t>
  </si>
  <si>
    <t>2f71dc5bf5868549f16ec6338b49875a</t>
  </si>
  <si>
    <t>334aabcaf66c2d3666f6a9e1f627f604</t>
  </si>
  <si>
    <t>4f93904f064449150d9dabb93fcf34e0</t>
  </si>
  <si>
    <t>622f751956eebc3528b3e65938ae0d0a</t>
  </si>
  <si>
    <t>b57b6a7f273ccb74799b54aae2357ecf</t>
  </si>
  <si>
    <t>d6b084a1c2e1d680dc7c60fb95dacb54</t>
  </si>
  <si>
    <t>80536c7bb4fde1f799a73e9e4cca7f9f</t>
  </si>
  <si>
    <t>79546640937eef6dbf65022a744add6c</t>
  </si>
  <si>
    <t>8fa505b2bc3d22635a28f9d7424cf594</t>
  </si>
  <si>
    <t>fe3c0d45e4ceac22c7937d1e617d1b42</t>
  </si>
  <si>
    <t>a98242e6f86f324851141bef34d5719a</t>
  </si>
  <si>
    <t>591755b18c4a1d5d644105b3aadb368d</t>
  </si>
  <si>
    <t>74f5da698151777c799c426802ad6783</t>
  </si>
  <si>
    <t>0e31f4e46b4422697080e69fd8f06817</t>
  </si>
  <si>
    <t>017eca1414804d10b02c4678b806c619</t>
  </si>
  <si>
    <t>4a7bcd6bfa1f5bbebc4ddd72d2d14552</t>
  </si>
  <si>
    <t>d0352fcc698d365ba8fca4834e26400a</t>
  </si>
  <si>
    <t>6c06af76b8e1e1eb185cd2048d71bc86</t>
  </si>
  <si>
    <t>a024d96b19d8618ecf9243460f2ecc19</t>
  </si>
  <si>
    <t>0f8f38260c989253061c9704b32f38cd</t>
  </si>
  <si>
    <t>139f912272fef1a66d800b66658beca2</t>
  </si>
  <si>
    <t>07d6d1d156b67467f4031eccab615376</t>
  </si>
  <si>
    <t>0c73f084addbe7ec5f3e568e276a052a</t>
  </si>
  <si>
    <t>5731dabaa64b21a092b39ee12ae3e7f8</t>
  </si>
  <si>
    <t>41a8a120db51f536e8348dd019184917</t>
  </si>
  <si>
    <t>2ead02a08aac0ac51200c773fb6efdb9</t>
  </si>
  <si>
    <t>67896fe5a9d8f49771b06e7883749633</t>
  </si>
  <si>
    <t>9b98058f70352371cccd314a3c81d6a1</t>
  </si>
  <si>
    <t>4b306303e56442e27011a542101f5edf</t>
  </si>
  <si>
    <t>19c28ad603c4d8d15fb106b749e504d8</t>
  </si>
  <si>
    <t>99507d8c3d397e022349a8e2396cd6b1</t>
  </si>
  <si>
    <t>997041815e57b240bd348f0ca57acfc5</t>
  </si>
  <si>
    <t>b8982958f9b3e2593016b5342426e3e2</t>
  </si>
  <si>
    <t>23e5a9183bf21c08fcff7d8dfa3ef2ac</t>
  </si>
  <si>
    <t>805adc38f057295102553aea37c2b34a</t>
  </si>
  <si>
    <t>78acc68cd8d6a9bc2f390dba85752761</t>
  </si>
  <si>
    <t>92294e36ae13423ece99849d73c3fe57</t>
  </si>
  <si>
    <t>2f778b547fb091adf9ee0416a88e3b9f</t>
  </si>
  <si>
    <t>b6c33d3a834b406d6e250c1ce1cc4085</t>
  </si>
  <si>
    <t>1b3a21a96577d22ba238603894c947f7</t>
  </si>
  <si>
    <t>5525569d4733ff6b817a8986eb722179</t>
  </si>
  <si>
    <t>7049eacd022579f736012eea991efe91</t>
  </si>
  <si>
    <t>6660dbbd5ccd7527f004bde694c29ef1</t>
  </si>
  <si>
    <t>0cfb2553d8ba80f449adcb549dc3fb48</t>
  </si>
  <si>
    <t>731c9cd83a536efab9370fb0157afe75</t>
  </si>
  <si>
    <t>7834e7bea0b6e85034fdb75391c3683b</t>
  </si>
  <si>
    <t>6d11feac29b98a74709e10e7d13baedc</t>
  </si>
  <si>
    <t>4b5cf91cb0fc72129a3e39180d92f8d1</t>
  </si>
  <si>
    <t>46b4cfa21f18fc225359f7be9874b656</t>
  </si>
  <si>
    <t>04c017f21481a06de2d63fb81a612cad</t>
  </si>
  <si>
    <t>49d8d93c342b57d629855c9640e3bc4b</t>
  </si>
  <si>
    <t>77044719f913a55e627557eca79cf1da</t>
  </si>
  <si>
    <t>ef5e7f6ab80535c221ce5696f4a34757</t>
  </si>
  <si>
    <t>db0a4458244a71e2288ac98fed61fb4d</t>
  </si>
  <si>
    <t>fbdc6b4658f52e0e5555eddf7d888d66</t>
  </si>
  <si>
    <t>de9f8b6c245bd87d226d3bccb78f8913</t>
  </si>
  <si>
    <t>c1a92b144703ad377ccb3c6d190e6910</t>
  </si>
  <si>
    <t>14330b8a55d27bec2e5b82e6086dc666</t>
  </si>
  <si>
    <t>d8f3b2dc5f9027206724c04bae35a797</t>
  </si>
  <si>
    <t>6a59c26f86944db897f1e8eda7260628</t>
  </si>
  <si>
    <t>ba2951c9713b005f6e98c65bde3ec4c7</t>
  </si>
  <si>
    <t>448c84625d7320fa1e2f530eaa7a3010</t>
  </si>
  <si>
    <t>c378d52a50ed32b05ce5c3acd2d80de9</t>
  </si>
  <si>
    <t>6b1f60d9488418dd94d36953a1b64fca</t>
  </si>
  <si>
    <t>d0591578548bf90ff880e804983730f5</t>
  </si>
  <si>
    <t>0a428c6d1bd41688c6d9b6fae410058d</t>
  </si>
  <si>
    <t>eeea375891466d9e244ec05c641b470d</t>
  </si>
  <si>
    <t>d7e7645534b0438776a7c977d9743775</t>
  </si>
  <si>
    <t>ce2bb0caf05ad26638174518abbc19a9</t>
  </si>
  <si>
    <t>b3b9baf2e1b62e1e0a9b297ddb827f48</t>
  </si>
  <si>
    <t>8ad80530049e2c595ef2c4e969a97e29</t>
  </si>
  <si>
    <t>9e2e6981c9fea736efd8cb5b3f47032a</t>
  </si>
  <si>
    <t>a965de9f59d2aecbfe9caeaa649ddfe9</t>
  </si>
  <si>
    <t>4acb8baadefb03c6f8bc5c2ce1b08995</t>
  </si>
  <si>
    <t>ccfe846533bc1a2672e8241b6cc170ed</t>
  </si>
  <si>
    <t>317f6da08b479a6620897759fc3380a3</t>
  </si>
  <si>
    <t>a9437ee1d1fd30f8c6bcc36271585638</t>
  </si>
  <si>
    <t>dcd8e3b3dfe79f661916b93f1752358b</t>
  </si>
  <si>
    <t>171caa4179d63eb411caf6e67d9c88f5</t>
  </si>
  <si>
    <t>a88966b4e1295cdd09e37a9c23a0dd73</t>
  </si>
  <si>
    <t>b0a2d57bcc9d57ec6a9ad02899d88b47</t>
  </si>
  <si>
    <t>a2fb1222548e348c9647f9fd40fae36d</t>
  </si>
  <si>
    <t>b9669df6b00b30c21c4227c4910f3fa2</t>
  </si>
  <si>
    <t>b7c374b16ba60bd54b1d14c3e9f681ef</t>
  </si>
  <si>
    <t>b9f844d6f193304291cef756497dee11</t>
  </si>
  <si>
    <t>07cf9d34015afe04f25cc172c3496642</t>
  </si>
  <si>
    <t>4bd67129fcbc0b88f6936e4d7e5887cd</t>
  </si>
  <si>
    <t>f159d10b97d20e2849c567cf2d8c0012</t>
  </si>
  <si>
    <t>42ca98dd42ccf09dd12004dc8e86756f</t>
  </si>
  <si>
    <t>3d543502a1a756bfb075133b08d19e78</t>
  </si>
  <si>
    <t>96cb52b345939a583c3c318feb7e1565</t>
  </si>
  <si>
    <t>6df4fb3fcdada5e1a515c00fe3ca6927</t>
  </si>
  <si>
    <t>265de656802bcd8a2c69b52d337b864b</t>
  </si>
  <si>
    <t>59dc24ecc8227f08b0e73b1b4e5ea986</t>
  </si>
  <si>
    <t>f9430f810ddf09d6499e9419842bd9e1</t>
  </si>
  <si>
    <t>67d15a9e57620670b44a8e1b6349e6c1</t>
  </si>
  <si>
    <t>c3973f4547f9a0dca9bc60e550de389b</t>
  </si>
  <si>
    <t>4450481b7d98f3473504d35678c12c94</t>
  </si>
  <si>
    <t>bdcd3208ac8a5bca23830b155e3b9206</t>
  </si>
  <si>
    <t>52d4c417ac02375380e32a2c8d71e98c</t>
  </si>
  <si>
    <t>17a290052eb1254184ac008fc6d81401</t>
  </si>
  <si>
    <t>4ca64cec58256dba091c6e8776e7b278</t>
  </si>
  <si>
    <t>4bc3f5a1113161b3addce64a4611fa2f</t>
  </si>
  <si>
    <t>91fc465506ba3d5ba0fcf2d4d5498416</t>
  </si>
  <si>
    <t>9c251aa5573d19985be7d3abd3706aa9</t>
  </si>
  <si>
    <t>019d89e587a2e1ec6a042ae52d465810</t>
  </si>
  <si>
    <t>1edde51fd4d85fc3e5c8663e66a7832c</t>
  </si>
  <si>
    <t>cbaa1e31a0b17aa6a14b2aa5fd4fff80</t>
  </si>
  <si>
    <t>2528381346978c0ea09aed11ff44fec1</t>
  </si>
  <si>
    <t>7e86deeceb3f0473bd192cbbe728ffeb</t>
  </si>
  <si>
    <t>8676b48f34f7a17953629c9cd54fa41a</t>
  </si>
  <si>
    <t>f696cf174ee54836ab97cb4f8d6cb3b1</t>
  </si>
  <si>
    <t>e3353bc662b07bb263b3e79e0940ea80</t>
  </si>
  <si>
    <t>7e0758f1d26f8ae7e550bde1f7063e68</t>
  </si>
  <si>
    <t>dd1061e9ecdc24018f7ca4ff300cbf2b</t>
  </si>
  <si>
    <t>2338d5dafaec291d6f46ad6d261b4f40</t>
  </si>
  <si>
    <t>8f7c1ece0a2892cbdc90e19e93d9b162</t>
  </si>
  <si>
    <t>8c6f1861cc1312af9458e848bf2fad8b</t>
  </si>
  <si>
    <t>9039c71caec01cda0734f9002bf2fd81</t>
  </si>
  <si>
    <t>6e0f7c3d86f9a0d3245fd88d6c86b158</t>
  </si>
  <si>
    <t>e12a0f75a1e88c18ed22f9ab9ce25077</t>
  </si>
  <si>
    <t>eabf7eca4c2b9d3a443a889e215c45f3</t>
  </si>
  <si>
    <t>6d882edbf6ebc6adc02cc1872fd08d4b</t>
  </si>
  <si>
    <t>ce3bcb5dab72838267f80c37b153cab3</t>
  </si>
  <si>
    <t>6deeea552322ad2ca94708937bcd16ba</t>
  </si>
  <si>
    <t>64d1f77abf2f5f038f42165ecad100e6</t>
  </si>
  <si>
    <t>d3e4534a15021507978916db8f0621dc</t>
  </si>
  <si>
    <t>a8d64bd7e27c9fc6f9e02478a0261b5a</t>
  </si>
  <si>
    <t>3007c7d52f3d25ed058be47e2eb19a6d</t>
  </si>
  <si>
    <t>50924026fc9783fe89f421534ee68f37</t>
  </si>
  <si>
    <t>b14c7ba357856d4c7a07879c7f9c9d8a</t>
  </si>
  <si>
    <t>117b10f4a52213cd28a178f402b9f413</t>
  </si>
  <si>
    <t>80f32b659d1dc1313fd4f50c1d525d1c</t>
  </si>
  <si>
    <t>69cc8b2d385741bef4acee057d4d3043</t>
  </si>
  <si>
    <t>97cb0317aa51af4a8a2dfef51539b992</t>
  </si>
  <si>
    <t>c4cbc78b2d3fbdfd791909c839d5ddcd</t>
  </si>
  <si>
    <t>60faee408412224eec02749b8c321e8e</t>
  </si>
  <si>
    <t>41a23b4eab6707b915ad77d1c3906af1</t>
  </si>
  <si>
    <t>3816debbd1ce90fc42666a0dbfdc5163</t>
  </si>
  <si>
    <t>c97d1f1b2a279391ca053ac846eea18c</t>
  </si>
  <si>
    <t>60bbf98b2f94ac1af4ebe9ce60358686</t>
  </si>
  <si>
    <t>8d2373390df2bf8b9ecbddd241600ad6</t>
  </si>
  <si>
    <t>46f03c7cc2ab904dcb4b4fc268340aa7</t>
  </si>
  <si>
    <t>ab0ce9b379b62ff5d2635ba3c711a3fb</t>
  </si>
  <si>
    <t>3ae046c248f7bb6a853c6f7c135d8fb8</t>
  </si>
  <si>
    <t>0daa8409dccf8add60d22f1abd83b78b</t>
  </si>
  <si>
    <t>f2e9d8794a89ae6b6bbcdeb0264c43b9</t>
  </si>
  <si>
    <t>10042680ba931634c0c3f1383f8dced1</t>
  </si>
  <si>
    <t>5b2fb3a7cd82381a0b91683a7dc4396a</t>
  </si>
  <si>
    <t>2f150df67edba3ddb0f73480e1d1c531</t>
  </si>
  <si>
    <t>088c0d692b668251e377f850c9d738cf</t>
  </si>
  <si>
    <t>26b780aa2267986cda25da636490b730</t>
  </si>
  <si>
    <t>a7c8fcf766027a0cb214f09739a162e3</t>
  </si>
  <si>
    <t>6ed456ee2517ae86480f4fdea86a2e2f</t>
  </si>
  <si>
    <t>b0f906dd431f046e029635320bedaa59</t>
  </si>
  <si>
    <t>88330183a1d5acc0e4d9f98295cff26e</t>
  </si>
  <si>
    <t>7c2e0f962580ce0fb7827572dfe1d48f</t>
  </si>
  <si>
    <t>60758599526847fd29f0f2b2b8a28ddd</t>
  </si>
  <si>
    <t>4adba49a947f1656b7340f271a140871</t>
  </si>
  <si>
    <t>b74040782bebed485660a42ba9682732</t>
  </si>
  <si>
    <t>4fb060339358202161c8bbf5df3cb3a3</t>
  </si>
  <si>
    <t>a5eb71e86a877a5cb8f8963f837df2ce</t>
  </si>
  <si>
    <t>a83d66f963d6a8e9dcc36a37e1f9d43b</t>
  </si>
  <si>
    <t>de5bc76a0b06cd454f6f8d0a5ae21f1d</t>
  </si>
  <si>
    <t>43bb26958b0c6ae104536983af19ffa5</t>
  </si>
  <si>
    <t>172f0530e2f33c3198a6f007dd0022e1</t>
  </si>
  <si>
    <t>8a264e6f599fe7edd6de5b664ee34449</t>
  </si>
  <si>
    <t>29bae3e5591392a5d8aa6bc32d7adcf6</t>
  </si>
  <si>
    <t>7e6f496dc518bbf902a3c9bfaa4b20f9</t>
  </si>
  <si>
    <t>f3b5ecae99b2ac443f489dbf1052e103</t>
  </si>
  <si>
    <t>61cdcff74b36990cccec5bcecfe147c8</t>
  </si>
  <si>
    <t>406c6a57acdacac468f7901ba01d5c8b</t>
  </si>
  <si>
    <t>86d86485fbfda043d91eb1a779914fe7</t>
  </si>
  <si>
    <t>28c83b09f51468900bd5e0e43d1b2780</t>
  </si>
  <si>
    <t>3b91baea23e6f0fb83a28461f7eab857</t>
  </si>
  <si>
    <t>8c0cdcfbcba71a737f63e292cf1213fa</t>
  </si>
  <si>
    <t>4c69102abd620d39dce61d8ee0f09c42</t>
  </si>
  <si>
    <t>17a081319a95c9a0ae941b1f68a9eafc</t>
  </si>
  <si>
    <t>4c573042026e53192a8869f0131e3e14</t>
  </si>
  <si>
    <t>8e8233c11b78ef42093ff5c8ca085ea8</t>
  </si>
  <si>
    <t>55c07f8a54d7984ff4185c8ca3adba09</t>
  </si>
  <si>
    <t>fd66fcd4f63c5aa9fe63d6906ceee142</t>
  </si>
  <si>
    <t>74de07e34bb8804e328e41b72488624c</t>
  </si>
  <si>
    <t>dc7a9d962e399a7ef5617b8c303e884c</t>
  </si>
  <si>
    <t>986fa5050b8358ac38162701ac10cd25</t>
  </si>
  <si>
    <t>edd7eb433d78340de024a6bc25a91622</t>
  </si>
  <si>
    <t>0136879c4db766b87a02da47fba0d0da</t>
  </si>
  <si>
    <t>a2a7f8f81bc4116ae62d3ba2afebb57d</t>
  </si>
  <si>
    <t>1555bb666171694cc43c2b568cdf27f0</t>
  </si>
  <si>
    <t>95187a1444ef457a009ebf5dd467a6f8</t>
  </si>
  <si>
    <t>41ea43868e63bd8ba200908d289b9725</t>
  </si>
  <si>
    <t>b4eaa42400ea6397490b236f1ccc000a</t>
  </si>
  <si>
    <t>d49dafacc8e6b852c57257cedf925584</t>
  </si>
  <si>
    <t>1577b3be5af608aebcfc7ce2c45d579e</t>
  </si>
  <si>
    <t>c17d44c7bd1a05d4a0ec809ab7c441be</t>
  </si>
  <si>
    <t>b44da0cf7355944774d41c19a6adc8ac</t>
  </si>
  <si>
    <t>96cb4cc3ac0b9c75769b9f5689b1639a</t>
  </si>
  <si>
    <t>46a47eb063ce3006ca62953516305b4d</t>
  </si>
  <si>
    <t>d32059916d82f40aa31eda489d305046</t>
  </si>
  <si>
    <t>0ac1d1b5f4573ae1cb7123990d41ce0a</t>
  </si>
  <si>
    <t>26e9b215c99e1447cacaf3bcd3758d6e</t>
  </si>
  <si>
    <t>e54a2530401f74f990c326f6620f58f1</t>
  </si>
  <si>
    <t>01dca1e3fca86165695863142a302b2b</t>
  </si>
  <si>
    <t>342696e2ac36a447429d92d25fd389c7</t>
  </si>
  <si>
    <t>7b0925de61937cb898853e5e15080967</t>
  </si>
  <si>
    <t>680c434c8b0e950d7c3301341aed9e86</t>
  </si>
  <si>
    <t>b5ae4c7e627cea78c1c346eb165ff445</t>
  </si>
  <si>
    <t>75421d9c24a9647234f15f3dd1dd428b</t>
  </si>
  <si>
    <t>7b167f442053af4918388198164313e0</t>
  </si>
  <si>
    <t>a3ed5d78a3173a4ede7d71c2626b5457</t>
  </si>
  <si>
    <t>b36ab85327ec273c20b6b2e50c34d071</t>
  </si>
  <si>
    <t>b7cf06cb71facb77aa87de3bc21248ae</t>
  </si>
  <si>
    <t>9d07a59643be071919559fcab250abb1</t>
  </si>
  <si>
    <t>557d5345c4cb2492318350794df820d0</t>
  </si>
  <si>
    <t>ae4d90136ebb82d35df53fc833c9746f</t>
  </si>
  <si>
    <t>6b0b0e646b82f3deb43220c08d2bd59c</t>
  </si>
  <si>
    <t>a65ac477b110daff6cdc904e2a3cf315</t>
  </si>
  <si>
    <t>9f6263bde9c2766c5f3b68734e88ef4e</t>
  </si>
  <si>
    <t>a5f72a8c51f436c9a99189c1b7f0cca6</t>
  </si>
  <si>
    <t>692e91154312d5c6870c7cff8d14abaa</t>
  </si>
  <si>
    <t>f999334661a4bd3fb21066e742bac268</t>
  </si>
  <si>
    <t>b7e91252c9151d14bcf02517712b2ed1</t>
  </si>
  <si>
    <t>2af01de969b68c67cea7ed998d0dca5a</t>
  </si>
  <si>
    <t>48530dad5ef02bd85bbfb88f60041846</t>
  </si>
  <si>
    <t>f2657669cb5c5432fbe85524272ad6ef</t>
  </si>
  <si>
    <t>4d845170353bdb69d77cda713ca93294</t>
  </si>
  <si>
    <t>460a62593d8b4fd44822120c9b5eb08c</t>
  </si>
  <si>
    <t>f0e63920955391cd9ee50a9b7c259db5</t>
  </si>
  <si>
    <t>2d7d53394d34dd1c2ab0c7fa3b47eff3</t>
  </si>
  <si>
    <t>9c51ccb0c535facb1032ddd5d1845ae3</t>
  </si>
  <si>
    <t>26b2067b197c26cba9ae2a11801fb1cb</t>
  </si>
  <si>
    <t>c986078f1892a91a0a5717ca7d3550a0</t>
  </si>
  <si>
    <t>4fd123fb38beba05f7a508d65ae1ef39</t>
  </si>
  <si>
    <t>5c7fb0f9d00e190e1969b8017a675b44</t>
  </si>
  <si>
    <t>60bf557bba3339f25728661953a55ab5</t>
  </si>
  <si>
    <t>7085d1cf9b9a4f3910b539a0b64965b8</t>
  </si>
  <si>
    <t>16ce773882f4a3bc4b94c77a6968703f</t>
  </si>
  <si>
    <t>dc4aa5f2ccd7af979ef60d3b339eb33d</t>
  </si>
  <si>
    <t>280485577e239b68b9d444b91149c746</t>
  </si>
  <si>
    <t>a5d709ddc703a3476627d82d9ee6e0a0</t>
  </si>
  <si>
    <t>39d19c8e2c8620f651adddd5950382f4</t>
  </si>
  <si>
    <t>a0b878858719afce212af52da3e787a5</t>
  </si>
  <si>
    <t>9ed55e2db486e2342074551505cd9749</t>
  </si>
  <si>
    <t>97eaa44165fbb020e9e1702740487307</t>
  </si>
  <si>
    <t>9f2d62a98b17685e536b1fd12e341807</t>
  </si>
  <si>
    <t>1450a6bef077d20396771da8b5d4e723</t>
  </si>
  <si>
    <t>c1458568d4ddd8d26f03dc8b47285bdf</t>
  </si>
  <si>
    <t>5f4610bbaf456b4235dc6f715ab90921</t>
  </si>
  <si>
    <t>cc4a057291a9a51367c5d541ef22960a</t>
  </si>
  <si>
    <t>2cd3d13281e1c288bdbf83c8f896f0d0</t>
  </si>
  <si>
    <t>dfeda40c1713e0f789f998e491fdc1a9</t>
  </si>
  <si>
    <t>67c7ea67b119c3774d4c9112d7101b76</t>
  </si>
  <si>
    <t>306844bc064062edb7c825345d1836f9</t>
  </si>
  <si>
    <t>256f53cc67004a82486d63ccd2b0ce74</t>
  </si>
  <si>
    <t>2b81b93972566ba4ebd10524b50ae3f6</t>
  </si>
  <si>
    <t>45d2db39ce77bc5f2aea9b4b58827262</t>
  </si>
  <si>
    <t>d68570564510f1c794a4fc49ef75a8c8</t>
  </si>
  <si>
    <t>057dca2ae20db4aeec667adfbc9d105e</t>
  </si>
  <si>
    <t>f2dd4ced3e8d09c206a7cbc4277f9fc4</t>
  </si>
  <si>
    <t>e7755a78619a1864012a11b429002215</t>
  </si>
  <si>
    <t>4f8abc5d7cfff6a21dfe6927b43a9211</t>
  </si>
  <si>
    <t>8f7d549108973fc93603e7a080ee9da6</t>
  </si>
  <si>
    <t>897cc1d9754ba5f90d11e04143dcdd5f</t>
  </si>
  <si>
    <t>fec464dad8266081a081acf7594c5cd8</t>
  </si>
  <si>
    <t>67556c1a0f725342b9df42bb67f1b9aa</t>
  </si>
  <si>
    <t>e6d3193e6813806df77cdabbb1e9fb05</t>
  </si>
  <si>
    <t>c12f4f0f7a6cd9a33778938671e5b53a</t>
  </si>
  <si>
    <t>324ac432631898701bd1871ca82f8ab8</t>
  </si>
  <si>
    <t>6b6784273455e74a38e36c1c826eae13</t>
  </si>
  <si>
    <t>8d574945e15cc849ebef653464ae8077</t>
  </si>
  <si>
    <t>bef7040d744fb2c33900ea7e337488f3</t>
  </si>
  <si>
    <t>79cd19096cfa0806e480dc0ff4eb1815</t>
  </si>
  <si>
    <t>d5e4ac904db771547e62ea58903cfc21</t>
  </si>
  <si>
    <t>ac7df027762172090383775d451bd63a</t>
  </si>
  <si>
    <t>34f1094e8b2db84f6e18f1d3bdb53752</t>
  </si>
  <si>
    <t>d412d7603d029638f19cf93afd2e3908</t>
  </si>
  <si>
    <t>79d872a1b30718a9bfa2547a0a0e9053</t>
  </si>
  <si>
    <t>86f43b2c56b3a0dd3b31ed9137a2e4de</t>
  </si>
  <si>
    <t>969c8a673d0351988c01daca4bf22fbf</t>
  </si>
  <si>
    <t>12519c156b6257a05c6d93ac2601eec3</t>
  </si>
  <si>
    <t>7f65e1dd69de515ab65fffb5118d88cb</t>
  </si>
  <si>
    <t>c7df5f70d2f2a75a412624fb79cba27b</t>
  </si>
  <si>
    <t>071275648205b301b1a971ee754329a8</t>
  </si>
  <si>
    <t>390edc8d73dd1f1a86faa5b8f48fe473</t>
  </si>
  <si>
    <t>032f7bbcdc2b4c43d07e86825b369125</t>
  </si>
  <si>
    <t>6d9511966a73d2487ce84283d60e87ff</t>
  </si>
  <si>
    <t>f2e7f52f7074f9a524119d6fb7f29f41</t>
  </si>
  <si>
    <t>51c95399c2960bdf1492fc7c7d357593</t>
  </si>
  <si>
    <t>d004e4c2b8109ee3d4f51c19193d92f0</t>
  </si>
  <si>
    <t>f718091f9db97140562b5e19f1192466</t>
  </si>
  <si>
    <t>60d69fdc0a00ae731ae3c5e0ede09266</t>
  </si>
  <si>
    <t>772362c2b9a1cd65a40ffa55adf0c5bb</t>
  </si>
  <si>
    <t>2b9df14a597157ff84a37d839db2c722</t>
  </si>
  <si>
    <t>f1e5b3fa852b310d99d141bf6e8f77d0</t>
  </si>
  <si>
    <t>7a2ea0b035f78c789773dd3be98e0914</t>
  </si>
  <si>
    <t>843bd57ccae9c3fdba18bab3625fb3c1</t>
  </si>
  <si>
    <t>ed3f7c9a6aedc677c401bc286653968b</t>
  </si>
  <si>
    <t>929b747dde7033f42dcbfaca378ca0f7</t>
  </si>
  <si>
    <t>8997852686026d0ee981580b7d7b069d</t>
  </si>
  <si>
    <t>8b6144117b145e7c0e40a3b691f19f47</t>
  </si>
  <si>
    <t>44dde9ff687fa074347064bcf0da7be7</t>
  </si>
  <si>
    <t>871f689f67683e647fbaab11a9619f31</t>
  </si>
  <si>
    <t>0cb002770e0002d258cc73c9e1690a78</t>
  </si>
  <si>
    <t>9bd54303129fc92905419aafda5302e0</t>
  </si>
  <si>
    <t>099d241b952fc0a999792ab2b35c9528</t>
  </si>
  <si>
    <t>172ed30c15fbe92fd168382f22c755fa</t>
  </si>
  <si>
    <t>95ec8ab65c1d730379bb4e812a35a402</t>
  </si>
  <si>
    <t>49739304392d4ac1ced0cc1d5bb97531</t>
  </si>
  <si>
    <t>b9ffdb5675871c981190b691b5b309fd</t>
  </si>
  <si>
    <t>e1c5b057ee4181f2112fd93bdca51ec9</t>
  </si>
  <si>
    <t>c35d64ebec867e5d289fc3f2c95c4892</t>
  </si>
  <si>
    <t>3393e8669a89ba4d33798e871b90a313</t>
  </si>
  <si>
    <t>46e9c3f8ed773c29f99f77fed4e03d58</t>
  </si>
  <si>
    <t>8acb19ca5b4d7a93b3d62d521d93b52a</t>
  </si>
  <si>
    <t>4b4f9f728a42bda4000f470c46cda914</t>
  </si>
  <si>
    <t>74c27c95531fec14e51aab573e5069b1</t>
  </si>
  <si>
    <t>52e967a97d0f84ead0fb736e30484b27</t>
  </si>
  <si>
    <t>28640bf456a633fe2bcad39805af6abe</t>
  </si>
  <si>
    <t>db94a8a0140953bcb1b3d639e8956111</t>
  </si>
  <si>
    <t>58d85d03681732394dba0974816566e9</t>
  </si>
  <si>
    <t>e444976e54f83c9e9480dbed98cd289e</t>
  </si>
  <si>
    <t>b42880ed8f9df5a5e452dbdf6e84d128</t>
  </si>
  <si>
    <t>c96dd6d42c31e614ca132a75927c2e20</t>
  </si>
  <si>
    <t>3bbd183df71b18013ea0adcebfb6c504</t>
  </si>
  <si>
    <t>382eb1b7581fb41965a348d2c67b8cb6</t>
  </si>
  <si>
    <t>1148aeba7b52f1d2398ce3631c99bd69</t>
  </si>
  <si>
    <t>e90908e32ea5941d7fade880d580f9f6</t>
  </si>
  <si>
    <t>257ccda80446b56938db4bf4f681176f</t>
  </si>
  <si>
    <t>f5806163e14b73373f93eece8e6c71ec</t>
  </si>
  <si>
    <t>1f2f8c4b1a63c9d37b54794059105ce1</t>
  </si>
  <si>
    <t>9ef6a791634093597159f0ad98dca7d8</t>
  </si>
  <si>
    <t>fba422a16d6cdfd90cadf11d3206723c</t>
  </si>
  <si>
    <t>5cf8cbfdc5045903677b2155f92648ed</t>
  </si>
  <si>
    <t>9cbfc2d51a42c08e2091a0ea60e8ebcf</t>
  </si>
  <si>
    <t>e0a77cf8e048925e0953c86bc064289f</t>
  </si>
  <si>
    <t>1652cb770c5dc459ec5cc33c22b6c061</t>
  </si>
  <si>
    <t>23e755b094cea70a1132729d434b205e</t>
  </si>
  <si>
    <t>a1d17d8b1e3d9c9553fda6129ab744e9</t>
  </si>
  <si>
    <t>70a3b00997ea94469db3b257583c4e0e</t>
  </si>
  <si>
    <t>1abfac789e6dd50115e67dbf18e9c922</t>
  </si>
  <si>
    <t>504655a9bfc0c05decfea16bcad8c1eb</t>
  </si>
  <si>
    <t>44412a6fc422becb32f1a09b1f9bab26</t>
  </si>
  <si>
    <t>6a2bf0ec63b2544de4b575e192ff156c</t>
  </si>
  <si>
    <t>d248072a17c93bdc9660d5b1bdfcaed5</t>
  </si>
  <si>
    <t>4ff3901aa2e776df2a6cd143a7b5ccac</t>
  </si>
  <si>
    <t>59983d6b7818e164e997bcd5d1be6c4f</t>
  </si>
  <si>
    <t>eaf8b47639b3df618f8d6331fe13406c</t>
  </si>
  <si>
    <t>fe01dd2171d601f8576a23b5a2a12574</t>
  </si>
  <si>
    <t>04852c79c177defa7f346057c0d5328c</t>
  </si>
  <si>
    <t>64dedbefd5e44fc3cd6f7ea4b00c7c90</t>
  </si>
  <si>
    <t>cf9adbfca56acdff32658dfac2f12f32</t>
  </si>
  <si>
    <t>11da997881b8e3f1754d070b78a30916</t>
  </si>
  <si>
    <t>d7358b35411bd753d547191bdea7fd05</t>
  </si>
  <si>
    <t>208070d50999926e32787d58af8f9907</t>
  </si>
  <si>
    <t>87d715bfda3034619d4361c51049b177</t>
  </si>
  <si>
    <t>ec059219ef9c1be6e4fe5da74501ec39</t>
  </si>
  <si>
    <t>d311a280f234a18f986f3f71f01faf41</t>
  </si>
  <si>
    <t>247f6dd7e31646e832de11ef12ce435b</t>
  </si>
  <si>
    <t>40239de55cf944e4d372bf5ee8d6be63</t>
  </si>
  <si>
    <t>6ce490c541f1b26b5c13b55818b21f50</t>
  </si>
  <si>
    <t>fd6451a895bb81be4005c90ee435e0e5</t>
  </si>
  <si>
    <t>4755e181fe18ca82ebcc9fc578f25145</t>
  </si>
  <si>
    <t>b32561f0c6aaa3a7b2fbd5f2319ffe3c</t>
  </si>
  <si>
    <t>ebd0077f67ea14ae1a08e6e5d5ccc146</t>
  </si>
  <si>
    <t>0eb6c90839c98eda9706ea0dd6faa255</t>
  </si>
  <si>
    <t>9c68e590c6f714c2ad753d726a6ce036</t>
  </si>
  <si>
    <t>c91bb289f25436d88d9e38fe88e84576</t>
  </si>
  <si>
    <t>55f9b9577aa7e1c8c7a525410aed46d3</t>
  </si>
  <si>
    <t>a9f54ca6e48940f88bdb2480eb962f92</t>
  </si>
  <si>
    <t>865d923be6405e6c40d3446dae83124a</t>
  </si>
  <si>
    <t>6898eadb410514e0afdc424b72161ee9</t>
  </si>
  <si>
    <t>27703e52d5c37e4d0329ee63fe6b2ab1</t>
  </si>
  <si>
    <t>c4297ff2a792eecda61fe9aab6071874</t>
  </si>
  <si>
    <t>63f8f8cbcc98df664b5f8b3d797efab0</t>
  </si>
  <si>
    <t>c8178d316b7e9c4076c33f9ebc12585a</t>
  </si>
  <si>
    <t>e1be2d6b4c6bc1d0d1b38a40534415d1</t>
  </si>
  <si>
    <t>3917fcf8eea85178d406cec3c2976872</t>
  </si>
  <si>
    <t>69c3fd631eb256fd104247d280a6eb1a</t>
  </si>
  <si>
    <t>38695c4955118991c6377f66e0608fc5</t>
  </si>
  <si>
    <t>e02d8c77921b47d88bf11238e534a684</t>
  </si>
  <si>
    <t>efac7b1980e709812482ba6eebb23a1f</t>
  </si>
  <si>
    <t>54fff842b6d959ea15d5d9a33ffe0271</t>
  </si>
  <si>
    <t>9f68e5a9928f14a90760760f0ea8190c</t>
  </si>
  <si>
    <t>60cb1ec761eae71a2dbcc7e22f7f6869</t>
  </si>
  <si>
    <t>c11ee847904fbb2abda534f8e536b2b8</t>
  </si>
  <si>
    <t>5ee47144a53c0d92d1432d305dc45b38</t>
  </si>
  <si>
    <t>c364cc2efb844408f7629de380c571f2</t>
  </si>
  <si>
    <t>0087d72dffbbb45744d13d2c30c66de9</t>
  </si>
  <si>
    <t>9d17a9e82a89672a57a76bc42b44dcd2</t>
  </si>
  <si>
    <t>d70428bf3e85ffb557fc5c3b5a35d41d</t>
  </si>
  <si>
    <t>14303a7bcd7647f63dcb2e0d8e4420ca</t>
  </si>
  <si>
    <t>5b42779883ddf7b5548a893cf569bd2a</t>
  </si>
  <si>
    <t>5201f01ad3210f7bbd131799791b2a8a</t>
  </si>
  <si>
    <t>565266082cbe89969a15f4a050caaf99</t>
  </si>
  <si>
    <t>ddbb580c5a5a12aab38b08d78de71572</t>
  </si>
  <si>
    <t>999f144f85a2dc0c48fa934fa5dfd9b1</t>
  </si>
  <si>
    <t>bd12036d634f126cf4fae64b92ac343e</t>
  </si>
  <si>
    <t>13821e5aeb577b037ac12e7f8ba265c3</t>
  </si>
  <si>
    <t>e26daf39fccfdbd4a68da5642292a7bc</t>
  </si>
  <si>
    <t>f3317030fa088ff6c0977a545a366413</t>
  </si>
  <si>
    <t>89b206430bbd74e572e66b2eb2435f97</t>
  </si>
  <si>
    <t>dedca8d81bf1910766606783568679a6</t>
  </si>
  <si>
    <t>accadd8d12bc240a293475060f677fe1</t>
  </si>
  <si>
    <t>28973a9773ce0af7d3ddcc77722c0e1b</t>
  </si>
  <si>
    <t>3bb5defaad7f86933bfeb8206e7fec2f</t>
  </si>
  <si>
    <t>da45ed7134267a76c54a84a380e2c82c</t>
  </si>
  <si>
    <t>dc6371f16b20fd4b05773f1e2f3e0fdc</t>
  </si>
  <si>
    <t>f92e87039b887a9efeda42fd36d26a3d</t>
  </si>
  <si>
    <t>339f1a04212c2af00981690144ff801e</t>
  </si>
  <si>
    <t>12c4afacbd981e3efa531d5d01e48022</t>
  </si>
  <si>
    <t>3499c4b6d2a0ef63a00d1ebd6b13eac9</t>
  </si>
  <si>
    <t>1acab08174821dcac2ac6ed705c423ba</t>
  </si>
  <si>
    <t>06764d93d800e4b46d1e0e9183dcf1cd</t>
  </si>
  <si>
    <t>fca87b5f3bfc20aebd828b9eb47ed10b</t>
  </si>
  <si>
    <t>b81daa67072c4d0e22584ee3d4a69e42</t>
  </si>
  <si>
    <t>5aff7191d52eb7c1e51263ec29f70a69</t>
  </si>
  <si>
    <t>126d7502eb295e916c6bae5fd65d9af8</t>
  </si>
  <si>
    <t>6402fd04fa64b9da9b595d77dd1d1623</t>
  </si>
  <si>
    <t>a7ce8f9a28263c91ea2dee8ff422475f</t>
  </si>
  <si>
    <t>ddb90769614015b36470b73762355981</t>
  </si>
  <si>
    <t>0d5d65e32b2afd1af6698adc733768b3</t>
  </si>
  <si>
    <t>53318c6bfbb34d430d988dcc7cc7c47c</t>
  </si>
  <si>
    <t>91fd0023189334d12279e1654daf8d9e</t>
  </si>
  <si>
    <t>45a611ef1e553697b2338a3447c70fd4</t>
  </si>
  <si>
    <t>a8167b0f576504b6b785177a1a95642c</t>
  </si>
  <si>
    <t>aa0a42deb20c713489119690f32e399e</t>
  </si>
  <si>
    <t>d1e087cc268b8300c5b29a7e5746774e</t>
  </si>
  <si>
    <t>5078b6a7968ab0950712ad006bf6e7ea</t>
  </si>
  <si>
    <t>56485877a78a4549e1b8d96758399d1a</t>
  </si>
  <si>
    <t>bfcc4568ecfc45fb5cdb096e7a5100c7</t>
  </si>
  <si>
    <t>334c3b7cf6e9753354de5013b8e4dc58</t>
  </si>
  <si>
    <t>49d28b573aabc4f8d7af955c8d1e7106</t>
  </si>
  <si>
    <t>9fee6a3045695fac9941f87ebb735ad9</t>
  </si>
  <si>
    <t>bfaac37f26f07272afb62578b9d990b1</t>
  </si>
  <si>
    <t>6d5583d4fe96997d459828b98c31bd19</t>
  </si>
  <si>
    <t>86cd1ac85e6cc707b6e15924b2b1b877</t>
  </si>
  <si>
    <t>4a1b4e72c10158de5b2538327249bbcb</t>
  </si>
  <si>
    <t>fcb28f5ab9828f9f709bd3a3ab410ba9</t>
  </si>
  <si>
    <t>2faf68dc784217244f6ca130f9d43501</t>
  </si>
  <si>
    <t>26d0dfe73d771751856d3e157bbc4c38</t>
  </si>
  <si>
    <t>7ae580236c05dfc380a0e138004734b1</t>
  </si>
  <si>
    <t>7b9a2a5fdc89cb56ceeab967c069d425</t>
  </si>
  <si>
    <t>a556d73896b402d7f50327bed86909df</t>
  </si>
  <si>
    <t>8d9976f96f4be5850ea3676c8f8858a9</t>
  </si>
  <si>
    <t>ac680694364e3608b56ad8890e251031</t>
  </si>
  <si>
    <t>f436a38c8e3bc50e220b22f82067233a</t>
  </si>
  <si>
    <t>832654c4a0181da297f4cbef76fc22ed</t>
  </si>
  <si>
    <t>45f389a4a3b1377415e298a7bd6cd841</t>
  </si>
  <si>
    <t>1504be7527a3415a0270d02981f2cd31</t>
  </si>
  <si>
    <t>9d14ef9127a7ab99570942dc21b3c9ab</t>
  </si>
  <si>
    <t>7aeef7f04a8f2872246e1b7733f4eeb4</t>
  </si>
  <si>
    <t>60ad7d9279d477fac706e1b761e0bf82</t>
  </si>
  <si>
    <t>e11e2e09495cee968b48229fc3196e30</t>
  </si>
  <si>
    <t>d874dbc5c4325557f6c227fa76d33424</t>
  </si>
  <si>
    <t>f90400fbca2d8ed5d2d8c5ea6e34e118</t>
  </si>
  <si>
    <t>f3b693f608ce882971e8f14d94dd7095</t>
  </si>
  <si>
    <t>557a8311a6093c0ac80a6ea3db9ee0b7</t>
  </si>
  <si>
    <t>8419fcfdc9dce2ab8e2703ed4eaee361</t>
  </si>
  <si>
    <t>7209207207cfd61cb1f0179266afb84f</t>
  </si>
  <si>
    <t>a825828d634138d6d6d6c6a5e4384940</t>
  </si>
  <si>
    <t>5822415bfd7454cc9f19b681872751e0</t>
  </si>
  <si>
    <t>f815979aead8f28abe22e3724e39681a</t>
  </si>
  <si>
    <t>42bf8a70ec2a7f888ccb2d46bda7f464</t>
  </si>
  <si>
    <t>afed6fb650798baab364ff261a73d4e7</t>
  </si>
  <si>
    <t>9ddd4555b3f7860b364f761abeee28d7</t>
  </si>
  <si>
    <t>fb93b956eb50e9c315270b6402440143</t>
  </si>
  <si>
    <t>a576883cc4c75092b7c8c2c2644ce3d5</t>
  </si>
  <si>
    <t>e1182d0013000176e4503cb0f5a4461e</t>
  </si>
  <si>
    <t>e1736bcd5acf9b58c862b3feff4bb426</t>
  </si>
  <si>
    <t>0d13fa1864e8562932226c7dae2f42a3</t>
  </si>
  <si>
    <t>11c92aabf2f2553b537c58213636fbac</t>
  </si>
  <si>
    <t>6a5ef3ea3c8c5eaba97c468245ca6cdf</t>
  </si>
  <si>
    <t>2ff2f63b82f386e0f7fb96ef22c94009</t>
  </si>
  <si>
    <t>da337f399b40523620eaf13b908ddf5a</t>
  </si>
  <si>
    <t>d7c88c86156038c59df4a1b81b4f65e0</t>
  </si>
  <si>
    <t>54ec5104752825f1e389e06535c9c56f</t>
  </si>
  <si>
    <t>d7f3b1b7a20a9fc4067d3205af0c7f80</t>
  </si>
  <si>
    <t>00d6d1c79aca3468451b3b5097b715ef</t>
  </si>
  <si>
    <t>f45f43bcaadb4f75106dd4b9217ebb03</t>
  </si>
  <si>
    <t>72405242cdfd3797e8618a3df684ff17</t>
  </si>
  <si>
    <t>c4e8f9f39a162f06719f997ea7d30fc9</t>
  </si>
  <si>
    <t>9a024b39bf3789a0832e6e5c463fbe6b</t>
  </si>
  <si>
    <t>ed321ed3551950f70aefef2cd5a3f31a</t>
  </si>
  <si>
    <t>a981826ec52fc4a193def79438ab1392</t>
  </si>
  <si>
    <t>0fae05cd4a840fac2e1bb5a57821c1f5</t>
  </si>
  <si>
    <t>b9455128784a324432aecb5d2c1c9103</t>
  </si>
  <si>
    <t>21fe93629ae8d944190ffcf7924fe5e1</t>
  </si>
  <si>
    <t>87603bb206828015d4f5a3722dcc7c8c</t>
  </si>
  <si>
    <t>edc98157ef524b4a937966e63cb6a667</t>
  </si>
  <si>
    <t>e478e247cd2b6188f62653411a136170</t>
  </si>
  <si>
    <t>02515482adfd758b046fce2f7aa0ef79</t>
  </si>
  <si>
    <t>1573c16f8e7ebf383bd7de285a2227e8</t>
  </si>
  <si>
    <t>302f073bade805349d186e6becb1ef11</t>
  </si>
  <si>
    <t>de3c44a7f0deb64f4f06d16e1cf9a17c</t>
  </si>
  <si>
    <t>9f49347f3c790bbeb59995ba42fe6341</t>
  </si>
  <si>
    <t>6b7a88d417437598393e8a5e6258fb16</t>
  </si>
  <si>
    <t>9013b2e33b28e9ad59de1c76a287e210</t>
  </si>
  <si>
    <t>e8beaf0b56892ba2c569c9ac5fd6e2a9</t>
  </si>
  <si>
    <t>8d74d64b5ab51d4ca148fdc80b8ddcb6</t>
  </si>
  <si>
    <t>b4324e51818ba57e30f602cb187c3d75</t>
  </si>
  <si>
    <t>2b0d45b74bf4b3ef2d8e3495871db7e3</t>
  </si>
  <si>
    <t>4c0f94b1a7db9b38ba7d8f2151b24fce</t>
  </si>
  <si>
    <t>e70ab98a5b2ebdb2c6523d043e4756aa</t>
  </si>
  <si>
    <t>97b43dc25dbd6cea833a002a977278e4</t>
  </si>
  <si>
    <t>f44734820ff8f1003cda456b3191a42c</t>
  </si>
  <si>
    <t>927a053f3837e4e3277116cfb58115e2</t>
  </si>
  <si>
    <t>b3f44d11929c2b358408e69305754f1e</t>
  </si>
  <si>
    <t>6bd328cb7771c6c4e9336568623bc24d</t>
  </si>
  <si>
    <t>2a38b34f05ac5c5d6ffcea38394b1d8e</t>
  </si>
  <si>
    <t>85b1ead67309e2c77af44a0a80efad9f</t>
  </si>
  <si>
    <t>105d6778819895b40b0d328f021ec445</t>
  </si>
  <si>
    <t>cae559a97bdf3dadf2d643a0bb0bc86a</t>
  </si>
  <si>
    <t>7b2b49a8ba0e6d9b0a0f297937f7a9ee</t>
  </si>
  <si>
    <t>89f4de7128f96d82fc3a5c7078f04307</t>
  </si>
  <si>
    <t>137495fd440270599899f2fef3bd7f1f</t>
  </si>
  <si>
    <t>fa75c6c3332c2493fbfe24b0cf07d6f6</t>
  </si>
  <si>
    <t>eb871683a5deae8f9497f736645dfb3c</t>
  </si>
  <si>
    <t>145491e30be839afc8e558d6ca29098b</t>
  </si>
  <si>
    <t>c4b38af5d404ae8da6c0d2fe9e43d072</t>
  </si>
  <si>
    <t>ddc6ae135539702ea8a7fc4e6ca1a10a</t>
  </si>
  <si>
    <t>1d2ac791b2225275059cbe29fae1b574</t>
  </si>
  <si>
    <t>cd74bcd9500af98cf48f7a9454ee0e91</t>
  </si>
  <si>
    <t>2ca149093c0d70c719a24d769216ae73</t>
  </si>
  <si>
    <t>1e77a23e78e1f226769cb5b3ae215a07</t>
  </si>
  <si>
    <t>c012d32311cd29575e64ac74ecec035b</t>
  </si>
  <si>
    <t>9f4a804493678f083b3a4d9e54806124</t>
  </si>
  <si>
    <t>36ad4359bf4bbe6a69e6b702d45c9536</t>
  </si>
  <si>
    <t>8ee414b8c9507c38c25e1712ea5f2173</t>
  </si>
  <si>
    <t>94ee32c61a26a9ca40f6d07b8dd734b4</t>
  </si>
  <si>
    <t>29b8721c4de2156b56a63acad201ecca</t>
  </si>
  <si>
    <t>c54c6eb1c27a6ba822282f6f1b747198</t>
  </si>
  <si>
    <t>7c9efa3b06c32fd871b6e120084a28a0</t>
  </si>
  <si>
    <t>7a738aef0f5c2879d9b29c4b50c7ae0e</t>
  </si>
  <si>
    <t>2cdf981efe1705e22ff4ee970a993fe7</t>
  </si>
  <si>
    <t>32eea58b3f8de1271032f30dc5c9ba96</t>
  </si>
  <si>
    <t>364aedd57cf0476ef87deb36d09f3833</t>
  </si>
  <si>
    <t>13ae3450187e1a7287c9e0145fc3583e</t>
  </si>
  <si>
    <t>6c52f75d53fa11b5f76d7dbccb47895b</t>
  </si>
  <si>
    <t>120917d52d72ccc7144bd9e7e5a98b51</t>
  </si>
  <si>
    <t>43e009f70fe5d6775c296fd37af6a5da</t>
  </si>
  <si>
    <t>9ce5472397590f2cbc41421a1999f3ae</t>
  </si>
  <si>
    <t>4c4b2bdc6c656d915d11b1b16faf3b69</t>
  </si>
  <si>
    <t>fc0649c55f4bbc1b8bac7c38baa214c9</t>
  </si>
  <si>
    <t>95725504e243b34d3b2183cfbe27f263</t>
  </si>
  <si>
    <t>9d395008488262c844cd762d02034849</t>
  </si>
  <si>
    <t>bff2a33b4637a4c86deb9b8d0cfb8ef2</t>
  </si>
  <si>
    <t>13ae7701bf74f2a78abfeb93dc3c8ab3</t>
  </si>
  <si>
    <t>09b93ee733af9b26583476d72077b652</t>
  </si>
  <si>
    <t>263994568bd3e52289ca79bccf631110</t>
  </si>
  <si>
    <t>2291b556c25b08b5cf5325e96168d3ec</t>
  </si>
  <si>
    <t>b7595576738f0ae1a81b50604b73a946</t>
  </si>
  <si>
    <t>eddb1470ca43cdd109e0a6de42cf99a4</t>
  </si>
  <si>
    <t>887977d6a1078620a9eaae9938a0885b</t>
  </si>
  <si>
    <t>ab5a1aeaf2c87812deb9ff6a4f4485cc</t>
  </si>
  <si>
    <t>db91b963bbe6de19b2f2af9526e4b2dd</t>
  </si>
  <si>
    <t>0413459cf19521bc1d0edea5804ac956</t>
  </si>
  <si>
    <t>1fd3f83eae67ee915e9fb722c7668c83</t>
  </si>
  <si>
    <t>00c6f952170144581f8656ad1b0d3f92</t>
  </si>
  <si>
    <t>8e8f210bb2200ee467971941a8ed264c</t>
  </si>
  <si>
    <t>0f062b80623afd3113b3841b32834dfa</t>
  </si>
  <si>
    <t>cca40e8c22c4edc243facc6acf723ad7</t>
  </si>
  <si>
    <t>07667b313871ac681578985cc391b937</t>
  </si>
  <si>
    <t>53e48c614de0744937b96ce3eeab1e5a</t>
  </si>
  <si>
    <t>84842f840c07b60ce0bb9cf3f296358f</t>
  </si>
  <si>
    <t>b3329ce4c598632162090148a469f64b</t>
  </si>
  <si>
    <t>9dde39a06b27acb61a7aedbaecc8b7c0</t>
  </si>
  <si>
    <t>e87504eb7aff8b2a27e747e09988e1f9</t>
  </si>
  <si>
    <t>d52db7074ae4d1ada673780e1f815a27</t>
  </si>
  <si>
    <t>c94ee71ecfd4b6e78d1ccd719b754cf3</t>
  </si>
  <si>
    <t>fc4ce1347a9de2116e33460d1f434942</t>
  </si>
  <si>
    <t>fb38a0e00a7f165e1d25b20248dd2ecc</t>
  </si>
  <si>
    <t>7bfc4b00fd3b6a32f9d19f764845a129</t>
  </si>
  <si>
    <t>f12039c4b2d2d3fada5eb12f8d2cb744</t>
  </si>
  <si>
    <t>787dd89c98a9ab422d3278a928ee49f8</t>
  </si>
  <si>
    <t>4b35dede2ec8420b098a0b00b23a14d9</t>
  </si>
  <si>
    <t>75ebe14874246d1ac6347812cfc2dbf7</t>
  </si>
  <si>
    <t>33713dcd46a159d29fd0b07084a2f146</t>
  </si>
  <si>
    <t>ce1192c9a041c783a860331166e0c145</t>
  </si>
  <si>
    <t>90a7f13258d095a676a9f016836f9b3f</t>
  </si>
  <si>
    <t>ad090855176aea158edf534352ef6037</t>
  </si>
  <si>
    <t>dadf5d44afdf8bf004cb16e33dc76498</t>
  </si>
  <si>
    <t>8e758df57902ee9fd81c5d229cd2d81c</t>
  </si>
  <si>
    <t>ad7d07536905d295ea468338a1d29a9b</t>
  </si>
  <si>
    <t>1fc02ff904d3ba480fd59461e5f4b63e</t>
  </si>
  <si>
    <t>267e9135927b0d4d21671c309c4a7b22</t>
  </si>
  <si>
    <t>661c7bec052f0e6ec63fb9c6cec8a5b5</t>
  </si>
  <si>
    <t>e0c8f283bcfd4ff21b84daedbe5c4a40</t>
  </si>
  <si>
    <t>ad4d51d3bf7fd4e5bf626aa116a9ee96</t>
  </si>
  <si>
    <t>3e2eb4925a1a22da6adab30ed4a09050</t>
  </si>
  <si>
    <t>f09ae352c56d9fd2871ec7205b06b3cb</t>
  </si>
  <si>
    <t>ca9c5598e2d0056da330eaa465e21a81</t>
  </si>
  <si>
    <t>f0322dcf883b49595fccd61bf29046d2</t>
  </si>
  <si>
    <t>1a86901d65984b0741cf4244c3728303</t>
  </si>
  <si>
    <t>f616ecf5fe6a6fc2899e7d97f65649d1</t>
  </si>
  <si>
    <t>5cdfdfbd5ced6803ba0a9e3c13c42617</t>
  </si>
  <si>
    <t>205c0bba2ae1d269010af20be818a389</t>
  </si>
  <si>
    <t>b37390efa78b8823e36daede8070a244</t>
  </si>
  <si>
    <t>526749b31d0eaa3035626784ebcc1e1f</t>
  </si>
  <si>
    <t>1294b95d35491cf4a60b7b438e7ecc44</t>
  </si>
  <si>
    <t>f650624b2d80e599434010106d928560</t>
  </si>
  <si>
    <t>edd6da6eb7c2e15551b8f9d394ea51e2</t>
  </si>
  <si>
    <t>dc53d06277a77737f586565031a3cb3d</t>
  </si>
  <si>
    <t>f739f9319ac3b436d1d1702adc1d2731</t>
  </si>
  <si>
    <t>988a344626f44de6adc3d684ebae64f2</t>
  </si>
  <si>
    <t>9000736821959b102ac167f710b222b4</t>
  </si>
  <si>
    <t>fad0f75aae5a78f6dad6b84e85f1257a</t>
  </si>
  <si>
    <t>e8e51a9f8918361bea2b4559b2c7683f</t>
  </si>
  <si>
    <t>38f8294899b3bcabdfb381cc06e0fd36</t>
  </si>
  <si>
    <t>fd6d4f374e468a0ea5f9126d2b45c167</t>
  </si>
  <si>
    <t>f4a91d998a38e39ee82fc69ea78a7725</t>
  </si>
  <si>
    <t>070ddff0f1c3bf56acf8f0860cb5727d</t>
  </si>
  <si>
    <t>5557163a919b7894829940f63d3c5c0e</t>
  </si>
  <si>
    <t>70a6863c3cbab8e685a5f7545432cf6d</t>
  </si>
  <si>
    <t>cb5a18418a9760646098314bc6b89fe6</t>
  </si>
  <si>
    <t>8d515e981dca847a8fb099d762095c97</t>
  </si>
  <si>
    <t>140a52ceb67c7fed81c2caa28aaedab6</t>
  </si>
  <si>
    <t>0c01de56f790e542c327882305b7c285</t>
  </si>
  <si>
    <t>1f5284be01357145e2943a03f6f2f0df</t>
  </si>
  <si>
    <t>c9f6270fb09b8c2834255778a5b8034d</t>
  </si>
  <si>
    <t>a92221a765ff38a50fccf02e65776414</t>
  </si>
  <si>
    <t>cd006e07ee3a62660d62532b0ffec6cc</t>
  </si>
  <si>
    <t>a53de501b9f8ac1621e638c60adf1c2f</t>
  </si>
  <si>
    <t>6aafdd07cc54721130586f4900092eb6</t>
  </si>
  <si>
    <t>3f00b77894863e18bb868174ae26f800</t>
  </si>
  <si>
    <t>4e8d9b316e7a9754757f2123f5558789</t>
  </si>
  <si>
    <t>378777ad5782f265e4cbd62c2c15a3b3</t>
  </si>
  <si>
    <t>d4fc80ed46be8f2c7b37b20fc0cdcf9a</t>
  </si>
  <si>
    <t>5335b921b583350a3e2510fbf60bc6bf</t>
  </si>
  <si>
    <t>36c11a27869017d1d6aed9b53b1645ca</t>
  </si>
  <si>
    <t>042654b3c66ccba69d9118af98b75502</t>
  </si>
  <si>
    <t>b287eb92cd26651ee8f6c645fc6abb95</t>
  </si>
  <si>
    <t>80fd6c47a77e169bae5df39a61794c82</t>
  </si>
  <si>
    <t>d007b3576fd81ace2956d4c8180046c5</t>
  </si>
  <si>
    <t>2e211bcc8b52645331507f4b136a0728</t>
  </si>
  <si>
    <t>0069dde9604aea9d8d4484edd6c3a6d5</t>
  </si>
  <si>
    <t>776dd1a69ecd208b97e46e74ce7cc8d7</t>
  </si>
  <si>
    <t>07a440a1446e5e85f33ef9b58b53e793</t>
  </si>
  <si>
    <t>5c432c61af139f1646c02622ca391174</t>
  </si>
  <si>
    <t>fc5e34084d2b832b714489206febfbb5</t>
  </si>
  <si>
    <t>dcf577f2580f5191c9973cc447d61581</t>
  </si>
  <si>
    <t>0275701731f1d85d57cf7378b9ec1926</t>
  </si>
  <si>
    <t>0ab477d2d65c200e84fc1286c3d3ba08</t>
  </si>
  <si>
    <t>71fc801cc813ed1f3f04860f2daeab52</t>
  </si>
  <si>
    <t>94a93ce7ccfc293cbc040bf4c767f125</t>
  </si>
  <si>
    <t>b0bbf5d7d03d38bd4109247f0c3d4141</t>
  </si>
  <si>
    <t>7397fbc809612c315b2e93c65c0bbfa4</t>
  </si>
  <si>
    <t>01f35f109145f1224ab6f192d6f682ae</t>
  </si>
  <si>
    <t>a026aac4978a77159d6b826d2fa03c96</t>
  </si>
  <si>
    <t>e780c9b5be503afa1554715cb5096ded</t>
  </si>
  <si>
    <t>8ab73bc904ea311ddd4dbfb53804d12c</t>
  </si>
  <si>
    <t>d129faad86553417ab876eb128c02c51</t>
  </si>
  <si>
    <t>50c36c07c40de07b3b6afc7ffbc9ad6d</t>
  </si>
  <si>
    <t>1e40c08af8f912eae2588618ce74bcd6</t>
  </si>
  <si>
    <t>fb5b4be5f07b5c501db957504e9b8539</t>
  </si>
  <si>
    <t>938f75f26c615d9b173d088be9ec5ddf</t>
  </si>
  <si>
    <t>b57d8d7e0df61a489eb3991f1b0d509c</t>
  </si>
  <si>
    <t>531e27f9f7526bd8d4fadc5cb6b04731</t>
  </si>
  <si>
    <t>a751465af6e49a06f5165c1d42e41081</t>
  </si>
  <si>
    <t>09475736dd8a6de012cbd4d71ffdcb51</t>
  </si>
  <si>
    <t>3073678dd3dc75127082d029fa326e20</t>
  </si>
  <si>
    <t>ce0854093438d3c6bec96281958e81a3</t>
  </si>
  <si>
    <t>0ad4cca062ddcbb6168423dc6acd626d</t>
  </si>
  <si>
    <t>a6f8a999887ef3f4cfc1e8d0289dd005</t>
  </si>
  <si>
    <t>0363ed6ac941965e1121e34ab60dd72c</t>
  </si>
  <si>
    <t>d5af6b7859b60e86cd6c34dc00aeed6c</t>
  </si>
  <si>
    <t>cc6e80c4f070367ad03cf586da6fc7a2</t>
  </si>
  <si>
    <t>c47f4c52cbd785c12ce5b462881448a2</t>
  </si>
  <si>
    <t>fea30bc7a302ceff76c1ea2d4911fb44</t>
  </si>
  <si>
    <t>f655efa591e1701247cc23eff19365af</t>
  </si>
  <si>
    <t>87fb78a77e01136fc463dc803ff3cb6c</t>
  </si>
  <si>
    <t>4d33094e82b2e38a1640e362d76b9dce</t>
  </si>
  <si>
    <t>81dca912e7aeee94b3b54b894a6c869d</t>
  </si>
  <si>
    <t>23d2520d32d72cfe88764deffdaaf502</t>
  </si>
  <si>
    <t>841f5be78fa9586c07aca86528287e37</t>
  </si>
  <si>
    <t>842e1a6e68dfe1bd0625399d6624889d</t>
  </si>
  <si>
    <t>0960467a946f76428c80888ca6e0f2be</t>
  </si>
  <si>
    <t>f6a5764094a7b0664dc527d7e2e962b3</t>
  </si>
  <si>
    <t>4fb079c98b792f6d6d35c6accd39f9a9</t>
  </si>
  <si>
    <t>ec3a4de951deb3f1c126226893aa52eb</t>
  </si>
  <si>
    <t>9117e72ddcca000f6b6000f2f7db32eb</t>
  </si>
  <si>
    <t>a201c23df5aa06dcc27122c011602459</t>
  </si>
  <si>
    <t>e36c76808c356d8fe39d798c4b35d240</t>
  </si>
  <si>
    <t>9a00c047104703c6e6d4be6c7ddf29cd</t>
  </si>
  <si>
    <t>7e970aad6a283bcbfd5bc6db81b60d10</t>
  </si>
  <si>
    <t>f92583655a0d2763eeefa339863f5d97</t>
  </si>
  <si>
    <t>fd9d66c9a2649144cdfd5281af618ff6</t>
  </si>
  <si>
    <t>cababcc0a5e28dffbf2c51e72fcd94da</t>
  </si>
  <si>
    <t>4e975d3817f8719f420c6980a3576133</t>
  </si>
  <si>
    <t>b7bab2727b8d218092f815dd0298cac3</t>
  </si>
  <si>
    <t>f237251c0ff0ee49794c5916bf1c15cf</t>
  </si>
  <si>
    <t>fa73570646a6fb037da2be6263a226be</t>
  </si>
  <si>
    <t>9e21727ec530fb3b832dd7c986c48f7a</t>
  </si>
  <si>
    <t>d23749c9ac4acadec49d1d91ebf28516</t>
  </si>
  <si>
    <t>b2a9002e6c89ec0960dc518c1d427368</t>
  </si>
  <si>
    <t>c99f85008aec74fe7c09b28a99ccda1b</t>
  </si>
  <si>
    <t>04fa6f2c4043ab85678535dd3121c503</t>
  </si>
  <si>
    <t>1c824f3245467b09ec8a09ed7b5af45c</t>
  </si>
  <si>
    <t>ba8cc2660a788d299d97895227955cff</t>
  </si>
  <si>
    <t>da874463cbf253f6f9d2f646eb771ea5</t>
  </si>
  <si>
    <t>b0cd909c26334cc1b39bd45346d5bc5c</t>
  </si>
  <si>
    <t>8a846229c30d6ba6613d0d6b860e1840</t>
  </si>
  <si>
    <t>302fc1fc071059c6fd4edcf27d0e0f9a</t>
  </si>
  <si>
    <t>b80cb8c6312c8cae3ff5673fd5272f55</t>
  </si>
  <si>
    <t>e67bd8918bfa68c3b49c5d6b60deb82e</t>
  </si>
  <si>
    <t>cbef6ffbe71d4c1513563e6fd1b47a4d</t>
  </si>
  <si>
    <t>e8201ce88366fc57cf974ac7f1af9bc7</t>
  </si>
  <si>
    <t>05588c7f45a3ab98e73f2ba30a6d99dc</t>
  </si>
  <si>
    <t>13b3fe235fd757fe1bb7c41a82d4ed04</t>
  </si>
  <si>
    <t>88ffd126e7e1105861b88641827261bd</t>
  </si>
  <si>
    <t>ce2226f17f692cb884457df1b9f48d3f</t>
  </si>
  <si>
    <t>8e2b17462f84b3ef05fa0414fb142844</t>
  </si>
  <si>
    <t>2ef39c213441b2e59226c944cd4bfd97</t>
  </si>
  <si>
    <t>cb153ceb512de6a645516bf7c362ccfc</t>
  </si>
  <si>
    <t>bcb4c0bb9637fb700fe7316d2996f012</t>
  </si>
  <si>
    <t>85a14bf11dcde4344277aa4d4994c24b</t>
  </si>
  <si>
    <t>89b61d2fb466ab77ef40537f5b2adbe1</t>
  </si>
  <si>
    <t>86caace407f8b890dfc72ba86085113e</t>
  </si>
  <si>
    <t>493a7426446b79d4ee6695c00b183606</t>
  </si>
  <si>
    <t>78c8ac5d5d9c41d6b33a32eb7e36e0cd</t>
  </si>
  <si>
    <t>1e32212b4ae277213167142c1b5f92cc</t>
  </si>
  <si>
    <t>b088d0ed163372f36b0e8fa5b7c1701a</t>
  </si>
  <si>
    <t>17c2dd1b6f114c9d5f147eeb52f983ca</t>
  </si>
  <si>
    <t>ca88eb0ed4f21da10d554ffa892d3f6e</t>
  </si>
  <si>
    <t>51895848c04bac9a6f9145b029480bf1</t>
  </si>
  <si>
    <t>a804005b15b459f8d9e44d64366dbe81</t>
  </si>
  <si>
    <t>e5214499a7d4adac0053ebfdeb555848</t>
  </si>
  <si>
    <t>3c2bab064d57697fb5591e17d1742fa3</t>
  </si>
  <si>
    <t>a22cb55efdb0d5a159c7d6717aca2ee6</t>
  </si>
  <si>
    <t>4c082c5dc90a43f8f85d184f64467def</t>
  </si>
  <si>
    <t>1c1a3bb6acf30a167c816551210ecc14</t>
  </si>
  <si>
    <t>d8a1f5c8cd12653460f3f01bf1414b22</t>
  </si>
  <si>
    <t>7e380880833a1cabee8067c18f229843</t>
  </si>
  <si>
    <t>9db9d72c40fdcd9cfb456e2fe3976445</t>
  </si>
  <si>
    <t>c93952251d605ca9c48ce8f205d4b77e</t>
  </si>
  <si>
    <t>74abc8c927d56f35161f23ad16c68970</t>
  </si>
  <si>
    <t>6f66f138faab60ce6a56e790df47e65e</t>
  </si>
  <si>
    <t>727ef2663f2936285cc49605a9c513c9</t>
  </si>
  <si>
    <t>4a043125254e152f2d9131d13eaa216f</t>
  </si>
  <si>
    <t>5bd4462268040380a9fc9c6466b36119</t>
  </si>
  <si>
    <t>d0ce9fe3595717fbc71d4c5bacac6179</t>
  </si>
  <si>
    <t>6f7a82250543e588296a5389eab72bde</t>
  </si>
  <si>
    <t>e755eefb93d32762d09f7b5e332c974f</t>
  </si>
  <si>
    <t>a7b7585df0160957ecd7db5f66d25b6d</t>
  </si>
  <si>
    <t>c8a60439df8b67fdfea34719291a5725</t>
  </si>
  <si>
    <t>fb29325d9bb203919977836f8788ffad</t>
  </si>
  <si>
    <t>48c54f23f99115604c7233d22e8a362a</t>
  </si>
  <si>
    <t>c9ede249ef61e52156fe14c8b7b0f55e</t>
  </si>
  <si>
    <t>9612018b4ad60019df5a111ef9e6a535</t>
  </si>
  <si>
    <t>d6153b4b6f79be5db1335e880ef0c9a2</t>
  </si>
  <si>
    <t>3aa13c03042782e077f1627cd993eb8a</t>
  </si>
  <si>
    <t>f20ee9b1a819123597ae601ebaf6a438</t>
  </si>
  <si>
    <t>c1062afcf83e787a1376ff6a530f84e5</t>
  </si>
  <si>
    <t>d3be2a704b37d7947361ed2b1570035f</t>
  </si>
  <si>
    <t>94074fdfd8ac6fb0f9b3e6bf550a233e</t>
  </si>
  <si>
    <t>0d0a764aff517400a6105ee38d3fb605</t>
  </si>
  <si>
    <t>e887e7319348f9de67be37e5bd537837</t>
  </si>
  <si>
    <t>a8dd368ee5face443085ea79e9c4945c</t>
  </si>
  <si>
    <t>495efb9e9d4247d11244034d457d2351</t>
  </si>
  <si>
    <t>bf7ddbe8897d1c32fdff0cec26ecb49e</t>
  </si>
  <si>
    <t>1d49654a97fdb3d146d58bf7a8a5851c</t>
  </si>
  <si>
    <t>a457ea86aaca334a544d3db5d6d4c47f</t>
  </si>
  <si>
    <t>2cf3fa15e121a59a9f64fb57cc2853e1</t>
  </si>
  <si>
    <t>77d6610dc7bb05cd09b58fa7e19be1dc</t>
  </si>
  <si>
    <t>2971fd6cbdb1fa68e97d75feb486efbf</t>
  </si>
  <si>
    <t>36aaeb674baf65c453a7fd320ffc8bdc</t>
  </si>
  <si>
    <t>38173cec58b09e2d89f926f2e608b3cc</t>
  </si>
  <si>
    <t>26b053a5b7708b91988a4030f83467c9</t>
  </si>
  <si>
    <t>1fce4cc56f1ee1621716d1b7b8c50749</t>
  </si>
  <si>
    <t>98ba0a10dde091521f25d0651d956a74</t>
  </si>
  <si>
    <t>baf449eb040aa8fe3d6fc26f3889c217</t>
  </si>
  <si>
    <t>90f4138ed1928b967963678d043d6be8</t>
  </si>
  <si>
    <t>b0467ac85409fd09e08a8072ca35b0d8</t>
  </si>
  <si>
    <t>68a5d88fc9bc07e2ae11d573de8759c1</t>
  </si>
  <si>
    <t>4dc8a5ea04eb62d7b26d9d5c49dbc94e</t>
  </si>
  <si>
    <t>949b5fbfc9e14f2ec7ca11f8379b7154</t>
  </si>
  <si>
    <t>29ed8bdf472088ca76af09c962b39d93</t>
  </si>
  <si>
    <t>08803651a28a6fad88103ed3ba870709</t>
  </si>
  <si>
    <t>2e1313f0dbec06843155fa0c2132ec57</t>
  </si>
  <si>
    <t>e8a38971e769495ba8c52090a035950e</t>
  </si>
  <si>
    <t>ca89ac46e1556424e8f1e7c8b9906f4e</t>
  </si>
  <si>
    <t>c2cf68d608a5626b37df2023da13b8d6</t>
  </si>
  <si>
    <t>a9e03fb407d8f36c50ae04edb845b5c6</t>
  </si>
  <si>
    <t>2e51ea00085ab9c11fe50aefe2abd854</t>
  </si>
  <si>
    <t>f11a0f84f2eaee55e07f555ff105eafe</t>
  </si>
  <si>
    <t>b20d0dd95d29c9176280a8f744c7e643</t>
  </si>
  <si>
    <t>a75462e9c046f6baba021a33a1bbc7ed</t>
  </si>
  <si>
    <t>43d958b00e6e5681d7190c1c3ddd9533</t>
  </si>
  <si>
    <t>272894b3439021799fc2b413e9aa8ee8</t>
  </si>
  <si>
    <t>cb60e6f3bfdc1db1536a908a9e339120</t>
  </si>
  <si>
    <t>5235d04df6520e331d59ea4e249d4260</t>
  </si>
  <si>
    <t>69e9d049a09f2810f5ce97dfe57e2d3c</t>
  </si>
  <si>
    <t>e6cedc8a273a5496600e5e415d3ea274</t>
  </si>
  <si>
    <t>45f1b3ffe46dab7bfb7f75d409cb1bc3</t>
  </si>
  <si>
    <t>4e5aeab045fc3e9cd1ea18186bb51dac</t>
  </si>
  <si>
    <t>bc98a65e3a20b5ce669f7a931b1933ea</t>
  </si>
  <si>
    <t>5a6dbf103517d26678e4592de5bce3f5</t>
  </si>
  <si>
    <t>677772437232199785f8c408ddf0ce37</t>
  </si>
  <si>
    <t>b3088e216ff4b39aa0d3caac6bc11204</t>
  </si>
  <si>
    <t>b6c963e59e027942c9d9a319e211cdda</t>
  </si>
  <si>
    <t>62dec678336030d21a51ccbe38a5427e</t>
  </si>
  <si>
    <t>145d0abd0ed75346ccf1f21abbd226c8</t>
  </si>
  <si>
    <t>07615c1ccdd1769cf56b3158e6dcb97e</t>
  </si>
  <si>
    <t>dc8fd80f550d6b797d81722f22354fcb</t>
  </si>
  <si>
    <t>15c34042ec0a534be51efa2b2aaaaabe</t>
  </si>
  <si>
    <t>fd43d49484cd58eedcc1b7ccd4f29579</t>
  </si>
  <si>
    <t>c26b1c127c38d65383a0fc2c1766a32a</t>
  </si>
  <si>
    <t>755100d8e069d9019d7d7902a141c1a2</t>
  </si>
  <si>
    <t>1b4c4e0b15af69e07dbf1062d86d0dd7</t>
  </si>
  <si>
    <t>6a2fe94f08c857974c8fdc5356e1a379</t>
  </si>
  <si>
    <t>0598cdc859ec13157e842fe4b7b19c59</t>
  </si>
  <si>
    <t>36ae9f2daee5dcfe3e46b8604e7d0aed</t>
  </si>
  <si>
    <t>208b3c38c056ac09ec083213897d87bf</t>
  </si>
  <si>
    <t>0b745ffec17c5cb03e7bf8927d453bfd</t>
  </si>
  <si>
    <t>cdfea4523f1c84e4871772581ed7850c</t>
  </si>
  <si>
    <t>c43334f869271a78b260ffbee0762041</t>
  </si>
  <si>
    <t>6371d71afc41457c2a6b8aab79a0ca4e</t>
  </si>
  <si>
    <t>d0ec7191780e6728ba93b0be9dcb9cfc</t>
  </si>
  <si>
    <t>0ea2946cd0c264e490f0371f1460bf85</t>
  </si>
  <si>
    <t>94d19681c01a5bd7c0ef8ef12c326962</t>
  </si>
  <si>
    <t>67d66b06c3cd30541d3360a0d2d132ed</t>
  </si>
  <si>
    <t>0f77928a98cc9b11e9d1ff1673f6c064</t>
  </si>
  <si>
    <t>aadb21110bab95d85849290962f70064</t>
  </si>
  <si>
    <t>9d637565c30fceaca5659d766e6bd623</t>
  </si>
  <si>
    <t>a49eaffaa7b0d0cc9f95b1298512b93e</t>
  </si>
  <si>
    <t>ffbd70c478c98533b73106c23aff5c24</t>
  </si>
  <si>
    <t>e871c040da7598e3a9ca6c48a0bf26ab</t>
  </si>
  <si>
    <t>7363ce030325ccaaf6fb3e2b8d3b66fe</t>
  </si>
  <si>
    <t>3b29042a7551558699227c0e0b212787</t>
  </si>
  <si>
    <t>7500e99eeae5530ad780b5fa4082b61f</t>
  </si>
  <si>
    <t>76ea6973a587806b40c074fa3321e90c</t>
  </si>
  <si>
    <t>968781edfd8a66a5d67e93f4a053dbf5</t>
  </si>
  <si>
    <t>c1b6426900b803b770a7875cc0a4f71a</t>
  </si>
  <si>
    <t>f016a561800bdbb0abf3aa0f9f28f0cd</t>
  </si>
  <si>
    <t>8ee01ae8eaa3a93a3834ecf179ae4b1e</t>
  </si>
  <si>
    <t>a5cdce2b84deb95f89d7b63d2ccb4571</t>
  </si>
  <si>
    <t>8d1d28cde683050ccbc6dd3ddb2209b9</t>
  </si>
  <si>
    <t>7fee1ae9673c3e1b8b1c6a5451161d41</t>
  </si>
  <si>
    <t>24596aabc41019873671e60d6a949e35</t>
  </si>
  <si>
    <t>9c413c918e722b56016bf11fe3966029</t>
  </si>
  <si>
    <t>656c8aa975955f7b8a59f7d5d157003f</t>
  </si>
  <si>
    <t>7bccf7b1c383cd58f6ba7798a07470ad</t>
  </si>
  <si>
    <t>167624ca6771e7a7570910ab792d9eeb</t>
  </si>
  <si>
    <t>03d3566502efa9cc9971ecbbae30fd24</t>
  </si>
  <si>
    <t>e3d89183e0055b9263589d0de53e1290</t>
  </si>
  <si>
    <t>6b7dad36d50ee5e622254c39b3ccc4fc</t>
  </si>
  <si>
    <t>7675c26f1be2cf8db72be37d2f0372dd</t>
  </si>
  <si>
    <t>3601049863eb3c37cfb92cf4309b51bb</t>
  </si>
  <si>
    <t>dc53324fd6ad59e0b6694828ee07b31d</t>
  </si>
  <si>
    <t>de528b43d7bfee820f479d7e362fa430</t>
  </si>
  <si>
    <t>2dd5eb14bb6ba451b3e1778d88a47e1e</t>
  </si>
  <si>
    <t>5581c2e92fa8beb766598cd9ad6f08b6</t>
  </si>
  <si>
    <t>a756d19dea3452e2cc51264e9afc68ba</t>
  </si>
  <si>
    <t>0068c7ffed658660693fb52804669a60</t>
  </si>
  <si>
    <t>80fc92675860f31c834260ec3baf09e6</t>
  </si>
  <si>
    <t>9bdd0c509112ef3ff74ca57a0c334a7e</t>
  </si>
  <si>
    <t>9bee414dd6f09e5bcd592348eb0b5b8a</t>
  </si>
  <si>
    <t>794007a010b1df369a4a14a12baca55f</t>
  </si>
  <si>
    <t>ae345871e27b06361504fa8c69f0b5cc</t>
  </si>
  <si>
    <t>5653f638c1c2bea6848eefeeec5834df</t>
  </si>
  <si>
    <t>01401d09090bd8bc3df5c1fd9cb00300</t>
  </si>
  <si>
    <t>22420dfa96ccd35994807c9c99d6d6d9</t>
  </si>
  <si>
    <t>17777e22d80e3c9ff60f6bbf5e63c76d</t>
  </si>
  <si>
    <t>7c9ddbac5a9b35ff925bc863c32fcd2e</t>
  </si>
  <si>
    <t>767c1d5c4e2b9cd965985ab5552d173a</t>
  </si>
  <si>
    <t>63090097f4587202c1e73db8123a1763</t>
  </si>
  <si>
    <t>107a7d5b091bcc4fe8e0d3596d5c2422</t>
  </si>
  <si>
    <t>e20f19823222c01b5b5e5ba03434e07d</t>
  </si>
  <si>
    <t>6a1bbdd9f012354725d59ea601edf483</t>
  </si>
  <si>
    <t>574c3b590cb66d22f74439664cfe8d6c</t>
  </si>
  <si>
    <t>a5c7ecd84ccea7d309172d5c247856e9</t>
  </si>
  <si>
    <t>7766b9ef49c8b99f42cadc89b878d6b4</t>
  </si>
  <si>
    <t>2d134508e03a4b5dadaa48417d41f068</t>
  </si>
  <si>
    <t>962f1c4bd36dbd8f729e0dc3794cdaec</t>
  </si>
  <si>
    <t>7db56fbbab0026af896dfeaa58a71db5</t>
  </si>
  <si>
    <t>02d66034274c57885dfbf963ae0208cf</t>
  </si>
  <si>
    <t>cda313bcc8be829e7bb98d2c4ce5e836</t>
  </si>
  <si>
    <t>4ef7c5688209f9ba810b3f0099e01d64</t>
  </si>
  <si>
    <t>f493e40ffdb37467f78d32814d30bc68</t>
  </si>
  <si>
    <t>7cab2073cb856c03521ed78ece8fc9c1</t>
  </si>
  <si>
    <t>378ac130049adae2bd62c48cc100dfe9</t>
  </si>
  <si>
    <t>69830560f29d465a4014324024b872d9</t>
  </si>
  <si>
    <t>7b225cca5ff88274d21eff205a350f51</t>
  </si>
  <si>
    <t>e42639b63001a092acce87b4f55f426f</t>
  </si>
  <si>
    <t>ff04633652142ae801a6230f03cb946d</t>
  </si>
  <si>
    <t>343d80fb805c0c6776e714ce143cdcdf</t>
  </si>
  <si>
    <t>214c3c4754d272ebd6cb613489dce011</t>
  </si>
  <si>
    <t>fb1ff7937e5b5f429fba6b6d255a99f4</t>
  </si>
  <si>
    <t>24cce846ded73bde7f972df3d9b95364</t>
  </si>
  <si>
    <t>c0f8b51a9b5effabbbcd41f9549cc9a8</t>
  </si>
  <si>
    <t>628a25e1b447222f35a57ae375eaf946</t>
  </si>
  <si>
    <t>e64638b21f18372bf952f2b2e8f345b7</t>
  </si>
  <si>
    <t>7b38f8538ad5a6ac843087fd7161a79a</t>
  </si>
  <si>
    <t>c212ecbc03f81b54a1adde6d0cd0024e</t>
  </si>
  <si>
    <t>1b5e394aa44a0842baa3e32dfbd5154b</t>
  </si>
  <si>
    <t>e96ca847ca6db79fb3b79612ca0b8853</t>
  </si>
  <si>
    <t>77642ce7c04274958eb64fe17dd3add4</t>
  </si>
  <si>
    <t>d34e51b26dcf95d1c05c6e34bb8749aa</t>
  </si>
  <si>
    <t>6b8e014cd5a782af39df7b7b546c2077</t>
  </si>
  <si>
    <t>a263ad10b2a8c7ff2b6ac85bace71495</t>
  </si>
  <si>
    <t>f78270f2f3c1b0995f20cba86ccdee4a</t>
  </si>
  <si>
    <t>826a990cc807b2e8ed49b1aa2aa2c110</t>
  </si>
  <si>
    <t>9635b148c05c24381375cc3d1e4f506d</t>
  </si>
  <si>
    <t>903473cd7fc085f32af246b486b939ad</t>
  </si>
  <si>
    <t>028c748f35c7905ce9346d9302cb2c55</t>
  </si>
  <si>
    <t>94c0045dceab1ed0c6d11b5b80e09eec</t>
  </si>
  <si>
    <t>09528f97ab9a3eaaf448c1fc06056a31</t>
  </si>
  <si>
    <t>ea9672bc613ce9a7b98d115a02292db5</t>
  </si>
  <si>
    <t>13a0eef1f8dce33cb11e3c469356c668</t>
  </si>
  <si>
    <t>617319e2b3b818c5d930db42a1638827</t>
  </si>
  <si>
    <t>f64b059d7d77b81452c520f15f93775b</t>
  </si>
  <si>
    <t>0cbc6ced80a3b5786aa50ea940165444</t>
  </si>
  <si>
    <t>e2eab509117b2cceab07c93441b6bad1</t>
  </si>
  <si>
    <t>e8f5cc04e0e9f315c1c2d20c2a6997d0</t>
  </si>
  <si>
    <t>f09a7e85ca5436be3963d90016e8e4e7</t>
  </si>
  <si>
    <t>c571adfc53a64ba377527f412d2ea1be</t>
  </si>
  <si>
    <t>f9a98e02886ec286499505198cd86c98</t>
  </si>
  <si>
    <t>82050602aeee973d3a747a90dcff0f39</t>
  </si>
  <si>
    <t>5df2fe45f8c8c5f049749bf04ed2f0a5</t>
  </si>
  <si>
    <t>8f0a9cde8a5e9e21ca6c00c77a58bdb6</t>
  </si>
  <si>
    <t>8586f8baea2d054990a7e308253fc330</t>
  </si>
  <si>
    <t>d3deda9a18f0b066f0df3e5c4ab0c175</t>
  </si>
  <si>
    <t>9012d79dde5d04a1a22b7718745e67a5</t>
  </si>
  <si>
    <t>ab127514f8a9b25ec9cbfe21e345fdd1</t>
  </si>
  <si>
    <t>e1c905b7dffed47951f09883fbe4b846</t>
  </si>
  <si>
    <t>a4af0695189872f17046b88638fb09e4</t>
  </si>
  <si>
    <t>3ba3f3f8cd0050e690945bea7bf70920</t>
  </si>
  <si>
    <t>4646ef681138571d859575de8f50f5db</t>
  </si>
  <si>
    <t>d27c0938abb50f94811864ef7bc47737</t>
  </si>
  <si>
    <t>12e3bd10996be3f3aa326d66afb667d0</t>
  </si>
  <si>
    <t>e2d486b03658f2f8240daf871c5655f6</t>
  </si>
  <si>
    <t>4171cc9122ce3067d6e7103ec94c801f</t>
  </si>
  <si>
    <t>2a6ea907d3e59255f7d47de711613a01</t>
  </si>
  <si>
    <t>eec266c89c20049075893fcae01bb264</t>
  </si>
  <si>
    <t>3249a5e28c4bb8ec1b462528dd1ec0c3</t>
  </si>
  <si>
    <t>1e062d703637532bb47d51db2c29dea3</t>
  </si>
  <si>
    <t>7d45dc3ad77a0a959f8ea0af58a9467e</t>
  </si>
  <si>
    <t>508e6fbd292df28a882d00f948eb8911</t>
  </si>
  <si>
    <t>cfb185ea809e6c6dcf8be7c2dc57f2d9</t>
  </si>
  <si>
    <t>fa7562a5492f5c4aa1e7eb96f3a28adf</t>
  </si>
  <si>
    <t>d414c1940270ff35f9e216ecb223541d</t>
  </si>
  <si>
    <t>d5ae3026292c2156dda7eaa1878eb29c</t>
  </si>
  <si>
    <t>0d5d4bf9c3dbc21e065739d547725f0a</t>
  </si>
  <si>
    <t>889f557c47a27c4167e301f80c22bec8</t>
  </si>
  <si>
    <t>97bc2c75a05fa8c4fbe1e27f8a3e4659</t>
  </si>
  <si>
    <t>ef620c273945318c4bfc503ee92cf9d7</t>
  </si>
  <si>
    <t>4fd91f87f4f189bb59515605d2d55888</t>
  </si>
  <si>
    <t>a30fb3cc838838b9890d3874159f6e4b</t>
  </si>
  <si>
    <t>9a2f3b38587e3e14761313943a6eaeaf</t>
  </si>
  <si>
    <t>f6c83bd1dcfdc3f09ecb43b28c664242</t>
  </si>
  <si>
    <t>1e8368dc78369c1e1f5bf88a0aecde16</t>
  </si>
  <si>
    <t>4423edc51835cd1e4137584fd35a3be9</t>
  </si>
  <si>
    <t>e8f4c9c9d1fbcd519de630d06c80c724</t>
  </si>
  <si>
    <t>cb7bee29f0a31f601185a890b0d26098</t>
  </si>
  <si>
    <t>c75b0e34673b9e92a1d1874bb8a06cc1</t>
  </si>
  <si>
    <t>962c03bc9f7f00c5d5e4d1f671b32234</t>
  </si>
  <si>
    <t>9accb659b2da5ce0af5c3f81d9588c3c</t>
  </si>
  <si>
    <t>93b8ec5ac1e469185ede0494257cef76</t>
  </si>
  <si>
    <t>a049d39017da16420191851a2176490f</t>
  </si>
  <si>
    <t>f4a595911a0de6c58c2c27c93ede5f14</t>
  </si>
  <si>
    <t>3039203fbb20d00707f945acf0941036</t>
  </si>
  <si>
    <t>339fd0430b8bf7c2cf0e26cc5e3ddfc8</t>
  </si>
  <si>
    <t>076091d72551a1b8fa45fa6beeab9b7a</t>
  </si>
  <si>
    <t>0d5a827b85d8226fcaa5d0d82f53b7e1</t>
  </si>
  <si>
    <t>d99f8b23221d8e08b8478ea84cf83630</t>
  </si>
  <si>
    <t>7aa5f67c16594ec7785be66d7adf6b07</t>
  </si>
  <si>
    <t>afc2bfa8c5c8dbad5700d30a5f98c83d</t>
  </si>
  <si>
    <t>72e1ac68613cb57acb0eeed6561cc5af</t>
  </si>
  <si>
    <t>cb37b6063f7cb9287249842f03771e2b</t>
  </si>
  <si>
    <t>ee46905f0596f4eea8e3fcd9506cbe5a</t>
  </si>
  <si>
    <t>3b2a0adff7256b78518331915843bc16</t>
  </si>
  <si>
    <t>1627bf1f9b20d765e5ea61bc070468f9</t>
  </si>
  <si>
    <t>bfecfc647988431bbf5be4f637598fb8</t>
  </si>
  <si>
    <t>dcdfdb7d1b7c8ef4dbda733501409184</t>
  </si>
  <si>
    <t>63e54f5f77c6a5d5831c6bf4f83c04a3</t>
  </si>
  <si>
    <t>7e7baf9f79bbe52be3c207f9a66531ca</t>
  </si>
  <si>
    <t>fe7e29c7421f25c2e72d49dc71ecadcd</t>
  </si>
  <si>
    <t>c4e96980b87cd3f7c84d269890435910</t>
  </si>
  <si>
    <t>36c6b9680ada3ca18eb6d406ec83b496</t>
  </si>
  <si>
    <t>c7cf10b1b9e4d7cfc804223255251cb3</t>
  </si>
  <si>
    <t>33daf31e142bf5f61fea7889f759a2b2</t>
  </si>
  <si>
    <t>cee395af13f635c66466a4a6bceaa879</t>
  </si>
  <si>
    <t>b118182e1904e15d2ef2774ec6db7539</t>
  </si>
  <si>
    <t>b9514cb0239ace7b993f91a1b8567bc5</t>
  </si>
  <si>
    <t>35c4a88d1cb54694c642f58ade7d3b33</t>
  </si>
  <si>
    <t>083b61a0c3574803f58d8e363d0a9d8d</t>
  </si>
  <si>
    <t>932297545b16c11c0f820ddd65c20cf3</t>
  </si>
  <si>
    <t>b1b28c5f44b2666231ccd3828b68a1c4</t>
  </si>
  <si>
    <t>399ecda304a3038ca2776b8f5703ff0e</t>
  </si>
  <si>
    <t>7f0e4adbdf06542edb9ec93d785fb936</t>
  </si>
  <si>
    <t>29b5499e17b371a35cadfa554744fc9e</t>
  </si>
  <si>
    <t>687adde02def7b745ea2d83838a78d1f</t>
  </si>
  <si>
    <t>f9944c39862e677eea9c02d8ff842f92</t>
  </si>
  <si>
    <t>5f4c8696e0c4eb75fa747349ad3498d8</t>
  </si>
  <si>
    <t>8218c614906136df19bf6532f8be37d2</t>
  </si>
  <si>
    <t>627e2bb64c24db9d11fa940d4a536bcd</t>
  </si>
  <si>
    <t>f00f051cd045fce8d176d8010dd2e407</t>
  </si>
  <si>
    <t>7df5576de7e57f41f301eac99eeced2e</t>
  </si>
  <si>
    <t>37e1bfb93a0017c1db3eea18c77a24c4</t>
  </si>
  <si>
    <t>5df871924a997d7aab83197847066335</t>
  </si>
  <si>
    <t>00aec28d3fb646a3f2c791d8e65e8611</t>
  </si>
  <si>
    <t>65ce9372879ec575c37db49786b355c0</t>
  </si>
  <si>
    <t>ebdf304cf1aab9875e53f1006b3ee333</t>
  </si>
  <si>
    <t>6ca010c09eaafd5d208627925c932297</t>
  </si>
  <si>
    <t>f066f98b7fc81b7dc44db2409939889a</t>
  </si>
  <si>
    <t>fdceddbb977fe3f0360484b86841c03e</t>
  </si>
  <si>
    <t>3168dbb6a73d4eb53fe6bdc6bce93c23</t>
  </si>
  <si>
    <t>e581b3c3edbf5600af8a5c17f2a1bda5</t>
  </si>
  <si>
    <t>ecb7fe4dfb1de89820e5a9a2538c35c4</t>
  </si>
  <si>
    <t>a4ed6990caeffe13b430338e0e960f41</t>
  </si>
  <si>
    <t>ddad368d3a2313a9e113578d1c7c911e</t>
  </si>
  <si>
    <t>caf817f7c49113ec03d558a965c7b3cd</t>
  </si>
  <si>
    <t>9cbe38e711fde7ffa9650d6bebdda794</t>
  </si>
  <si>
    <t>58af19e8ab6a9461191be6972a335a02</t>
  </si>
  <si>
    <t>81f156b63b93e36ecf424c66acdb30bf</t>
  </si>
  <si>
    <t>7b991adcf35c3b3222cd336f1463af33</t>
  </si>
  <si>
    <t>d2fe4e1ac7109c1788d5aee80eb7d12d</t>
  </si>
  <si>
    <t>21c6b0e096e98c10c1f361d6a385c928</t>
  </si>
  <si>
    <t>f29700359457e019002cd16e0931d0fa</t>
  </si>
  <si>
    <t>1c257129b1d88edd4ac92b18c7192cc6</t>
  </si>
  <si>
    <t>8381cd37405da5a5d142d9ff361bfd36</t>
  </si>
  <si>
    <t>d3177a55a9fe8408685adbbc312f9517</t>
  </si>
  <si>
    <t>b34e1094e47f44cc694198697fef55c6</t>
  </si>
  <si>
    <t>eb0352d2e57e64e9a1225ee75fcb2fbd</t>
  </si>
  <si>
    <t>e945cfe77a3df41756a3bd0ffffe04f5</t>
  </si>
  <si>
    <t>e1632896a0e5a32fd343c41d14670ff5</t>
  </si>
  <si>
    <t>06840de0bfec08c609033593364c5c0e</t>
  </si>
  <si>
    <t>3c2e012508daeefaf38b51a85547dc56</t>
  </si>
  <si>
    <t>ba5ba911d783b35564305d14db589be0</t>
  </si>
  <si>
    <t>e29f6e12936e96b785b2939617322b07</t>
  </si>
  <si>
    <t>8c4091318ba4e878a3bca08141f4c109</t>
  </si>
  <si>
    <t>106b433448193b8cb0059bcf99a269c0</t>
  </si>
  <si>
    <t>d1998dab9cf1db47fd209c41d31091aa</t>
  </si>
  <si>
    <t>e4f03869998b152621f163fcebb85428</t>
  </si>
  <si>
    <t>93e9a8a41e6d00b0f8f44a57ba649d96</t>
  </si>
  <si>
    <t>89f4217acc2b5360b27bffb8a69c6a28</t>
  </si>
  <si>
    <t>f897e8b033f8adc8c5a85078190c3436</t>
  </si>
  <si>
    <t>d0ecdeb025c0c763b0cd686ec6e2d07d</t>
  </si>
  <si>
    <t>76d720f73c970b4a7dd5e8e21d30e3cf</t>
  </si>
  <si>
    <t>8786ecf9e3cb7a0bc0da1d3a32c4e015</t>
  </si>
  <si>
    <t>f9d92356767e03e4df3ed3cb6bc526ae</t>
  </si>
  <si>
    <t>a31bcb0805584724b8eedf0f3eece971</t>
  </si>
  <si>
    <t>f82a8ab3b368d4446afc6b7638873820</t>
  </si>
  <si>
    <t>db6623daaa843295e1647124d389158b</t>
  </si>
  <si>
    <t>2f55ddcac19c29e9923a4fde3abc3f28</t>
  </si>
  <si>
    <t>f7e1fd5c674713121bcf6ca2dfa548fc</t>
  </si>
  <si>
    <t>087889ece3763d1ee07fe91314119cf7</t>
  </si>
  <si>
    <t>8e12aae53ad179b2e32999dadfb5fcea</t>
  </si>
  <si>
    <t>6af7c9d89ae16c7d10142db29207bb48</t>
  </si>
  <si>
    <t>219d08c2e1410593f70c380d80039cf9</t>
  </si>
  <si>
    <t>7c7de3a58501260a861a3d481c9b7cff</t>
  </si>
  <si>
    <t>433c0288026f96b52757a132e81310c8</t>
  </si>
  <si>
    <t>b1dd3fa8ba22ae0f6377ab21b01c6224</t>
  </si>
  <si>
    <t>4b501eff5ecd754561596d94eb54a3f3</t>
  </si>
  <si>
    <t>023ce2817b27e6ae5e983bf34780f185</t>
  </si>
  <si>
    <t>24f748e72c2e5612c3d9e62f614175e6</t>
  </si>
  <si>
    <t>21f47b0334ed8e6c4ba5ae06f5ef7ece</t>
  </si>
  <si>
    <t>c7bd9a177bbc63b62fce46ff7f23e6ca</t>
  </si>
  <si>
    <t>9927f3da094a13cb4e062bfdd72d2ba3</t>
  </si>
  <si>
    <t>990439a418c6d1c2efcd3208ca69a427</t>
  </si>
  <si>
    <t>5845f17d01dd121c378ae2a4d724cc16</t>
  </si>
  <si>
    <t>68a8263e6cf4f89adb868df72f9cabb9</t>
  </si>
  <si>
    <t>9c1c4c77ace4448612210aaaa7d2b6e4</t>
  </si>
  <si>
    <t>3475b7d9d2606540d8e72b7c41cc8391</t>
  </si>
  <si>
    <t>5315669cb46e7fe15a45652635a88349</t>
  </si>
  <si>
    <t>4d49ebccfe2017ba739a239c9dd67cbc</t>
  </si>
  <si>
    <t>7ce5423dc51fc375f66f18fae30b8263</t>
  </si>
  <si>
    <t>23d881044bfd49b16830b67d38bfb7e5</t>
  </si>
  <si>
    <t>1a9dd7dc5ba0b2a7fda2069105a55ae2</t>
  </si>
  <si>
    <t>cfafcc3f6a2d761de14b2b1206e23152</t>
  </si>
  <si>
    <t>08cc0671585b32045a4ce459da6969dc</t>
  </si>
  <si>
    <t>6beb5af4af89d6dbc8b9a3a238e63630</t>
  </si>
  <si>
    <t>f216dd3923e4f85fda156bcda7e18c42</t>
  </si>
  <si>
    <t>344eb6f498d19fb75013a68f1e84d672</t>
  </si>
  <si>
    <t>cb45ae2cda8b9f1ab983df5f04d54f58</t>
  </si>
  <si>
    <t>5eed885b55a48cdee5ec84512bc8de74</t>
  </si>
  <si>
    <t>e359e5427ce79033a6bba353a220efb0</t>
  </si>
  <si>
    <t>5772f06ac6efa660443dcaf60b7ba358</t>
  </si>
  <si>
    <t>e79822ce6ef8de1ed677decb48ef3586</t>
  </si>
  <si>
    <t>966c7b88eaa66943151219c1164f24ed</t>
  </si>
  <si>
    <t>863511cbd3d8d3f5a8f52db367957e92</t>
  </si>
  <si>
    <t>16d7d83a0664f9a7ddda1eab6c822669</t>
  </si>
  <si>
    <t>32c8b5676139ef064c99407e06232026</t>
  </si>
  <si>
    <t>70037b77074c03f659ac9a2c6f3d57f0</t>
  </si>
  <si>
    <t>dd7d81faea9770a883233547c2a4af0e</t>
  </si>
  <si>
    <t>8d1c65a024071dac33b441bd448d070c</t>
  </si>
  <si>
    <t>2015ac52e111d33efa86d55a013bf51d</t>
  </si>
  <si>
    <t>5aaf2da35e1191a5ea4aea285b81a459</t>
  </si>
  <si>
    <t>12077dc644f4360ee09b668ede0c0c9a</t>
  </si>
  <si>
    <t>71bd50f3ae0333bdb287de18d19d531b</t>
  </si>
  <si>
    <t>b1dfeb1aa89541fec073584e0efba3cd</t>
  </si>
  <si>
    <t>1c15d0a0dc1bce252a4a494e64ea2bd6</t>
  </si>
  <si>
    <t>85a9ae9d218a11bbf079d8c75c63340e</t>
  </si>
  <si>
    <t>7f1643ea8435f8cce5580210e9852d60</t>
  </si>
  <si>
    <t>dad7222eacd50d33b60d9692856ee643</t>
  </si>
  <si>
    <t>975128ef2bbd2a68aca49b2ffda8e35e</t>
  </si>
  <si>
    <t>633d0bfaacb1174d58cbcdaea8cd5acd</t>
  </si>
  <si>
    <t>5aa2046f121b9944660c28d89ea18168</t>
  </si>
  <si>
    <t>4d09f90fc742cb600678398a072158c2</t>
  </si>
  <si>
    <t>663357d6f230cd052a0c67d828167839</t>
  </si>
  <si>
    <t>b83b36bd8ccad917de3ec5f0b8caf783</t>
  </si>
  <si>
    <t>cdfe541a1cd2291d46dbd27a352b617b</t>
  </si>
  <si>
    <t>4b03925e542114e03a84054dca9a39e9</t>
  </si>
  <si>
    <t>7bb265d63836179960d2af81ad344b90</t>
  </si>
  <si>
    <t>a89a8075196dcfb03f4963f96e58e7f1</t>
  </si>
  <si>
    <t>e8e0b6045dcf3741ee881b6ea3a7952d</t>
  </si>
  <si>
    <t>4089dc9f334431f2501481189c1d9fd4</t>
  </si>
  <si>
    <t>f9ed0360fb49716065ed87b7f6289b92</t>
  </si>
  <si>
    <t>756c74d82081b6f98070796a7a00247e</t>
  </si>
  <si>
    <t>d1342571f082e8a4f09c3d37754f6514</t>
  </si>
  <si>
    <t>a635f5c6519f31e21edf5cfe5e2fc3b4</t>
  </si>
  <si>
    <t>8138b9b03d2cae9da102554c4722d98e</t>
  </si>
  <si>
    <t>0d1edbb4363d08320ecaf105f6eab6a1</t>
  </si>
  <si>
    <t>1d70dd6a0bd133e87217a2fac82f3315</t>
  </si>
  <si>
    <t>de7c87a04d62384f0d2cfde42d8f21fc</t>
  </si>
  <si>
    <t>9d06652d4677e6c5c0b08597eba56dcf</t>
  </si>
  <si>
    <t>e732b22c11c6a4b6a0066b32be108c42</t>
  </si>
  <si>
    <t>7fbd2bc8303cee36a6b75379cf1ec93f</t>
  </si>
  <si>
    <t>20a67094909c2afa8e9c0187a916bb15</t>
  </si>
  <si>
    <t>52e3f41e94c3adec852c2fd5c9fc71e1</t>
  </si>
  <si>
    <t>e4d80acbe7e3dd2cbc06b287a115be4d</t>
  </si>
  <si>
    <t>f5c8a596aeddec3d31d84e464317d684</t>
  </si>
  <si>
    <t>919ccf0d7261ea2003e417ea56361f66</t>
  </si>
  <si>
    <t>c4ee075878e76fd1b397c80d63eacfb1</t>
  </si>
  <si>
    <t>ad25fee4de4f5de157881817adca9276</t>
  </si>
  <si>
    <t>75a6379634c016c0dd455fa7d9572faa</t>
  </si>
  <si>
    <t>57e0327532709f566189fa48b5dccfd4</t>
  </si>
  <si>
    <t>44f25fc7ace8e07189fa13c60692549a</t>
  </si>
  <si>
    <t>73d6a1ac394b13f423718790e8c09316</t>
  </si>
  <si>
    <t>3de5e3af4d8a4031a2f6095ae5a60bab</t>
  </si>
  <si>
    <t>c2a8aafef980eb76f869f3c32ef2acb5</t>
  </si>
  <si>
    <t>5376c8695855be55c8ebfc3a3980ab8e</t>
  </si>
  <si>
    <t>3871910cb9a12852e695c5d1d9d74bc8</t>
  </si>
  <si>
    <t>365d73079d6138026003155ab55aea52</t>
  </si>
  <si>
    <t>d0a1e484ffc33a66bd256f13b9bd5785</t>
  </si>
  <si>
    <t>a68ed3abe6e88c90e60fac1510324c4d</t>
  </si>
  <si>
    <t>1e446e186206fa18564dfcf16d89af9a</t>
  </si>
  <si>
    <t>6d462cacc7f1fb5c19330199317249a8</t>
  </si>
  <si>
    <t>8e9dcf69a96d575bcd8da95f8b1b713f</t>
  </si>
  <si>
    <t>a26f3c96012d02a0d8fb8b98a5e4545b</t>
  </si>
  <si>
    <t>e76e5ace3bfa895fe109bb82b9776d3f</t>
  </si>
  <si>
    <t>68e7c4b2bb58ce5968e708d5c3a388b5</t>
  </si>
  <si>
    <t>11ce5627a17bb59e0010a7d5a2cc2e1b</t>
  </si>
  <si>
    <t>0b73906709f0aa0ee92c67291ea57eb0</t>
  </si>
  <si>
    <t>5fad373714634206e02f028dda31b19d</t>
  </si>
  <si>
    <t>6da8607a9dca610342756d0012cced8f</t>
  </si>
  <si>
    <t>ef92d668e6be128f1a779ccbde25ef1d</t>
  </si>
  <si>
    <t>096c4bc51554a5a5a1fb8f7926ded0b9</t>
  </si>
  <si>
    <t>162a44da318a8f9516273b2c8b689946</t>
  </si>
  <si>
    <t>1373240e9c6b14e6ba3845d40b068ef6</t>
  </si>
  <si>
    <t>3164b8313066bf262b379740913785ab</t>
  </si>
  <si>
    <t>43285b6258aed5387662768e80626be8</t>
  </si>
  <si>
    <t>46e3f39004c7c34f73b1b4386cdc0d73</t>
  </si>
  <si>
    <t>6f177d32f30d1d39385955070f1db93c</t>
  </si>
  <si>
    <t>1fd1949ea09a6ef113f4d747dd5d609e</t>
  </si>
  <si>
    <t>5d292824cb1764d34201dc41d43dc77a</t>
  </si>
  <si>
    <t>ef85893d197628acb2a5d2a90fe34b97</t>
  </si>
  <si>
    <t>6502e58ab808476f2de827d7b0ad8438</t>
  </si>
  <si>
    <t>ec65f6405d3f8682eee71da429f12376</t>
  </si>
  <si>
    <t>b569c03fe047092d5a86f07e4c82d2b1</t>
  </si>
  <si>
    <t>ead329a77574b1b56562cf2d48da88b9</t>
  </si>
  <si>
    <t>ef8486efb8f154478258863508d2659c</t>
  </si>
  <si>
    <t>fe849ad315b74cf8d8d2b0b117a476d3</t>
  </si>
  <si>
    <t>9f6814de2bdfe56497f8c70f5435551a</t>
  </si>
  <si>
    <t>dd746a7806670e1d05e102608d32a4d8</t>
  </si>
  <si>
    <t>42a0f99152d9d9ad6cbb496804c85734</t>
  </si>
  <si>
    <t>2579d3c3d09d9c2b3c750eeef05c7840</t>
  </si>
  <si>
    <t>4eb6e84df6468a4a51331473ad12b035</t>
  </si>
  <si>
    <t>819a70a6b5a1c0a707521a41e44fcb83</t>
  </si>
  <si>
    <t>a952e4b3db4de41d3fc1aa0f611b574a</t>
  </si>
  <si>
    <t>1713fc3ce5476dbfc4cf7584f763343b</t>
  </si>
  <si>
    <t>a6998f92bd8c36ddc423c69afe479163</t>
  </si>
  <si>
    <t>8387b371d943821e5eb995af87bd59c0</t>
  </si>
  <si>
    <t>4550b36f04f6e6368854f79e4259c18c</t>
  </si>
  <si>
    <t>b743b3d2e66156327afb4e398e0e79a3</t>
  </si>
  <si>
    <t>e78080d5bbe66fe1c4a6df8bef10feb3</t>
  </si>
  <si>
    <t>25462babc3c5de9d8dcace7113bb9407</t>
  </si>
  <si>
    <t>cd1fcbb935bfcdc614513b90958b0212</t>
  </si>
  <si>
    <t>01620ee5901d51a3777896b20606807f</t>
  </si>
  <si>
    <t>1aa891da631a7a4a503bf9eeb7b097f2</t>
  </si>
  <si>
    <t>dae6745a2c6ba68874a2216b64971887</t>
  </si>
  <si>
    <t>ed11d149b7ea8ed1eb2f56486cc493f2</t>
  </si>
  <si>
    <t>037fdd69ea3961afff52af2c68bf85a8</t>
  </si>
  <si>
    <t>feae5ab140ae4a237e07f6f67049ab9f</t>
  </si>
  <si>
    <t>7caabbeeeb714a2285d52e792def09e6</t>
  </si>
  <si>
    <t>33afd1b27f491aa85d240baf58af4aad</t>
  </si>
  <si>
    <t>fc845f83c8d68d4c6edc9503f37e1bda</t>
  </si>
  <si>
    <t>428a738efd8f5eec0409cbbee95b61b4</t>
  </si>
  <si>
    <t>cdb86b5b776c8cdbe85d419373f3c40d</t>
  </si>
  <si>
    <t>43c48557b4995aea003263be91b99cce</t>
  </si>
  <si>
    <t>5789e62bdecf4ef260f5cb9a1b7d696f</t>
  </si>
  <si>
    <t>3f2ee1247f9191bec53c17630efc6aca</t>
  </si>
  <si>
    <t>39d69af494a1bb8e523f23159fd90123</t>
  </si>
  <si>
    <t>d708e8ebe48d602185c5ad94b85c33c6</t>
  </si>
  <si>
    <t>ec6142389a1f2e2d3ea36bb2a03f6c72</t>
  </si>
  <si>
    <t>4766c6ec503467edbc707c7acd428ea5</t>
  </si>
  <si>
    <t>c0c455413341bfe4b6b561f2954bfa16</t>
  </si>
  <si>
    <t>f8af0bd38dfbca97e88c7dbe5096ee04</t>
  </si>
  <si>
    <t>b075ddac49532f809e27eb678d2fedab</t>
  </si>
  <si>
    <t>1428ce66aec6c4f0bf7c24884353e6d9</t>
  </si>
  <si>
    <t>1de52d3e5d52a48f56c0cda78d420711</t>
  </si>
  <si>
    <t>e2062f0d5eb8445c718fc5d1b83ee123</t>
  </si>
  <si>
    <t>f270a53b9b269232bca3c02c995c7d08</t>
  </si>
  <si>
    <t>84319289c9a31c96e2919cdeb4b1f06f</t>
  </si>
  <si>
    <t>0fb9bc524845903cd8c2e397be65acb2</t>
  </si>
  <si>
    <t>db27ec68996a665c42dda3d3a225663b</t>
  </si>
  <si>
    <t>01773d38ba220a563ed1f4d65107b8cd</t>
  </si>
  <si>
    <t>211752db094aa0c316ccbee9bf5fe687</t>
  </si>
  <si>
    <t>8d37bc6bdddd98d6b18ad3335d339c82</t>
  </si>
  <si>
    <t>72544bbe95893532bc7768520449b8a5</t>
  </si>
  <si>
    <t>1833aea9e7147ec7aca486ce4a329336</t>
  </si>
  <si>
    <t>225785f54272078b2b588dbe452df129</t>
  </si>
  <si>
    <t>58f15be9810388297f98c17380bc3113</t>
  </si>
  <si>
    <t>c74f11c358fa148ad3b570d304d39af7</t>
  </si>
  <si>
    <t>9bd2f99df39a3bcf8d8eea0b74e9e561</t>
  </si>
  <si>
    <t>026808544d46ae574578740f23951505</t>
  </si>
  <si>
    <t>72cfcf8807d339b88c0f739d81958adc</t>
  </si>
  <si>
    <t>282a4a55b819b9eee6091aa4fdd79270</t>
  </si>
  <si>
    <t>f951a30e42f083c5a5e4382beb4c3e3f</t>
  </si>
  <si>
    <t>e9421404179dc02096715263a46bc851</t>
  </si>
  <si>
    <t>40b6bf4ced4fd0b0bc457ad2338f217a</t>
  </si>
  <si>
    <t>486eb8a7880da3061eb58e53e191423c</t>
  </si>
  <si>
    <t>61205fe28f50c969fa8193709c309516</t>
  </si>
  <si>
    <t>2799f0491ab9e9d3174a214021b8ed4f</t>
  </si>
  <si>
    <t>bedca07bd7fd0f22e3b9fc50e63ffa63</t>
  </si>
  <si>
    <t>3ac3a8687ed04f6e2821b11330fff338</t>
  </si>
  <si>
    <t>0ae310e1da51d3c3e19cd65c2df9fe71</t>
  </si>
  <si>
    <t>3ffe3a566596b717aa518ad7e8ed1cef</t>
  </si>
  <si>
    <t>ccb5f70772770f09bdbb821e05065584</t>
  </si>
  <si>
    <t>52219b99e73c5d9bcdfeea6e19c9fb44</t>
  </si>
  <si>
    <t>1e9e23378e5bb8bb16541a504bfa8fd3</t>
  </si>
  <si>
    <t>0e25fc84f980d5dc83c1b3d549c6c110</t>
  </si>
  <si>
    <t>ecd433294356345536b85fe875200260</t>
  </si>
  <si>
    <t>722a2c14e448a0399c1bd7f40bedbbd2</t>
  </si>
  <si>
    <t>3f4c2653e47f2ee178a6f47eef14e831</t>
  </si>
  <si>
    <t>dadcd3f3acaf013d56085bec529fda90</t>
  </si>
  <si>
    <t>d95a814b93d50dca1c77a833b926a87a</t>
  </si>
  <si>
    <t>6128b2cf1d7a99086d32352ca08853de</t>
  </si>
  <si>
    <t>3f03c5198138465387f790be3e6a6021</t>
  </si>
  <si>
    <t>a720cf1851d86267320c8681a04aa06e</t>
  </si>
  <si>
    <t>e3277e7f4f40f5e601e3ac2361f326cf</t>
  </si>
  <si>
    <t>80e8bda13b45f18a5c8160886e496b0b</t>
  </si>
  <si>
    <t>e19f19c0997f138723fd50cb8d767438</t>
  </si>
  <si>
    <t>cae5afdeb2045b8ad7283644eb2be42c</t>
  </si>
  <si>
    <t>a128614375b04c20d4d274bbb27e1931</t>
  </si>
  <si>
    <t>674c21835cfa7fed7ee0b92d9552f459</t>
  </si>
  <si>
    <t>c32aa9652c426761200a3308b64d4fee</t>
  </si>
  <si>
    <t>c70d00eb3aedf91615b69323d67750e2</t>
  </si>
  <si>
    <t>2e791b9ed4c639c2a9c3cd9c7947c76e</t>
  </si>
  <si>
    <t>4b3a662703b0e194f262b21cc4dd44ce</t>
  </si>
  <si>
    <t>4fb8c14d50b42c5e12c2e4c489dc4f0a</t>
  </si>
  <si>
    <t>48c51880ff20e71c36df989f9577bba0</t>
  </si>
  <si>
    <t>f86f3e70f88d40bcbedb66479d184509</t>
  </si>
  <si>
    <t>8a262ac4d86b51ca33a17dffd0217514</t>
  </si>
  <si>
    <t>da82af0f5c8b5ac2ccfb2bacaa0d0f34</t>
  </si>
  <si>
    <t>be492a7cfaacf51cecd42b2b6b135c01</t>
  </si>
  <si>
    <t>bf16aa039c6fee3d29d61a1c9a60246e</t>
  </si>
  <si>
    <t>085a81ecec6ea009dfba65420f04a3f1</t>
  </si>
  <si>
    <t>fb788894c3971e0bacc377bcf995455a</t>
  </si>
  <si>
    <t>680410a58501b032e98c885d12b73064</t>
  </si>
  <si>
    <t>ca34cec6fa5b4767507e6d160f2d002e</t>
  </si>
  <si>
    <t>e859cfb5ff77ffb48345bf237cb7ff52</t>
  </si>
  <si>
    <t>7582adaf8a3c438ce78ec5048aa59a42</t>
  </si>
  <si>
    <t>2d1b368fda68ef9dc66a182636d684d9</t>
  </si>
  <si>
    <t>faa04e84ce84d89bb04f5f48cf98f9f2</t>
  </si>
  <si>
    <t>b2a53f7d1080e24dcf8bfe575853fa66</t>
  </si>
  <si>
    <t>b15c686a8044636d27504203127297d3</t>
  </si>
  <si>
    <t>5fa471c9ac554f8573808f3f75c18549</t>
  </si>
  <si>
    <t>c207e4e28902fafb325abdfb637f8a3b</t>
  </si>
  <si>
    <t>e8eaee24ee26f5aeb1a795a54b19e2e2</t>
  </si>
  <si>
    <t>f6c9664fed30f7b8f55f1104e1ff2362</t>
  </si>
  <si>
    <t>9907161cd598f0b7af5ad5fb4ba2f768</t>
  </si>
  <si>
    <t>cb0f5f9eff8912fe5365295dcd0a3a21</t>
  </si>
  <si>
    <t>4f6c314b5a354e51a21de9c4f6d4f025</t>
  </si>
  <si>
    <t>b0491713d191824e8a6eb4f83dbb46f8</t>
  </si>
  <si>
    <t>8936236b27fda637e61f66ced21f49be</t>
  </si>
  <si>
    <t>deacd12b37289077349ec0584f30cdbb</t>
  </si>
  <si>
    <t>a86e65f707d3cf3b0faf4d14122f9f8f</t>
  </si>
  <si>
    <t>5e1821e7e005132195d7ceed65ca9798</t>
  </si>
  <si>
    <t>879f86340f3cbc228eaaae60ac19714e</t>
  </si>
  <si>
    <t>1786b0f95085b9b12b7b1f80f023eb15</t>
  </si>
  <si>
    <t>3b2e57a591f28b6832529fcf32954806</t>
  </si>
  <si>
    <t>9ce05e641408d6343a18c08c614adbbe</t>
  </si>
  <si>
    <t>5e34e2c2b64032c7c46f9494109f9e3f</t>
  </si>
  <si>
    <t>d78f6b997555d8fa208f1469693c02ab</t>
  </si>
  <si>
    <t>54953303fc4aa1c858400374ad94b442</t>
  </si>
  <si>
    <t>7fc6d17e4d09874acd04eeb477f1a2f2</t>
  </si>
  <si>
    <t>ad9f7b683a3467eee685b8601181c10a</t>
  </si>
  <si>
    <t>4b8c07cfa04fff45d8344eca0e08933e</t>
  </si>
  <si>
    <t>03febe66bfe4f3ba2f28ce121e0636b9</t>
  </si>
  <si>
    <t>d507ffe08a859d237383b010d5ccc592</t>
  </si>
  <si>
    <t>d7cf7d5f83124bd32a4c9214b62855af</t>
  </si>
  <si>
    <t>2248d972dac28b69c961be0057752450</t>
  </si>
  <si>
    <t>6bc03cea56945a9ccbdff188132087e3</t>
  </si>
  <si>
    <t>e9a4e3f812ee780be664b0c0b4f24fca</t>
  </si>
  <si>
    <t>7cf0b33a124ed45b6a1abd6beed87396</t>
  </si>
  <si>
    <t>07ece33d329d123890f2b79ace836cc4</t>
  </si>
  <si>
    <t>e0e8551174b7da8c554c037a6e4f3bf0</t>
  </si>
  <si>
    <t>9327ba48db7b91bcb87068f1548c736c</t>
  </si>
  <si>
    <t>10b8df7d5aa5f3e9cc8903e080fb1adc</t>
  </si>
  <si>
    <t>7023eac8f5820d0cb99b14e17d7f9ae2</t>
  </si>
  <si>
    <t>405879d68651a124db6afaad01297d7f</t>
  </si>
  <si>
    <t>a1029b61ded4e90fd4cf23911af715b2</t>
  </si>
  <si>
    <t>b53caca98efb412ef89ceada1ec3309f</t>
  </si>
  <si>
    <t>8ea925da3d4cfa7e5d613b52bb9387b3</t>
  </si>
  <si>
    <t>b93de8a1042b1b3196e3bd0613bda11e</t>
  </si>
  <si>
    <t>0a888e448e6b0ed990a42715b63a0ee4</t>
  </si>
  <si>
    <t>a5d6b9443ce4e11f43b26721d034cf9d</t>
  </si>
  <si>
    <t>60e3ee3bc1a0e1a108e2492922e2e3d3</t>
  </si>
  <si>
    <t>4d255270a81306f0fedddb4a3fa23c89</t>
  </si>
  <si>
    <t>79c8e3858f0602058510bd859f8a77c7</t>
  </si>
  <si>
    <t>bb633376e7cc9bf5d89ba8e1b8c1c6ef</t>
  </si>
  <si>
    <t>756268784e4c7926ca8bd815e960402e</t>
  </si>
  <si>
    <t>db9fa707470577e9e72960bff4debad6</t>
  </si>
  <si>
    <t>8f62498ec5e5410e85b5c8c346c9e10f</t>
  </si>
  <si>
    <t>52987182cf2a05ea2cafb1050270019d</t>
  </si>
  <si>
    <t>24560ac4d8d8eaa46ae550233ce948f5</t>
  </si>
  <si>
    <t>5699951073e085fb9b313436bc9a88bd</t>
  </si>
  <si>
    <t>d9f91b058d7cdf7997b57ddb55fa2629</t>
  </si>
  <si>
    <t>02a69c09bb54ca255690402a4c83de7b</t>
  </si>
  <si>
    <t>a4991ce1f4fc6f8be905e73bdb7571d0</t>
  </si>
  <si>
    <t>e528a2dd5b13fe6944ba5a1c3e778ecb</t>
  </si>
  <si>
    <t>945910d1c07c33cb0aa3c469b5105557</t>
  </si>
  <si>
    <t>1c4bb87096e7d1f520aca5ef379a7613</t>
  </si>
  <si>
    <t>c740bce440d57d132a04f03b63a3a8a5</t>
  </si>
  <si>
    <t>4a262ae1b8aaacfc9d722a3db807e515</t>
  </si>
  <si>
    <t>4cbbffb945ea6998140e238f1470cb7b</t>
  </si>
  <si>
    <t>173882d0873169330337bf15160551e3</t>
  </si>
  <si>
    <t>2e33460d8c11c945d930e1e775a116b8</t>
  </si>
  <si>
    <t>d63ea66a29b5e1ff6ce0c95e7c95f34b</t>
  </si>
  <si>
    <t>c2608ff5f63ac0e831eade4b9b1a15b1</t>
  </si>
  <si>
    <t>80daf8cb4108ed9b5f7febd8d204efd9</t>
  </si>
  <si>
    <t>c85b934a0790fd08ff76189bda749760</t>
  </si>
  <si>
    <t>13fb603be34249b4c8e7fecccc58505e</t>
  </si>
  <si>
    <t>0bbc65c52f15698d7abb9d2eceb04f2a</t>
  </si>
  <si>
    <t>85a1618268077b756d3228edd09b210e</t>
  </si>
  <si>
    <t>b7edf680d645c1f18ece971fb1c91c13</t>
  </si>
  <si>
    <t>d03cb5c24ac5b6afb2f0f67440643fa9</t>
  </si>
  <si>
    <t>dbad14e67aef7aa5eee441f0f77cc48b</t>
  </si>
  <si>
    <t>49c80d999f5051fa32fb9b49ea4de078</t>
  </si>
  <si>
    <t>1d75ca5f82ee96c5c6d01ba7d2e41e82</t>
  </si>
  <si>
    <t>b4c35d71077f53210a226e429854e361</t>
  </si>
  <si>
    <t>bf1cee692eb6866f127ed0288441e54c</t>
  </si>
  <si>
    <t>67ce76579bc6419eeaf9ee8b402aa3c6</t>
  </si>
  <si>
    <t>19abd4d8ac9dc36bc7d5da8cd391ec3e</t>
  </si>
  <si>
    <t>abaea41508825940d91bcabfba32a0eb</t>
  </si>
  <si>
    <t>87eaf9bca261a1b0d9ee7a94b2206ee3</t>
  </si>
  <si>
    <t>5850343ed47a67cc1354a1baf6288f18</t>
  </si>
  <si>
    <t>e56796fef8b02061f860c71be798dea4</t>
  </si>
  <si>
    <t>147a7653450ac3a19880b80b9ad18304</t>
  </si>
  <si>
    <t>1383c56e0be8e53029043c4da7e4ee0d</t>
  </si>
  <si>
    <t>feeacd95abd6465ce5578d7a00309e0a</t>
  </si>
  <si>
    <t>98ec3fe3dbdf239332ab7da4cd3036d3</t>
  </si>
  <si>
    <t>8bdca1b10d713a037f09779b8adc115b</t>
  </si>
  <si>
    <t>f65c3bd727fa699b716ae7ccd3e7e7ac</t>
  </si>
  <si>
    <t>80285668169f57403d4579b2358d4159</t>
  </si>
  <si>
    <t>cd01f5425957ff591a3d3099c5bb5426</t>
  </si>
  <si>
    <t>e2e118e206735c30bc217a605aa62465</t>
  </si>
  <si>
    <t>e905dd79903e7e98c61aa180173af909</t>
  </si>
  <si>
    <t>264bc3e1ae52b804a92d3b7b7c0545c7</t>
  </si>
  <si>
    <t>c1cc25d2f0f8cfe729a4924804412a0e</t>
  </si>
  <si>
    <t>cb4a4a7b48d12d06b502c12cb31a39ca</t>
  </si>
  <si>
    <t>73f459a81f3138ac4db7966984601e88</t>
  </si>
  <si>
    <t>e97ca503d6ddbc2d65afe3e112f2a10e</t>
  </si>
  <si>
    <t>9d8d1b67a6af98eec1298f7a0871c1a0</t>
  </si>
  <si>
    <t>1ff5ccb0091488bfef22ee0e0ce46a07</t>
  </si>
  <si>
    <t>a93d30fa3dc2472738cf105ac9e87a06</t>
  </si>
  <si>
    <t>e66eb48b4b7e543b5ba468b3a4df730e</t>
  </si>
  <si>
    <t>efd0a47e241e0b120bcedfc27fd1b70e</t>
  </si>
  <si>
    <t>9b7d0ee1a6eee69f8970958af4360cdd</t>
  </si>
  <si>
    <t>afd57cb3f950c5e61b59e18a67fc71b6</t>
  </si>
  <si>
    <t>2cc62001e66acac0904ba43648ee9ec0</t>
  </si>
  <si>
    <t>809fe9c96c8e59d9247f949706df67a8</t>
  </si>
  <si>
    <t>91d62f564b101ae65f7a3e7a3d47ecd3</t>
  </si>
  <si>
    <t>dfc200be319754cf33114d41c12f5454</t>
  </si>
  <si>
    <t>aba603bb9068b7d62106fe87005224f5</t>
  </si>
  <si>
    <t>af1c6c917c3e9bf828452e21ec24c57c</t>
  </si>
  <si>
    <t>167883c7888edb93ac3693bbe6da881d</t>
  </si>
  <si>
    <t>8e89b32c46e3ddc8bf366bb773d56de2</t>
  </si>
  <si>
    <t>c4925b50058ca7ed9918612c41ca262a</t>
  </si>
  <si>
    <t>10813e4880fde3500d7209fa0fc33a64</t>
  </si>
  <si>
    <t>e59d88dce001083a507632f9a518e3dd</t>
  </si>
  <si>
    <t>e009862da3f93f71ced44b4b1fa23f1e</t>
  </si>
  <si>
    <t>b640c4649751169d991080dd418a8171</t>
  </si>
  <si>
    <t>c82e0d650f9a6774ca6ee9e4b23ee890</t>
  </si>
  <si>
    <t>0a49b72dcfdc647fdcec23440d0850a4</t>
  </si>
  <si>
    <t>fc84014898bbed0a03165c94371dcebc</t>
  </si>
  <si>
    <t>07ac1c262936478e92fa94ab556a1542</t>
  </si>
  <si>
    <t>5b7bd2d9c9cff1a49414c17d2ee076b8</t>
  </si>
  <si>
    <t>e978fe64f677b07d5d27e193c28de6e1</t>
  </si>
  <si>
    <t>d50e406cc273137a6c71b41c0c61280b</t>
  </si>
  <si>
    <t>b6c2520e6ce7a4dcbd2f2ee63b51e2be</t>
  </si>
  <si>
    <t>7def76cc35bf4031d50da8c1947bfc2a</t>
  </si>
  <si>
    <t>6642c495280737a39fe5538e5c36cb2b</t>
  </si>
  <si>
    <t>ccdf6ca23b7cf586b375977ba5d10e62</t>
  </si>
  <si>
    <t>5f71902b074165b46a1fe9ab4da2dd6c</t>
  </si>
  <si>
    <t>57eff2d6449ccbead8f50b2153a2b130</t>
  </si>
  <si>
    <t>ebf35398abf2199bccc1383545f8f527</t>
  </si>
  <si>
    <t>80196d13daf848049cc13b7fcd1b81e7</t>
  </si>
  <si>
    <t>1176c40abdbd5a88690972bb5bc693f5</t>
  </si>
  <si>
    <t>23103726f1588146b1029e8cabacee1f</t>
  </si>
  <si>
    <t>5bc608545a24f7bf143f4c7e4899453e</t>
  </si>
  <si>
    <t>1b809afff136538a68b1bb02c14f31e0</t>
  </si>
  <si>
    <t>2515baf4810f72b45bbb1dab5ed19581</t>
  </si>
  <si>
    <t>9d54b109f45463c991024ab994368d4d</t>
  </si>
  <si>
    <t>35164244e95f4116dd789d33099c09a9</t>
  </si>
  <si>
    <t>b0767edd823cc32ecd1251d30b8956de</t>
  </si>
  <si>
    <t>eea557eb643bd907e13956f393df1f73</t>
  </si>
  <si>
    <t>527855cc04de440ade7632f78c0d0084</t>
  </si>
  <si>
    <t>cf6e427ca57ae7d1c4bf6f6160b0249f</t>
  </si>
  <si>
    <t>c8a1222345736857e07457257a9bf636</t>
  </si>
  <si>
    <t>3f92171fbb20a0042609210bf97d5577</t>
  </si>
  <si>
    <t>d14bb441a2b5915aad5ccf8e7a97016b</t>
  </si>
  <si>
    <t>2f627a96d74fec00d191f77a153ff346</t>
  </si>
  <si>
    <t>4c1e877dd1ff8a0f9b7e56752ee5680c</t>
  </si>
  <si>
    <t>ce9e3df04d8ccf173df0925304422eb4</t>
  </si>
  <si>
    <t>ad80ec49ad8bb55f6a7a667a925b637d</t>
  </si>
  <si>
    <t>a5bad3316fb29e248c8daf6b330d0da1</t>
  </si>
  <si>
    <t>756e034fac9354c7eadf123f9118b75d</t>
  </si>
  <si>
    <t>f6498d577d41b8091e8a2d5426cd1bda</t>
  </si>
  <si>
    <t>a9c9b8ff7de90b89785845957b1442d5</t>
  </si>
  <si>
    <t>dac3386c443032838f3fead7456c0796</t>
  </si>
  <si>
    <t>3d48474f605f15253a6e5adbe9f796cd</t>
  </si>
  <si>
    <t>5d490d0ecbb19d8573f7491e80cd317f</t>
  </si>
  <si>
    <t>f8087701743f1039b47f1379298d141b</t>
  </si>
  <si>
    <t>1d0ec4c79082e17bb676a230dffaeeb5</t>
  </si>
  <si>
    <t>86deef52b7bee90e977c35d8d4764e89</t>
  </si>
  <si>
    <t>4ae91e0b730e66f17e6ca5a83d1ba022</t>
  </si>
  <si>
    <t>7f7ee30de0695d750b8df488e3efb2e3</t>
  </si>
  <si>
    <t>1d08093fdd4da5ad91d38958d6ed7c20</t>
  </si>
  <si>
    <t>5ad2a6ef9b1889f74f0f5183e1a62540</t>
  </si>
  <si>
    <t>f900a709d56b361ed4bf6b357109f317</t>
  </si>
  <si>
    <t>f352842bbc79890a67fff8bf43fd9b5b</t>
  </si>
  <si>
    <t>38dcf86fc65b4a1ba1ee245cd79e0f39</t>
  </si>
  <si>
    <t>a49793128ff72f5c913446dde5b167f1</t>
  </si>
  <si>
    <t>0b6d58b450d88b83a4355cf7cb1194d5</t>
  </si>
  <si>
    <t>f31e5f94340f33b0d4d62221ce7c9c90</t>
  </si>
  <si>
    <t>fc53ee5085b82efba785bc8525cbbcfb</t>
  </si>
  <si>
    <t>0c49d9b249ec36a6fc68170609bbb596</t>
  </si>
  <si>
    <t>e160f8f58d29e8d687687e11b35254f1</t>
  </si>
  <si>
    <t>9ca5d0422ecf29596d7611ed853eb563</t>
  </si>
  <si>
    <t>2161345dc9a21a2299a94b6a331f7d35</t>
  </si>
  <si>
    <t>9bdb09ac3036ae495dd67d9fce5331dd</t>
  </si>
  <si>
    <t>94db637db38f361ae435e046796794e4</t>
  </si>
  <si>
    <t>85a509016a93cd5bb10253da18963a32</t>
  </si>
  <si>
    <t>769ef79fe02c3d5db67fe6791f629e25</t>
  </si>
  <si>
    <t>22caee4709afbc1535319d4540ee1f53</t>
  </si>
  <si>
    <t>790e95e5c8fb77c6d9f637a9f006b45d</t>
  </si>
  <si>
    <t>b667ebe132ce5c6be3911abb92ccf12c</t>
  </si>
  <si>
    <t>74fcf3dc238b19e12a3098ccbdebfa6d</t>
  </si>
  <si>
    <t>11279aefc26c93c1825dadd5da45dbde</t>
  </si>
  <si>
    <t>81fbaa830493ed8b76ea340d8b222a47</t>
  </si>
  <si>
    <t>ee787bc078bd7c96eba6cd126228e94d</t>
  </si>
  <si>
    <t>0a1a9ba1ac3cccd8b58779df1537dc8a</t>
  </si>
  <si>
    <t>cc8ad0a4cbc6b8e3489cd42fca461925</t>
  </si>
  <si>
    <t>73de298c6d0ad728014af0ae4908a4fd</t>
  </si>
  <si>
    <t>02cc78fda9b7591870de356c681d732f</t>
  </si>
  <si>
    <t>278d3277cd5e2b909801ac4b43a9fed4</t>
  </si>
  <si>
    <t>acb34ee1b5b0c88e263a027088a3dd51</t>
  </si>
  <si>
    <t>6c6803feabfa0d86a77a6c50985a43fd</t>
  </si>
  <si>
    <t>d0189786660e2caf4577b90f728ac204</t>
  </si>
  <si>
    <t>d5688e139325336d0cc9cccc5767c298</t>
  </si>
  <si>
    <t>1751d3ba93838c83b2802e3a06e5fe12</t>
  </si>
  <si>
    <t>5bf44355dfba76d30461735448a2530b</t>
  </si>
  <si>
    <t>2d0ded40e38c1288fe6ffdb6ca3c534d</t>
  </si>
  <si>
    <t>60faa77e3e40721128f326eed7a5c347</t>
  </si>
  <si>
    <t>6c827ed335428d96d9c30189d1e7a32c</t>
  </si>
  <si>
    <t>b38c70f5e1b87460cf0f82946d3b93ad</t>
  </si>
  <si>
    <t>c50bbbaf7f7c38f4e3862eb3e67ccecc</t>
  </si>
  <si>
    <t>3b02af52c7c4fe2b0b7ecc4a5f7056f3</t>
  </si>
  <si>
    <t>324e7b9423a5adde5267e32993510d42</t>
  </si>
  <si>
    <t>82c6bb3382e4130e25eb005099b154c9</t>
  </si>
  <si>
    <t>f31aace50e16c6d21c928ccaa044999c</t>
  </si>
  <si>
    <t>f14c01941949b1ce922f56ecffcfb837</t>
  </si>
  <si>
    <t>5e15bf4d8ee41cac2344be2526e2c2d7</t>
  </si>
  <si>
    <t>e5c72fe2c84d5808c53b4b92053a643e</t>
  </si>
  <si>
    <t>efce75eca7445e3e02ce221b05505524</t>
  </si>
  <si>
    <t>84a91f128785f524a0b44a966f6e4ad9</t>
  </si>
  <si>
    <t>1772560a54d68afc5948114b704e4fff</t>
  </si>
  <si>
    <t>72317c08aead71d969a752afe40bb6a4</t>
  </si>
  <si>
    <t>efba81f941ae592e3fb9ff445f5b1215</t>
  </si>
  <si>
    <t>e26efee9be79927420d8965f0c459e3d</t>
  </si>
  <si>
    <t>6644caf08e51cb78d460cf0a383bcf16</t>
  </si>
  <si>
    <t>548bcd3dd2238e96e74613eebe0cf8bf</t>
  </si>
  <si>
    <t>f6272ce46579546fee3f23a9932d4e6c</t>
  </si>
  <si>
    <t>716afdddb4dc5a76bf84ac3104503aff</t>
  </si>
  <si>
    <t>5ccaca6066ec0805541b826beaf41ab9</t>
  </si>
  <si>
    <t>3f8a73ffdaae542758dafb429353d54e</t>
  </si>
  <si>
    <t>3830ef43cae1681cd2d84ed2e50855e0</t>
  </si>
  <si>
    <t>1b76573f8b69fe267c3332973647e4a8</t>
  </si>
  <si>
    <t>41c3ca005722ccaf413d52240dabd063</t>
  </si>
  <si>
    <t>9797cc3b941e3e438a2dcbf1f03b0790</t>
  </si>
  <si>
    <t>b5e1f8dd03bf2198cdf2d88745133a03</t>
  </si>
  <si>
    <t>6b2550f7f9080ce1b0de83fc984a2cac</t>
  </si>
  <si>
    <t>d650fc96a23d1e877530f77a8227e51a</t>
  </si>
  <si>
    <t>8c1c179d9bf994dae9c04a363eead58e</t>
  </si>
  <si>
    <t>f0108a0feaf733b5fcc4e48aa33b937b</t>
  </si>
  <si>
    <t>98cb19d1643696323fc7f668886859e1</t>
  </si>
  <si>
    <t>6116ee9d95a5103f865a2c9c6a6485b2</t>
  </si>
  <si>
    <t>58260e00cd63339e80b573fc9edb6877</t>
  </si>
  <si>
    <t>ef201a8eee673d821e6feeb2ffe8c9fa</t>
  </si>
  <si>
    <t>54d21079f54b039ed3015bfb33cd935e</t>
  </si>
  <si>
    <t>629928fa8eaf10d1a16dcf403e9d598d</t>
  </si>
  <si>
    <t>119f354a369c4ef91f00312c389eabca</t>
  </si>
  <si>
    <t>43367b61c297e36da7bcc1e0c1699909</t>
  </si>
  <si>
    <t>ea6e8efa7e8382b8b9ecb3151e0db52f</t>
  </si>
  <si>
    <t>03ae2d739502b8fe457896ec7d2e4d44</t>
  </si>
  <si>
    <t>dc68728fa3d2337f2fdc8532262870e5</t>
  </si>
  <si>
    <t>c5144ea594e496b0e9e17e5173b0c463</t>
  </si>
  <si>
    <t>8e2130a7d39223dfed826d6055e84243</t>
  </si>
  <si>
    <t>7433f0d690994a48c8c0cb00685f772e</t>
  </si>
  <si>
    <t>c059bd882502e4518687efa02380b23d</t>
  </si>
  <si>
    <t>c093ee89721dfaf77dffc56ca1cc885d</t>
  </si>
  <si>
    <t>f43f03ce6e3665d3568d6cd0b166ec0f</t>
  </si>
  <si>
    <t>da2f4f71e4eda6aa14def16bfe1a8cc2</t>
  </si>
  <si>
    <t>0e632d405ad3711dcc8416c5df1f72ad</t>
  </si>
  <si>
    <t>fc6e0b63cd3bfeb02460d9bb4967ca63</t>
  </si>
  <si>
    <t>e91e28fd82ac7e87c586f9a8aecbe81d</t>
  </si>
  <si>
    <t>67fb70512c14d1514685a8fce173af81</t>
  </si>
  <si>
    <t>fc5570b3156e326a0ac3bcf0af208e5c</t>
  </si>
  <si>
    <t>8c0fb7f3ce71b0b33f7eb577ddcefa93</t>
  </si>
  <si>
    <t>182118036bc5587edde342a38c913c6a</t>
  </si>
  <si>
    <t>1619b7a58942192475930889fdda5bd4</t>
  </si>
  <si>
    <t>80799342d30e9f83851db3758d44eb79</t>
  </si>
  <si>
    <t>911ad38fd2071fdc939f562dcfb25882</t>
  </si>
  <si>
    <t>bd1e06d9fde1b61aa50555ca161c37c0</t>
  </si>
  <si>
    <t>c50d87c7d43c594ae43bf5e886323e51</t>
  </si>
  <si>
    <t>b0e20a5ee501540ef4beafb4f49af092</t>
  </si>
  <si>
    <t>0da67a1b98fdf6e03455ceebe6985e1b</t>
  </si>
  <si>
    <t>aef4593caf7f682311e1620b8c1a2904</t>
  </si>
  <si>
    <t>bffa29fc2a40ada0bda4a6c849de2e32</t>
  </si>
  <si>
    <t>535b049b1e015cb6c9a149d67293db41</t>
  </si>
  <si>
    <t>d23a7a0d6bc16c3939412d2d46e88981</t>
  </si>
  <si>
    <t>21ff912e7caad722f695aa4b8df40614</t>
  </si>
  <si>
    <t>148800c8fcf0d795ba966a091a25f8b0</t>
  </si>
  <si>
    <t>d660e0903338451f4494f57f10f3cdd6</t>
  </si>
  <si>
    <t>8a043dbe6700ccd12d14c0b827b4678a</t>
  </si>
  <si>
    <t>3a3ce43e5a9b3f304b42b4ed3383d6ec</t>
  </si>
  <si>
    <t>5217b663f8ee69ba76aa3e8da6eb428a</t>
  </si>
  <si>
    <t>86c7e0240caccebab7ba76bb4e1d6886</t>
  </si>
  <si>
    <t>b7c60659a8abb1b3f7d65ebd5f83729b</t>
  </si>
  <si>
    <t>4a08f62cdce08a62853a845f194f5bc7</t>
  </si>
  <si>
    <t>55f051abc3cd03f90809d8ebf3ad39e4</t>
  </si>
  <si>
    <t>3285210943627a3608184aac15dc1cbb</t>
  </si>
  <si>
    <t>6a207580e3919724d003fd9f8a507c51</t>
  </si>
  <si>
    <t>de6c1426d2ea51062bf6cd3ddaeaef96</t>
  </si>
  <si>
    <t>73c015883d47c1114adfae45a9f9fab7</t>
  </si>
  <si>
    <t>45b25d20d2f726dabff878c10de45658</t>
  </si>
  <si>
    <t>01c117b2b8b965213c6197ae40eb6e4d</t>
  </si>
  <si>
    <t>fa3680a17da413bc9f1795abe3e02a9b</t>
  </si>
  <si>
    <t>72aa046be56651883215483d89c05f18</t>
  </si>
  <si>
    <t>2f5836f671e053f7a9275e54d7f0c5ed</t>
  </si>
  <si>
    <t>a23fe086e33b7ecf52df976fe73c0b3d</t>
  </si>
  <si>
    <t>1c3e765819f1ea6e3a91d89724a38f78</t>
  </si>
  <si>
    <t>ea37fd6c457870e4d1fbddd9e57b70bc</t>
  </si>
  <si>
    <t>5de0a5789a55b687b3d6797a2886c27b</t>
  </si>
  <si>
    <t>7fe038a4568ad52c8d69fe3edbe89923</t>
  </si>
  <si>
    <t>14880ddcf70a901711ba201f54574dc4</t>
  </si>
  <si>
    <t>eb59d9bef1c6e7979c1ca6f40856d55c</t>
  </si>
  <si>
    <t>f4d205c85013c81ec9c54b859fff057c</t>
  </si>
  <si>
    <t>47423da75f933aa89b75517892e71533</t>
  </si>
  <si>
    <t>4420270a75c3f96c417b511c46ad160d</t>
  </si>
  <si>
    <t>1a3bbe2fee7e8be9e3ca3155478b4f62</t>
  </si>
  <si>
    <t>9bdcf593fe7b08e9aa2bfbd85474af1a</t>
  </si>
  <si>
    <t>b01d2e98d4a0dcde9dafb7329abbdc70</t>
  </si>
  <si>
    <t>23d897c1424b44b1f97e78100fe4aacd</t>
  </si>
  <si>
    <t>028e54543c8762d94ea4a084034e2c11</t>
  </si>
  <si>
    <t>99e1c573b434ffc71bbfaf42c605a170</t>
  </si>
  <si>
    <t>520a7956bb1be6173d94f59737438c08</t>
  </si>
  <si>
    <t>2704539d1ceb2d16690ca3e5d486605d</t>
  </si>
  <si>
    <t>f819ea06b442c9cd3552fd1685bdbedc</t>
  </si>
  <si>
    <t>4b87078763280ea3082d026b21e9ef27</t>
  </si>
  <si>
    <t>0171c386c59b4ffd8dc74de3a9f57ade</t>
  </si>
  <si>
    <t>719ac9aa67ec7c32bc70337e713eb9d8</t>
  </si>
  <si>
    <t>ce165bf68d4819a37585677530ade233</t>
  </si>
  <si>
    <t>2ee5c103e4b0bdf8f64b19d9a0c6c016</t>
  </si>
  <si>
    <t>7a3f1def64a9a9e082a0305bdb398686</t>
  </si>
  <si>
    <t>58d5901cb5cacf7f28aebccc5bb4dced</t>
  </si>
  <si>
    <t>5fe2ff5a6cf8dad8741fd43a990f248a</t>
  </si>
  <si>
    <t>99620f40c2c7d637008b06022028aa68</t>
  </si>
  <si>
    <t>3d672cb694c42a370bc0ab782601527b</t>
  </si>
  <si>
    <t>a9caa1aff61ad7ddb9b46f70c52bff2f</t>
  </si>
  <si>
    <t>da01c9d1219486a578e8da0a3faf1ea3</t>
  </si>
  <si>
    <t>549733aee8807b1153c6962b02801ac6</t>
  </si>
  <si>
    <t>1a5156086b6c07ae2f576ffe8d59bdfc</t>
  </si>
  <si>
    <t>0ad461ae0b8269db8c9be002476e22d1</t>
  </si>
  <si>
    <t>3aa0c35d35a54c8bb7405a689af35e1b</t>
  </si>
  <si>
    <t>42945093d506788e6ff0e2e80c18d957</t>
  </si>
  <si>
    <t>5d88947142bfc0a5b4fa51b2c4c0b65f</t>
  </si>
  <si>
    <t>e9f4b7a320cb5a3c099c5edc6739013f</t>
  </si>
  <si>
    <t>5673b9265e524b8fc33db8f9c1879fb0</t>
  </si>
  <si>
    <t>c9ef9207bf8009a1bf9cd117f03b54b4</t>
  </si>
  <si>
    <t>32f634dcb5a1e2749a1cee7cb7671c0c</t>
  </si>
  <si>
    <t>557e3c71d83180cbe3b1fb7078e6223a</t>
  </si>
  <si>
    <t>fc8989e6f11f7e2814914eb263aae273</t>
  </si>
  <si>
    <t>3165e7cf145555a67a1296172f747280</t>
  </si>
  <si>
    <t>e1df6c169841daa2bbff0e10cda83598</t>
  </si>
  <si>
    <t>5263680668a884384b85cdac27f661ca</t>
  </si>
  <si>
    <t>f491b7e250bbff567c9f29bf0c3d784f</t>
  </si>
  <si>
    <t>308f102a958e125b06fb6d40f101f440</t>
  </si>
  <si>
    <t>faf31a229fab5185ec042a26e52abf63</t>
  </si>
  <si>
    <t>4cf960fe6595ec7d1676550767bc4c6d</t>
  </si>
  <si>
    <t>b82838672868f5653424c5eb80c44c19</t>
  </si>
  <si>
    <t>28a28ef49e296e0dae705c01d42eea0e</t>
  </si>
  <si>
    <t>ab04ce9df754df04f15adc7b8a49e89f</t>
  </si>
  <si>
    <t>f6a6fed8bbee58fe784362eb6a695a6d</t>
  </si>
  <si>
    <t>5ee2ae1680256d926141921299967566</t>
  </si>
  <si>
    <t>b207a76de64632d2b7e6ccd641059e11</t>
  </si>
  <si>
    <t>347489a141ca6da8747126fa21d5adf4</t>
  </si>
  <si>
    <t>4bda5e04161904deecccfc521ed005c6</t>
  </si>
  <si>
    <t>e246eac7f729b859ac99769fac8c781c</t>
  </si>
  <si>
    <t>45b4315945a0c9d017bd069536aa7182</t>
  </si>
  <si>
    <t>6c3667025e384fb60a414ee2cabc7bed</t>
  </si>
  <si>
    <t>28fa1a6dec215cd70ef93207daccb613</t>
  </si>
  <si>
    <t>21fcc367088ec07b42a2f026ab412744</t>
  </si>
  <si>
    <t>5bb5f1793bf27ed57642d07a94c69381</t>
  </si>
  <si>
    <t>11ac3c59fafc1612f069e467b70fa3aa</t>
  </si>
  <si>
    <t>0ed37278cf79a2650ec6e18a813ac691</t>
  </si>
  <si>
    <t>670dfdaf39117a52cf9d89c9bf51204e</t>
  </si>
  <si>
    <t>cdec8160f210983fd1ddb751d01b1ad0</t>
  </si>
  <si>
    <t>d6acc480f600a8edfd091f3ea784c6b9</t>
  </si>
  <si>
    <t>dc58a2243231f3887b0fee8a096631dd</t>
  </si>
  <si>
    <t>424a0ffc7f2337493de6be900a575f05</t>
  </si>
  <si>
    <t>3b33579496c35a71d040ed497ada1247</t>
  </si>
  <si>
    <t>dad5c29dad4bf0aff18bf50678d9c310</t>
  </si>
  <si>
    <t>ae93e1aed67aa2699079a6e32c373016</t>
  </si>
  <si>
    <t>f4689276c6b296a1fba82e011deec3be</t>
  </si>
  <si>
    <t>f73c55b6756f3f273e2bd3e7fe1167b9</t>
  </si>
  <si>
    <t>2a69a20923fb24eeaf5a2274d403d685</t>
  </si>
  <si>
    <t>e2d45c37bf3a971834788134ba85a23f</t>
  </si>
  <si>
    <t>39f0ab9af84e4612f35d31bda06849be</t>
  </si>
  <si>
    <t>6e1150f02a4745f001d334f5c36612df</t>
  </si>
  <si>
    <t>aaadf8cfa029ca699d95a59a55cc5b23</t>
  </si>
  <si>
    <t>03d2ad1c1a39f2812185083fab7e97a1</t>
  </si>
  <si>
    <t>560d668099d53bfe8cff911a8184fc3a</t>
  </si>
  <si>
    <t>2d9cd58df73b1a3e6223d9650dfcdbb6</t>
  </si>
  <si>
    <t>eb75527540fa89c2d9d7460cd07b02c6</t>
  </si>
  <si>
    <t>80ad576b4ef756022848fc6634f03bb7</t>
  </si>
  <si>
    <t>a91cf1973d5aa2159b00f9a6190b3a9c</t>
  </si>
  <si>
    <t>61e06b15986d5817a43189d308249d1d</t>
  </si>
  <si>
    <t>e17e269f896e2f55178857aba48f0c23</t>
  </si>
  <si>
    <t>ecd62d2a837169b3584453099ca69d55</t>
  </si>
  <si>
    <t>4f65f93030d4d75229cc40987be3c0df</t>
  </si>
  <si>
    <t>9bba11b1eeda147073ae7db16aa5c07f</t>
  </si>
  <si>
    <t>7490be80ba894c8184dc5bfe473252ba</t>
  </si>
  <si>
    <t>f3260d4e4a4308b362e43ac81b5572c3</t>
  </si>
  <si>
    <t>472238aed4273ec36a46e0abd5d00ed2</t>
  </si>
  <si>
    <t>1b4245267a3293238bd993ef39ed1b39</t>
  </si>
  <si>
    <t>7616c1123edbcc7220ae1dd7a8a2d58f</t>
  </si>
  <si>
    <t>5b2c7ca89893b7d33341e22fdf410ea3</t>
  </si>
  <si>
    <t>64d5ea6bfb6e5dc88022dc35eedc4da1</t>
  </si>
  <si>
    <t>035e9e2cc9ca25fa0f9f3265770839db</t>
  </si>
  <si>
    <t>7dbee5f686f19cf2ea64cf786668e4c4</t>
  </si>
  <si>
    <t>cff0450225942dd0f9c0a7130725b3cc</t>
  </si>
  <si>
    <t>39e38bac7326635b776032a91639809e</t>
  </si>
  <si>
    <t>fbd4139cb88a2881e482f8976cdd446f</t>
  </si>
  <si>
    <t>26b8385a8f79cc4cdc031bb6ea593a62</t>
  </si>
  <si>
    <t>2c00920dd491ae14da6fc02504fdae4a</t>
  </si>
  <si>
    <t>0c59b3efb21374a62ed1922851839a67</t>
  </si>
  <si>
    <t>92973d34df76d72175fd06c127404c9b</t>
  </si>
  <si>
    <t>6e9b97b387ae3447bafb1da8cee9c21c</t>
  </si>
  <si>
    <t>ac92b99b302d3d1e988ba20c73e7a78d</t>
  </si>
  <si>
    <t>b1ffefb205412e6329ea75103b809c08</t>
  </si>
  <si>
    <t>f450e58e549b72db41152cedb393a40b</t>
  </si>
  <si>
    <t>f6faef0011490e388a3f2149fceeeea4</t>
  </si>
  <si>
    <t>c394f8c754ace97344cf65c2be918cf0</t>
  </si>
  <si>
    <t>ef8eef975971249b743ccd8bc1534eae</t>
  </si>
  <si>
    <t>f1f0f8a6d6109f7abdb62c541bb9ef61</t>
  </si>
  <si>
    <t>144fb7e74291436f8f9ddf4d7c4bc5b9</t>
  </si>
  <si>
    <t>d36c3d00c1365d14308fc79972ad7719</t>
  </si>
  <si>
    <t>3d9ac731d753c551c00e4c8be2dc7f78</t>
  </si>
  <si>
    <t>630919d0b7734b01fc231ab22c68ddb9</t>
  </si>
  <si>
    <t>a92efabbec53b1cc0ac381b851af1112</t>
  </si>
  <si>
    <t>45fae0834195637065433e01df6eac8b</t>
  </si>
  <si>
    <t>155047512796a65f2c4210fff3250920</t>
  </si>
  <si>
    <t>a8b7546648e514476ff8acb8a4a40734</t>
  </si>
  <si>
    <t>ada119dc0e6519476272d5e73fbf9a69</t>
  </si>
  <si>
    <t>fb0d0acd069acf31640a80dc75abbb46</t>
  </si>
  <si>
    <t>60f9ec421bd4dc2bd3b10fd521fa46ab</t>
  </si>
  <si>
    <t>dab06894efd8b9ee6e21a306504caf92</t>
  </si>
  <si>
    <t>3aa4549c30ae5a26c910c95b512efca3</t>
  </si>
  <si>
    <t>cd5a6851d6647e14c67d95d6bc4de757</t>
  </si>
  <si>
    <t>1c3ce1a6f95924322ad4e391d524e859</t>
  </si>
  <si>
    <t>1e258f9e73f3f3c644c86b9870436aca</t>
  </si>
  <si>
    <t>1d92a216b131c6006ef6eb413bd4c052</t>
  </si>
  <si>
    <t>9972b59b114230b16cc5da6f01bbc5de</t>
  </si>
  <si>
    <t>22265fa23ddb1791ef7154f9e3dd8165</t>
  </si>
  <si>
    <t>856e72fbf6ebbaaaf9d9651bfc74b0c1</t>
  </si>
  <si>
    <t>c4af952753e8860a183be3576ea5db78</t>
  </si>
  <si>
    <t>c135bc9dd9d5fc52dccdbef0515b043b</t>
  </si>
  <si>
    <t>00e0d39d9e58cd1760d38c98ab7262ac</t>
  </si>
  <si>
    <t>6ddf6ab324101e31a3f16330797a9687</t>
  </si>
  <si>
    <t>adf2077eefd63dc92231478e9caedc93</t>
  </si>
  <si>
    <t>dbeec24d975454764d9c7c1610ace6bf</t>
  </si>
  <si>
    <t>e194a4e732029a807228c018ea2487bc</t>
  </si>
  <si>
    <t>28e55184697a5b7da42d2d28d98784ad</t>
  </si>
  <si>
    <t>78760d842a4cec7bee1e936bfa5a2df4</t>
  </si>
  <si>
    <t>a9ffcf654f44b15599e3ceafaee7d2d2</t>
  </si>
  <si>
    <t>c7377a720939c64a3931e8055c047582</t>
  </si>
  <si>
    <t>ac1da9571dbf40cb6f0ce94c79586eda</t>
  </si>
  <si>
    <t>535098375b6c6f92e4748b890d802710</t>
  </si>
  <si>
    <t>e092ed2d119862144fa935b43a573b50</t>
  </si>
  <si>
    <t>352aa5519c163de1cc12bf19d6e72986</t>
  </si>
  <si>
    <t>13db739755c4223d2b59ce4dd27bb73f</t>
  </si>
  <si>
    <t>d309000069652cc3f6f4dae5522dc86a</t>
  </si>
  <si>
    <t>571bd439508de134fc2f6f8f397e30a1</t>
  </si>
  <si>
    <t>ba3ae6119f60721e7712a9739846835d</t>
  </si>
  <si>
    <t>dc35c5488fbc755267bd8a6acadceb90</t>
  </si>
  <si>
    <t>311d58346c269d8048c3b17322f32af5</t>
  </si>
  <si>
    <t>a1c60a3b35e5d9d6731ac99696caf8a7</t>
  </si>
  <si>
    <t>6c6f811d8179531935a051afeda496f7</t>
  </si>
  <si>
    <t>6079f01d29936a937451f61cec2cb5fb</t>
  </si>
  <si>
    <t>91e36cfe8e34e6a640f5a8484c1cb433</t>
  </si>
  <si>
    <t>d5928e71b24bb7048841d1b0cccc10fb</t>
  </si>
  <si>
    <t>0859efc6ca712b58b552771983349caf</t>
  </si>
  <si>
    <t>70d21f0636d03cb8fed49c9d336a9e92</t>
  </si>
  <si>
    <t>771df3415877660a1a08bae600620831</t>
  </si>
  <si>
    <t>9a44c83d57c3a1da11da6402e0e67146</t>
  </si>
  <si>
    <t>a437b164e06c3e1cdd1c85b4d111128a</t>
  </si>
  <si>
    <t>c5e8e1eaeb4d3beb69d607d4e968f7eb</t>
  </si>
  <si>
    <t>753d567c472f20aeae2aa8ea63e95df0</t>
  </si>
  <si>
    <t>01e26f5372559e0dacdc73fd476c8a3e</t>
  </si>
  <si>
    <t>a278abadea4eb57fa5dbe18f5abd63b2</t>
  </si>
  <si>
    <t>66ce7814792ef4801fbdc33f47309ef6</t>
  </si>
  <si>
    <t>f86d92396380d534b46a09730ca818a3</t>
  </si>
  <si>
    <t>a3d1727b1dfb7dd379f8c360c5416bfe</t>
  </si>
  <si>
    <t>ea4a45f6e7e5a243331e93030f6fc88a</t>
  </si>
  <si>
    <t>a019a1f6f4dfb2fd929e747f3add9801</t>
  </si>
  <si>
    <t>ef80d60702927085d51ba751c76e5bfe</t>
  </si>
  <si>
    <t>ff384e0b7725c3f80ae984983c11a425</t>
  </si>
  <si>
    <t>d12a9341acafe3abe8b524b04a88ee63</t>
  </si>
  <si>
    <t>09e0bbe26324b8823b538c6e088993fa</t>
  </si>
  <si>
    <t>bef736347fb0991fe9f7d9fcd2f916d2</t>
  </si>
  <si>
    <t>3604a20cd60d730b79c2592f318c637e</t>
  </si>
  <si>
    <t>0266ff672c788695673b9ade0c3e8398</t>
  </si>
  <si>
    <t>19d77399d08dd64817e247d92a631f01</t>
  </si>
  <si>
    <t>d753d98839bb1fa4515bb77d025d283c</t>
  </si>
  <si>
    <t>aab67cecb5172e8499ef82e388e44be3</t>
  </si>
  <si>
    <t>190db78a3e546997d7ad700201760afc</t>
  </si>
  <si>
    <t>2688f544d52d5ff9b26e5a805869aa23</t>
  </si>
  <si>
    <t>240568c4ef946297ced38f4f350293e5</t>
  </si>
  <si>
    <t>c056a2b5fa600198dee5e4b41ff515d5</t>
  </si>
  <si>
    <t>879f55f4be3b9af2ba140ffc4931dfe4</t>
  </si>
  <si>
    <t>2c0c8d6f57586f914832302d9fcf974d</t>
  </si>
  <si>
    <t>a04b7d8da65863c35d971b437c249a90</t>
  </si>
  <si>
    <t>cc3a7de9bac59f5bae5442cfc77db532</t>
  </si>
  <si>
    <t>a3a183967fde5af5edc0e4afc3bac84d</t>
  </si>
  <si>
    <t>878b6490fdbbd4a1a2e5e219ade82e99</t>
  </si>
  <si>
    <t>b66997ba2fa5e1456c781384bd5540c4</t>
  </si>
  <si>
    <t>74c479e1c125858566b20c7082de8ff8</t>
  </si>
  <si>
    <t>c64d385931d5e0eebb80dc672cf3dd1f</t>
  </si>
  <si>
    <t>0431d01cb2a0e239c2172299dd59287f</t>
  </si>
  <si>
    <t>c08d0211ee328c29c5fa60207b64f84f</t>
  </si>
  <si>
    <t>225f824df8d9be15350c428d1a4ecdb0</t>
  </si>
  <si>
    <t>524f888e6a9bd06cdd44662e52e8143d</t>
  </si>
  <si>
    <t>d95feaf2c75b3f8d1178b580f533fc18</t>
  </si>
  <si>
    <t>3349a28a6b5097fca1c93a309bd0b7ae</t>
  </si>
  <si>
    <t>638aa6885373e962cad72411ae835e6f</t>
  </si>
  <si>
    <t>1f9f0747b68d4a5b0bcd27dc2dfba6d3</t>
  </si>
  <si>
    <t>6bec94b9460cffc3e1301216a452d841</t>
  </si>
  <si>
    <t>88adc23685269bb17e3599ed65cc9bab</t>
  </si>
  <si>
    <t>7398c80ed30dfe758c6233f59b31f258</t>
  </si>
  <si>
    <t>c5b6109a117447a57792072e19fe155b</t>
  </si>
  <si>
    <t>b26dda94d776a8196196fd00efb5f3ed</t>
  </si>
  <si>
    <t>562b9ea44c3f58e4f64c41ad90c7884e</t>
  </si>
  <si>
    <t>e4039f76d3ef65b73391accbacf0f028</t>
  </si>
  <si>
    <t>0bcac69ac27e47a6e1bc51b388a96361</t>
  </si>
  <si>
    <t>edc6c6674c103412369dcec050a01e0c</t>
  </si>
  <si>
    <t>a5ff02d62c1aebcd868433f5b3ad90b7</t>
  </si>
  <si>
    <t>6079e305f12e6ee5dbf120cf83237838</t>
  </si>
  <si>
    <t>d77c031c80e0bad46e76cc7d4c23c7f2</t>
  </si>
  <si>
    <t>074ea261a7113fdcbfec72f46d508c95</t>
  </si>
  <si>
    <t>14fb99acbe4423d687622d35acf70b76</t>
  </si>
  <si>
    <t>cbd4c0e8cac8da22b4069382cfb49625</t>
  </si>
  <si>
    <t>e8482568374fa6189335e14e26e1c8ab</t>
  </si>
  <si>
    <t>b9f595055a8ff1eff099e37c8b735ff8</t>
  </si>
  <si>
    <t>db5db39a3ceedd575367381596dd1398</t>
  </si>
  <si>
    <t>c41408a4fa1a3f3bacdd06c6b06d4626</t>
  </si>
  <si>
    <t>4b80b7a0afac73f84c96132b41c644ae</t>
  </si>
  <si>
    <t>8c43b46209c795972eebc97fccfb30c1</t>
  </si>
  <si>
    <t>e8d9d6f1533be355876acf830e48ab6c</t>
  </si>
  <si>
    <t>f241e38732342868b40e3c29aea3d8f6</t>
  </si>
  <si>
    <t>780ab5d75297f549abe661e26b5ba0c5</t>
  </si>
  <si>
    <t>46e57b309052e084f97318d44aa5c5f0</t>
  </si>
  <si>
    <t>c6bbb05ba6e3028edcc0e84ac81d967e</t>
  </si>
  <si>
    <t>79bfd4e08dd644b42e963cc5526e0323</t>
  </si>
  <si>
    <t>1a7a2763733b46c3bd02cea4722dbe5c</t>
  </si>
  <si>
    <t>9d102a0122be6904191ba0294a637410</t>
  </si>
  <si>
    <t>761198b085090d6ed3bfc46dc86812dd</t>
  </si>
  <si>
    <t>d7018fd2b08997d3f82d79d4fa4e08af</t>
  </si>
  <si>
    <t>3d6bbea134776a74c9c713f6fcd29630</t>
  </si>
  <si>
    <t>d5bca28da74a5e9c994a791fdb087b69</t>
  </si>
  <si>
    <t>06afece902618421f9f9baebbf973c0d</t>
  </si>
  <si>
    <t>f2304ec993ea45bab09a121f68caf032</t>
  </si>
  <si>
    <t>eeb33a3f1ffa9008522b65c751f42c9a</t>
  </si>
  <si>
    <t>eb56ea412343ef70924d078efad6c966</t>
  </si>
  <si>
    <t>220ac91bb70ffb4c9c4edfaee614e3a2</t>
  </si>
  <si>
    <t>d1c10f87a21ac7da73dd6d83b160f36e</t>
  </si>
  <si>
    <t>8e28bb54c9408045f18aef260095a530</t>
  </si>
  <si>
    <t>643ad91f9bb0d25b2b6f35abe74b6316</t>
  </si>
  <si>
    <t>e642552b33b2a6a24281f228a4cb4cb8</t>
  </si>
  <si>
    <t>7b4ee80139eb7d050868796d5e0b53b1</t>
  </si>
  <si>
    <t>980cf92d2b993671484daf1ad08e63e6</t>
  </si>
  <si>
    <t>351d5d92389dac9f081fca35ee812889</t>
  </si>
  <si>
    <t>6211851d8bb7c2353c487ac5f6049b71</t>
  </si>
  <si>
    <t>d6cc9be1fa4a337f84591e68b77ff5f5</t>
  </si>
  <si>
    <t>3267a67d639cbb8b011a1e0529be3ce9</t>
  </si>
  <si>
    <t>b3cc8c37ba575e42d229a53ad3f24efa</t>
  </si>
  <si>
    <t>f07b65e2fd4366028b76c1ffe4233939</t>
  </si>
  <si>
    <t>0d55b6f42d26273c542f491aba51050b</t>
  </si>
  <si>
    <t>03c471d40735b9bf90665aea50225b1e</t>
  </si>
  <si>
    <t>c26ccbaa6dfa0878babf58a112f24d2e</t>
  </si>
  <si>
    <t>7c10a8bdd73435fd13324f5b2f59a4da</t>
  </si>
  <si>
    <t>bb5cccf3a500a40684ff437fecfaa378</t>
  </si>
  <si>
    <t>66071eb87a9c7e35824c01a3cfae362f</t>
  </si>
  <si>
    <t>82a53160c64315dda51914ce93f3a60d</t>
  </si>
  <si>
    <t>3e734275bf5248cf471b55bd996775e7</t>
  </si>
  <si>
    <t>3eb039c1d1e8ee8dfb4b293319f6fc12</t>
  </si>
  <si>
    <t>27eea4c4b8535a8779f4934e87b3b170</t>
  </si>
  <si>
    <t>50b09e86038b82b7bed894d88be4bacd</t>
  </si>
  <si>
    <t>a19faa5ff058a7389532d762e4ab07b3</t>
  </si>
  <si>
    <t>3a0413d2fefab5d95103a04426feb2c6</t>
  </si>
  <si>
    <t>28638e6798ce01bd4e07788bd8465198</t>
  </si>
  <si>
    <t>95e0bff5f2ac045226d77666a691f153</t>
  </si>
  <si>
    <t>284946be0aadb9fb67652b5eb1d9a9c5</t>
  </si>
  <si>
    <t>29ef9f430796cd8eadfafa58b0548bad</t>
  </si>
  <si>
    <t>8119e89e9ce98bc1654e21a75538040f</t>
  </si>
  <si>
    <t>fba81664ca3dd319ac3552c95e96f404</t>
  </si>
  <si>
    <t>ab8efdf97c15afb355515125ef044cc5</t>
  </si>
  <si>
    <t>39831292aa754b98c89982fb0d3d8a44</t>
  </si>
  <si>
    <t>2ad9568789161c7558d05694c28414f9</t>
  </si>
  <si>
    <t>be7cd36fde1872f26ed3bc1c9469db43</t>
  </si>
  <si>
    <t>18179269661919400d0c4158c54a4035</t>
  </si>
  <si>
    <t>5d527c1233ac83724dd3a5650fa7b28a</t>
  </si>
  <si>
    <t>9b97baec13618f4b2df0d6841b0cff1e</t>
  </si>
  <si>
    <t>580d2dc00773d1435b9f2443fb516652</t>
  </si>
  <si>
    <t>84402fb4e1d301ee550270441f9f6ecd</t>
  </si>
  <si>
    <t>6eefa44b64415c5dc7a329ce89551899</t>
  </si>
  <si>
    <t>00a7b5ac77d5401c0dc0d0f1cad23519</t>
  </si>
  <si>
    <t>3963b96bfbba2ce374bb556df15ea8a7</t>
  </si>
  <si>
    <t>7d6cddd1bd196be1496c5c27ff4ae2af</t>
  </si>
  <si>
    <t>e223e7c729f6b62e7bbe35f301beabbe</t>
  </si>
  <si>
    <t>ab385a79ef4c153abfa6c2832ba96b4f</t>
  </si>
  <si>
    <t>39cb188aa44bd195d24c6b0f7570b4bb</t>
  </si>
  <si>
    <t>0b063911dbce4ce0a0342989ad5a51a4</t>
  </si>
  <si>
    <t>dd7748d112741cbf74a11cdd7fa4913c</t>
  </si>
  <si>
    <t>3ac35fe748201dcabe263985a0fcd71e</t>
  </si>
  <si>
    <t>4b7d42aa9a7b0932bbb6798986977576</t>
  </si>
  <si>
    <t>7183792f6aeb3fc274fd8ba5bd971e25</t>
  </si>
  <si>
    <t>fb3bb5b335cfd21019a98d452a55c933</t>
  </si>
  <si>
    <t>c011d47836c7da053923f245544b6f41</t>
  </si>
  <si>
    <t>5817a80af50cdf047fd9f5e79cefd37c</t>
  </si>
  <si>
    <t>1c673b8f7b7eff039b6ca0526ca4e5a5</t>
  </si>
  <si>
    <t>98086d3e6f2696e0c2ba7fa53dd755ca</t>
  </si>
  <si>
    <t>be3e613f586f0e938eea7ac43ecd1399</t>
  </si>
  <si>
    <t>b0226b50ed29b7252820e5731c80d204</t>
  </si>
  <si>
    <t>63f6acbc5f49518a81107d6f82163d4a</t>
  </si>
  <si>
    <t>9cace0bd5760ce0a8aa059814dec4fb1</t>
  </si>
  <si>
    <t>eca94fadfefe187e81c94f9072f33e77</t>
  </si>
  <si>
    <t>6df7d0affe835afbdb70b6414e835a06</t>
  </si>
  <si>
    <t>962a9fa3c0baa7277f114044c3d2f708</t>
  </si>
  <si>
    <t>ed85715368e5cf08d01fa01f74ed1b43</t>
  </si>
  <si>
    <t>94a3da476d02475ca1b18cce93d0087b</t>
  </si>
  <si>
    <t>0b113f60cd8038a1e9d5dc62a1ffe41d</t>
  </si>
  <si>
    <t>5e91746fbd7f12639645cbec95a84ccb</t>
  </si>
  <si>
    <t>ad05cdf7cebbb5e1ce38d1ab9b0bd428</t>
  </si>
  <si>
    <t>86c11ab8f40301918a3d5af978def07d</t>
  </si>
  <si>
    <t>4f9276c762671124bfafb86d4d7c0f63</t>
  </si>
  <si>
    <t>402f03b93990c0c5cafcb337de3f24c4</t>
  </si>
  <si>
    <t>cb56df28cdd08b9ce3204bbd3bd34838</t>
  </si>
  <si>
    <t>897de94db69e889583d22c4621a07cfc</t>
  </si>
  <si>
    <t>6cf6ad9b33ea826f6571cb158cf14da3</t>
  </si>
  <si>
    <t>6b621315ca0875c25a39ae7e56f114c2</t>
  </si>
  <si>
    <t>8fbedf0832702d25ff4b48ce42e15f19</t>
  </si>
  <si>
    <t>862badaffd8435faac366792c9d77a7d</t>
  </si>
  <si>
    <t>6340b8291127487bec721f49572978e5</t>
  </si>
  <si>
    <t>b78a91597156ca14486e54e772475e13</t>
  </si>
  <si>
    <t>b690cc276a7f16864392dab05d6db648</t>
  </si>
  <si>
    <t>f3188f5ae32b032c9125a005d3f3b620</t>
  </si>
  <si>
    <t>b2ff53f3efb47923e0cae9ae9923b59a</t>
  </si>
  <si>
    <t>873ea4743dba7336333ff5252c5c1394</t>
  </si>
  <si>
    <t>775b71249731df5977fb8aac2dfcbfcf</t>
  </si>
  <si>
    <t>63be0fe696852e8db0e2ae5a765dbf3d</t>
  </si>
  <si>
    <t>e03a8c749714a9a28d374bd641c3b4fd</t>
  </si>
  <si>
    <t>fa793ea7c0ae9144d23fc921431d8db4</t>
  </si>
  <si>
    <t>94ed9bfe635b3f7eb3b93c85e8b5195e</t>
  </si>
  <si>
    <t>0327f3002305f6fdc099f7e12049dfc1</t>
  </si>
  <si>
    <t>3ce29226db6497b848c29c1d0e5d04bc</t>
  </si>
  <si>
    <t>e579486b84d6911ff859051c129cf5be</t>
  </si>
  <si>
    <t>73a17c50c93d899167ec96a30c308648</t>
  </si>
  <si>
    <t>297812769a8efc722abde92d42394a3f</t>
  </si>
  <si>
    <t>2c174ca98b46ced669d7c1ad00b6f164</t>
  </si>
  <si>
    <t>b1c319062981cfd5b501d96a804bedb4</t>
  </si>
  <si>
    <t>9d3e5685ff8ef0b7d4386c985550a917</t>
  </si>
  <si>
    <t>7268cd334c1a3ee0784143c6e23d761e</t>
  </si>
  <si>
    <t>a967c9ef62ecb9acc0d0cd4ce463e200</t>
  </si>
  <si>
    <t>def65a2148ba3d4975635aca1f33730a</t>
  </si>
  <si>
    <t>f8a85802df11fb82eeecb76d039d2ab7</t>
  </si>
  <si>
    <t>f8afd7a470444f386e943e4ecded8c79</t>
  </si>
  <si>
    <t>e99a9826945d03505c37e71f46fea7fe</t>
  </si>
  <si>
    <t>69a0d8b08c632404b57ad4546a93d7be</t>
  </si>
  <si>
    <t>bb52b6cf1fe93e5b51580970bc396e81</t>
  </si>
  <si>
    <t>77cc102b1a4f929f4c3627714803c530</t>
  </si>
  <si>
    <t>06fa1330e80e936fad5c51cd1ad9fc48</t>
  </si>
  <si>
    <t>d9b2b6e6f5f6cd54540a188572263ef9</t>
  </si>
  <si>
    <t>4021d1e4dcc16ec42130b56bd71d63ac</t>
  </si>
  <si>
    <t>915b1f0bc914d35b688846e571305925</t>
  </si>
  <si>
    <t>d743ab396834968e587e5acd8f228adb</t>
  </si>
  <si>
    <t>758161d5408ad7a0645e38e8cd0b74e4</t>
  </si>
  <si>
    <t>18a70557b86b4135205604bfa30ac2e7</t>
  </si>
  <si>
    <t>8762f45d72a57df3749f1dc08db0dd91</t>
  </si>
  <si>
    <t>94542cb98a50579a3db6355340d4fb9b</t>
  </si>
  <si>
    <t>e903768c3ad3a5f4f59f3ca7d26ce36c</t>
  </si>
  <si>
    <t>7e9395ba8bd339f85c172cdeaccf2721</t>
  </si>
  <si>
    <t>9eaeacabe0bf60691c61e748a305dcd5</t>
  </si>
  <si>
    <t>27d9917cc6e4f13d4714d93ecd11d341</t>
  </si>
  <si>
    <t>02c8bc642c754658c87d596994f350fb</t>
  </si>
  <si>
    <t>4ec50abd051e30889b331e0019219ed2</t>
  </si>
  <si>
    <t>1e4f4f07db22b57ad3e2753c2fad49b1</t>
  </si>
  <si>
    <t>3cb1bd94c068cc091c8dfa07b288a176</t>
  </si>
  <si>
    <t>7683e133d776b4cc8c92cde190283a66</t>
  </si>
  <si>
    <t>9d9297883cba428ad09b090cf4d7917f</t>
  </si>
  <si>
    <t>f295fac0dcac489c9813643b9197e4d5</t>
  </si>
  <si>
    <t>f1a2760e50978a703f5c21c645c3f579</t>
  </si>
  <si>
    <t>74f176b680dde4abe5050a86f4171b6b</t>
  </si>
  <si>
    <t>8a6d51f101cd2d8b100e6bd3e5f1d6a5</t>
  </si>
  <si>
    <t>e647739fa60063115688b20ea178b0c7</t>
  </si>
  <si>
    <t>409e1376f476fbea7e24ae280a5338cd</t>
  </si>
  <si>
    <t>d02f469297ae20f9f838fe3780e4b704</t>
  </si>
  <si>
    <t>ec2f251177486885f147bbecea4ce100</t>
  </si>
  <si>
    <t>99d598976bb6e93ea7cd6951a826b521</t>
  </si>
  <si>
    <t>f4c96ce706c24bfff1fe5f583962420a</t>
  </si>
  <si>
    <t>04b622267b3353c924390d8ed8819560</t>
  </si>
  <si>
    <t>bf8697d4d904860cfc9b887a543ec8d6</t>
  </si>
  <si>
    <t>f65df7459c177127c2adeadb2ee190be</t>
  </si>
  <si>
    <t>af08a5dda8af252238205b27915e755e</t>
  </si>
  <si>
    <t>0a613981eb8d46dba6ed633e77917fe7</t>
  </si>
  <si>
    <t>d7d971ac8c8203f071a05cd48821736c</t>
  </si>
  <si>
    <t>b9cd556ffa0fad7b2556673dc761c442</t>
  </si>
  <si>
    <t>3bc93415210fb3a6f9395753ff35f262</t>
  </si>
  <si>
    <t>489dd41be690bef35139c8bd87c67ca4</t>
  </si>
  <si>
    <t>737ea36a719d70dec6c5472f9f76ab34</t>
  </si>
  <si>
    <t>129c2c110942d18bdfe4cba052ddfb9d</t>
  </si>
  <si>
    <t>da6cac72010acaf3fac4e6d5840ba507</t>
  </si>
  <si>
    <t>703efdfdaaad8c5055accb1f0c160337</t>
  </si>
  <si>
    <t>4e28efb023d588cbcc2222eae3b7b913</t>
  </si>
  <si>
    <t>b9ab12d15b6059668e5807c43e4bb429</t>
  </si>
  <si>
    <t>7360805cf15e2e90ed81563b4c0dbdad</t>
  </si>
  <si>
    <t>77fa683b70f50ea17f3298d495cf647b</t>
  </si>
  <si>
    <t>21402b3cc687b9352e17594af0e742b1</t>
  </si>
  <si>
    <t>77939fd4eed215d1b2b49a2c0d81bdd4</t>
  </si>
  <si>
    <t>eda13477c6847b61786f1b7d411a329c</t>
  </si>
  <si>
    <t>b5cef210426edb5d12a931dccfc65c47</t>
  </si>
  <si>
    <t>b10a1161f4a800ca8985f15f85d163c3</t>
  </si>
  <si>
    <t>9bac8e32210e26ac65f08e4802442629</t>
  </si>
  <si>
    <t>6a06d12697a73b17ddea88f16ed15402</t>
  </si>
  <si>
    <t>40d7ab2423a2b616035a5eee52c5d67c</t>
  </si>
  <si>
    <t>3b90ead9ef3d71fef2fe79c7eb00db61</t>
  </si>
  <si>
    <t>c8d6407cb15399dec4e496d9bdaf45d2</t>
  </si>
  <si>
    <t>c2f801130dcd5b8eac8af1de1a3fc7b0</t>
  </si>
  <si>
    <t>126233fc27eb977ad6ccca6977846b0b</t>
  </si>
  <si>
    <t>c43163603dd467236c8ad633b09096d3</t>
  </si>
  <si>
    <t>bf46cb513d8844bc1b688b7b6d6315b8</t>
  </si>
  <si>
    <t>773c50d6a918e0f62000e699444fc666</t>
  </si>
  <si>
    <t>b687e9f5658ec5657f05cd923e979818</t>
  </si>
  <si>
    <t>5bae7b2ccd8ead7d3ef66c3e668bcdc8</t>
  </si>
  <si>
    <t>e66bd6bf02fe80344339255cd8edd770</t>
  </si>
  <si>
    <t>bbdbe7df74e015b52ebaceb681cb67b8</t>
  </si>
  <si>
    <t>e61e3694657f5810c77b31ec0b011539</t>
  </si>
  <si>
    <t>286e042ce096f9924a5c50007117b4e2</t>
  </si>
  <si>
    <t>fe6fcd2f3b7ac7f98504aacc4a5e0168</t>
  </si>
  <si>
    <t>6224dd4285b3dc84c2cc67f81fbb9448</t>
  </si>
  <si>
    <t>a315680eb5ec4d7a3b4aceb532fe0ed3</t>
  </si>
  <si>
    <t>e6270e5baa1022e41983c10f68761dea</t>
  </si>
  <si>
    <t>02c0eee956908e2ab03cd6c148a777ab</t>
  </si>
  <si>
    <t>178845487200a9943147d3bb69646a3f</t>
  </si>
  <si>
    <t>266bc67eedc7aa5733e5ee0075ed4b53</t>
  </si>
  <si>
    <t>9c298d452fff90cdf5aa5160af75bd31</t>
  </si>
  <si>
    <t>903a030bae3ce751cdfd1dbf19a950f4</t>
  </si>
  <si>
    <t>a343001cb5fbe2fd399ca14d8f11852d</t>
  </si>
  <si>
    <t>0553e61f8d82820e10ed8e439ca0aeb7</t>
  </si>
  <si>
    <t>3e33874f68c07fe286c386462a5f7655</t>
  </si>
  <si>
    <t>8198251a82981d378467581efc630f89</t>
  </si>
  <si>
    <t>220063d316cde532e7cfe9c90622eddd</t>
  </si>
  <si>
    <t>8b6cea67ab2082f90cffa6c0b0b4cccd</t>
  </si>
  <si>
    <t>c8f093b732314d1372e72122187564a7</t>
  </si>
  <si>
    <t>584b901a645c4853a7e2e96003066fed</t>
  </si>
  <si>
    <t>14f32b29be7f83c04be78e3652029ee9</t>
  </si>
  <si>
    <t>be5aeb6114d222be0d2206a4fe593396</t>
  </si>
  <si>
    <t>13142af6b410fc48644a0d65c6b71e79</t>
  </si>
  <si>
    <t>99b8e60ba027d2da518c1833c51c25dc</t>
  </si>
  <si>
    <t>5c785c87aa1a4c9ada0d32fdb8812162</t>
  </si>
  <si>
    <t>dffd69c22acabae679d70252d15b0c8a</t>
  </si>
  <si>
    <t>4eba51e2ffe76ee3c62d6b48b4c942ce</t>
  </si>
  <si>
    <t>d7e97f171a85fc5b63dba289286320c1</t>
  </si>
  <si>
    <t>10d6f0610e76bff353b1d999ee8b2316</t>
  </si>
  <si>
    <t>57813341b191911701c63515b3854bbb</t>
  </si>
  <si>
    <t>e87794efb4fdad19095be45f5a051c83</t>
  </si>
  <si>
    <t>96126350894339d3e338c41907372418</t>
  </si>
  <si>
    <t>0aaa572c9f130dbf9985bdc9b6a38707</t>
  </si>
  <si>
    <t>f9f0f4388cd5594d4f1ec855d0d0b9f1</t>
  </si>
  <si>
    <t>78c624fa70952cd4b04502bafee12d09</t>
  </si>
  <si>
    <t>c18cf69eab3e736757bc9a2aed7ac492</t>
  </si>
  <si>
    <t>95f0530363b5543ae8880a08d678d263</t>
  </si>
  <si>
    <t>5fb812a06a61df977c024dd1a9d90473</t>
  </si>
  <si>
    <t>7e087d3325d637b99d33247b7645dbd2</t>
  </si>
  <si>
    <t>3d6449c93d9ee45c1dbf3e8cbcd7e785</t>
  </si>
  <si>
    <t>c6820fa5753b055e6224b7200857c665</t>
  </si>
  <si>
    <t>28542ec9c1bac981dd5c0911991df5d5</t>
  </si>
  <si>
    <t>13624fac49e3897557b691c2a6fd15a3</t>
  </si>
  <si>
    <t>d5c1a4a2bc5f8fde48518ca04300f6ee</t>
  </si>
  <si>
    <t>b30213be8cf564c482dc9ee93d787c7f</t>
  </si>
  <si>
    <t>f3aa9136e1ddbd4d9c2ed9ae77830687</t>
  </si>
  <si>
    <t>8542fa9b1af8d8fb16873d1abce21b04</t>
  </si>
  <si>
    <t>e11e99becbad03f6237c98f51327dd64</t>
  </si>
  <si>
    <t>5a760f7d773c33f0425a1239b7ad2bda</t>
  </si>
  <si>
    <t>ec2ebeb128885b88ec5a9d2e9ccc50cf</t>
  </si>
  <si>
    <t>d1c4c0c2ace7053f7f6a5c8983cf30a2</t>
  </si>
  <si>
    <t>f4674f1d4232a8bf5de46fcf9c25b157</t>
  </si>
  <si>
    <t>10e2254cbe305bca74af6a90e85fd151</t>
  </si>
  <si>
    <t>29a67c5b3b31346a646370fe9a7ecc54</t>
  </si>
  <si>
    <t>e3486523c62ab15b3c116d0a12899ba4</t>
  </si>
  <si>
    <t>fbcc089afcdba8b2cda8ce5ad0719974</t>
  </si>
  <si>
    <t>f4d86a8125c9075b9c93fd733091a718</t>
  </si>
  <si>
    <t>a1be351b0920c0a9541ba5accf6329a8</t>
  </si>
  <si>
    <t>9095084f2fc61c97636d9acb247cf983</t>
  </si>
  <si>
    <t>802c9bf3a3495755e361c549a5d6d261</t>
  </si>
  <si>
    <t>8511bede5659d695d96e35d6a3d22596</t>
  </si>
  <si>
    <t>f53fd756fd6cb8630824f2706da50cf8</t>
  </si>
  <si>
    <t>8080d00621900c36dc448833fd43d6c6</t>
  </si>
  <si>
    <t>4b916c2fcbcf05d006b9996c5051a734</t>
  </si>
  <si>
    <t>7787dd01631c09f8c92c4f6c9e48e9ce</t>
  </si>
  <si>
    <t>73aa5a74ecde1308ad369fbb6459678a</t>
  </si>
  <si>
    <t>a3305fd2de82e6a0a449103208fc0797</t>
  </si>
  <si>
    <t>fa14ad40fbd6135c7cc0ccf59bf2cc8b</t>
  </si>
  <si>
    <t>790abb727c70c07856da8453bb5cfdcd</t>
  </si>
  <si>
    <t>f2352976228ed9e1001740f890ea32a1</t>
  </si>
  <si>
    <t>89c6b8289089152cb76823fa27538e8f</t>
  </si>
  <si>
    <t>cc93c7f903332eb4796e87b65e6184a9</t>
  </si>
  <si>
    <t>1866540b53e76fdae8241324a3cf00ed</t>
  </si>
  <si>
    <t>93933c5ad7b155534a1f6362ef1599aa</t>
  </si>
  <si>
    <t>f6e2e504bad88ddc7dc4fd60daa9f2fa</t>
  </si>
  <si>
    <t>7de5d1cf050a907a58a014d0164be552</t>
  </si>
  <si>
    <t>548f40345f3b82e5f1c528d5e1cb6d02</t>
  </si>
  <si>
    <t>85d3ca78e538689a1329503a008758c7</t>
  </si>
  <si>
    <t>cd7a049453ed5ed6a5810fd10271feeb</t>
  </si>
  <si>
    <t>91536747c1d0c266981f526eaf24726c</t>
  </si>
  <si>
    <t>24e701bd47a0bc940f138c39f1101a39</t>
  </si>
  <si>
    <t>50cbeb2cd731c8e2f73cbba32786c381</t>
  </si>
  <si>
    <t>24dd5fa9d48415683a90ebff75839d1c</t>
  </si>
  <si>
    <t>4b164cbee9d91e5836388c52c515cfee</t>
  </si>
  <si>
    <t>60e53c44c3af49c2fff973e53262927a</t>
  </si>
  <si>
    <t>d1d6999433a844117177716b73a2c1cc</t>
  </si>
  <si>
    <t>b35920e1a7459cd02c72778198cf9ec4</t>
  </si>
  <si>
    <t>a75cfa4a869f772d4bc44103d5f9917e</t>
  </si>
  <si>
    <t>f2571b66dbdf7a4a6560ce8210195c4e</t>
  </si>
  <si>
    <t>767a3dc86ff1990362254dbce40d9e7e</t>
  </si>
  <si>
    <t>35998424303737426e3e8063d1cd1b60</t>
  </si>
  <si>
    <t>d051c8acc9bda9537ea0da35626c3992</t>
  </si>
  <si>
    <t>426190426ed46040e966a7bdbf167563</t>
  </si>
  <si>
    <t>d162b4e3914edac97cf7f97a5dcfc3eb</t>
  </si>
  <si>
    <t>1475b5a374a6c9f115fa94122334cbb9</t>
  </si>
  <si>
    <t>50b2df68eccb23720dda4bd5773b08a4</t>
  </si>
  <si>
    <t>672d8ba9da907fd2411172f82eeb958a</t>
  </si>
  <si>
    <t>c0648fd14b9d9468b734caefe0ccddc0</t>
  </si>
  <si>
    <t>707599e8eea3fb91d1ea15287019080c</t>
  </si>
  <si>
    <t>3ea1f12da126e810e3dd743071dd075e</t>
  </si>
  <si>
    <t>c849fc94b6ee223de68d9688ee11159a</t>
  </si>
  <si>
    <t>a1b9ac696d7e854f863f2379a83c3bd9</t>
  </si>
  <si>
    <t>224d1dc51176b9b06cc3db733eaff5da</t>
  </si>
  <si>
    <t>d3d894facfb83e23786aca471828b14f</t>
  </si>
  <si>
    <t>b60e1852aad3468dd94e2ab2b5ed7f69</t>
  </si>
  <si>
    <t>65627efcc2797a98403ebe8302b9f1f1</t>
  </si>
  <si>
    <t>a62d456ce07474a6bad42360d9109bce</t>
  </si>
  <si>
    <t>929893af9c432a4272d51a02b9fa16c6</t>
  </si>
  <si>
    <t>98aa29b7d929b9be11e6bbfb01bc5c05</t>
  </si>
  <si>
    <t>6674f63a96c3237c609d496462ebacaa</t>
  </si>
  <si>
    <t>8f6d08fcf862eafd621118762b49621d</t>
  </si>
  <si>
    <t>eede168bbb09662c3d583fe6969acfcb</t>
  </si>
  <si>
    <t>92e21e188e271f277e1116f70c5f5594</t>
  </si>
  <si>
    <t>176868c5ef66b4a6ae5553c015d1457a</t>
  </si>
  <si>
    <t>84197adbf9d3448ea03e9e4c9fdc0ede</t>
  </si>
  <si>
    <t>e61b0b40d1e9ccc72714a631f22a1205</t>
  </si>
  <si>
    <t>6232a11cf58ab72e1195fc0cbb0bce6a</t>
  </si>
  <si>
    <t>656b4baf1d3780289007736b9a5c954c</t>
  </si>
  <si>
    <t>2e9a5cc960fdd5002a0d440ac7e2414b</t>
  </si>
  <si>
    <t>7c4c77cd685bb78e275c572c5cd11faa</t>
  </si>
  <si>
    <t>aea44ed43116ba933d45a1a5edefe4b8</t>
  </si>
  <si>
    <t>ff7719e598b1208b622f54cfcc4e15be</t>
  </si>
  <si>
    <t>7442c1b2abe10cd5e44c0b1a216333ad</t>
  </si>
  <si>
    <t>f16614b9869eb68f9bbb95442acb6572</t>
  </si>
  <si>
    <t>50a8d8081fab711ec58af358cff4b66a</t>
  </si>
  <si>
    <t>cb7277ff52baf921184a1d4350312b82</t>
  </si>
  <si>
    <t>aca37d025d8c313dc57bbcf9b9a95436</t>
  </si>
  <si>
    <t>19ed3b0eb3a0654cfbe83307db147795</t>
  </si>
  <si>
    <t>97581a5b175f668e2b77affc3829b21b</t>
  </si>
  <si>
    <t>28218fc0ca03a1e67e5a226ddd87b404</t>
  </si>
  <si>
    <t>031bba78d4224b1849286296c55ead78</t>
  </si>
  <si>
    <t>ef6a7cc24b73a32ef3ef33dd4afa1444</t>
  </si>
  <si>
    <t>c2498b98f65645d15fb93db8dbceb7d5</t>
  </si>
  <si>
    <t>c3008cb2036050eb2ca749dd0616d626</t>
  </si>
  <si>
    <t>1e68355def9938bc37e0478f4a0def99</t>
  </si>
  <si>
    <t>c5a96e355aed2627b8d31d768966b50d</t>
  </si>
  <si>
    <t>5db8468342c29b6aee90d050e416e05a</t>
  </si>
  <si>
    <t>0a560e5b763f1a1faa69789286b0db93</t>
  </si>
  <si>
    <t>37ac300cf9d364ef40816b72442982ec</t>
  </si>
  <si>
    <t>0f0de9848fb901f4795bb64c5c5fc7e0</t>
  </si>
  <si>
    <t>a3777d31c5734db7b5e92f0bd6a01cf0</t>
  </si>
  <si>
    <t>3556d6eba26375048ef1dcb067a86d37</t>
  </si>
  <si>
    <t>d269dc29a6d585fcfa6bdf3b5043d98e</t>
  </si>
  <si>
    <t>8d7e1a0779259eb359595bfe7484e268</t>
  </si>
  <si>
    <t>8cb9b147f7cae5d9e91d1d058dab19bf</t>
  </si>
  <si>
    <t>8bdef2f31475dccdfa3d21d3df73d606</t>
  </si>
  <si>
    <t>df021cd52ae4ac4ad228e63f4f34446e</t>
  </si>
  <si>
    <t>336ef93cb28e6a424a91a0b5ec056aea</t>
  </si>
  <si>
    <t>94294515d8efbb2bc3042eda2d594db0</t>
  </si>
  <si>
    <t>eee87bb02655fc9163dce3cf6c7a7e1d</t>
  </si>
  <si>
    <t>448b570a8e7107bd3723e138095657b9</t>
  </si>
  <si>
    <t>ecdf1cdab935d01eecdafcd47aaadbbf</t>
  </si>
  <si>
    <t>eef331687a4cfd1ab8456b14af8a118f</t>
  </si>
  <si>
    <t>4c257143d5ddced8c39444d506cffaab</t>
  </si>
  <si>
    <t>d196eb716cb1a9b2d2b8393a07d63b93</t>
  </si>
  <si>
    <t>5a5325f7cb6d2e7dbc25a27d60fba069</t>
  </si>
  <si>
    <t>3c5a315217b02a52e80c4068205f9ee4</t>
  </si>
  <si>
    <t>4297ec8c3f651bcbc235f5d64c6929b8</t>
  </si>
  <si>
    <t>3250cf16fc372c860095f7c2383b4159</t>
  </si>
  <si>
    <t>0821ff15b3f0caa8ad99aca5ecae9972</t>
  </si>
  <si>
    <t>ca3f72d5b38bfc860de1fb1c3318bb1b</t>
  </si>
  <si>
    <t>4af0759a22636093a2c7db6220d039b1</t>
  </si>
  <si>
    <t>68a7ac13c8c9d838ea43dd9adf228671</t>
  </si>
  <si>
    <t>b9d16a715a4d7a7ac0ee34e5bce9afb7</t>
  </si>
  <si>
    <t>708fe57325d182a4b2c32146f80f7c56</t>
  </si>
  <si>
    <t>652b472a4a3320275a87c19d84c052c1</t>
  </si>
  <si>
    <t>8e1e220bd61a6a6ba1f43d173a678b18</t>
  </si>
  <si>
    <t>c007dc00d905baf9b8323730a7d73de1</t>
  </si>
  <si>
    <t>7b532c05b3ceeaf09cf34cb6b0932a8a</t>
  </si>
  <si>
    <t>ca51ec4ca157a77845356b08cd00d2c1</t>
  </si>
  <si>
    <t>7fb0ec35b4d278b41008babf7498ba4e</t>
  </si>
  <si>
    <t>a4a89af29b91d8ab812a1f61e1d395a0</t>
  </si>
  <si>
    <t>faf4bdb1a1bb808510e6e28c7e223303</t>
  </si>
  <si>
    <t>de3f721a7bba03564db417d2ca3a7be9</t>
  </si>
  <si>
    <t>9da0244fb6a7cf23d90685a91003dfda</t>
  </si>
  <si>
    <t>eaec2838ee513c6cf13cb362f5595d22</t>
  </si>
  <si>
    <t>e5ab30f57c70e1ae6f46576aa4b1bae7</t>
  </si>
  <si>
    <t>4cfba0b1edc2a3779530a89858584c73</t>
  </si>
  <si>
    <t>ed1dadce0c9c494e2e917b945063648d</t>
  </si>
  <si>
    <t>da481836882ad46f5dd06ddfb7a54ff3</t>
  </si>
  <si>
    <t>e97732fb44bc823dd5161b20c65a90fb</t>
  </si>
  <si>
    <t>1ea6e9335dc633e8f103b34629cc421f</t>
  </si>
  <si>
    <t>bb4e96bd6539a9b96d256d234c2e370b</t>
  </si>
  <si>
    <t>202933472b1217632c2e1d7bbd5fabbc</t>
  </si>
  <si>
    <t>04d8e2f3021ef154b84124ae4edada61</t>
  </si>
  <si>
    <t>c2b63f84cd95a54472f21fc3a1ff99e7</t>
  </si>
  <si>
    <t>f0a2b3daa9f788518b67bb855bc98122</t>
  </si>
  <si>
    <t>944855b02b6246132f9c53a9d9d753f7</t>
  </si>
  <si>
    <t>96481a0276b83852d3db7a53d4c3541d</t>
  </si>
  <si>
    <t>694814593bc677edd3c413391387b5c7</t>
  </si>
  <si>
    <t>30ab14bddd8069aeed0b2ec743227275</t>
  </si>
  <si>
    <t>27854a045a2ff17f4dc60b285759994c</t>
  </si>
  <si>
    <t>50e14dcda54ef2f6a2eb85080725ff78</t>
  </si>
  <si>
    <t>ba4e25f09ef44148b34ba512e434287d</t>
  </si>
  <si>
    <t>39ef6e62cc11da04e414d90c11d753c0</t>
  </si>
  <si>
    <t>9be9555dc68a7749abe1b8a7b2439895</t>
  </si>
  <si>
    <t>ade9ac3567edaa7ceffe6e1d32dc4edc</t>
  </si>
  <si>
    <t>8fbccc57ea66a7da43247860ab2c543a</t>
  </si>
  <si>
    <t>7c85001bcf7deab099aa8d65c58b9c40</t>
  </si>
  <si>
    <t>ce7913511d7a2ed91ccd2631d8c6ccb7</t>
  </si>
  <si>
    <t>af725466c11a0c9a2b18817e0c8cae16</t>
  </si>
  <si>
    <t>ac90d373f19e408e8e33706b350c5f6d</t>
  </si>
  <si>
    <t>5493e52b7406684de04bc6e18512b516</t>
  </si>
  <si>
    <t>e9684e8a2c0f916ca7886df5457503a4</t>
  </si>
  <si>
    <t>3468d406f574c0a0e867cde9c6067f4a</t>
  </si>
  <si>
    <t>84467e203b77b529fff4b44c031cbb27</t>
  </si>
  <si>
    <t>1a1b38806c0bb778f2cbe2a981ccb5ff</t>
  </si>
  <si>
    <t>e1382c34dbdb00238c4b7251deaf9dc0</t>
  </si>
  <si>
    <t>e65bd9c8b26794e4c8891ad65dd67143</t>
  </si>
  <si>
    <t>7a22c0ec61ea542bdc6c8ce0b8cc465e</t>
  </si>
  <si>
    <t>991cb8966f2400d2c246d306a0cde456</t>
  </si>
  <si>
    <t>885a348d78ded2fc3c001ab1ac7bcbf1</t>
  </si>
  <si>
    <t>d5f08c3e7ed3b94f12897c39e9aea14e</t>
  </si>
  <si>
    <t>595a96df4b8ab9024eb97e5e9ec182c2</t>
  </si>
  <si>
    <t>06edfa10f9d4e41586c6cd023cb79aac</t>
  </si>
  <si>
    <t>866638119ebbf3c15acc53dd212fae80</t>
  </si>
  <si>
    <t>ccb73fa946f5903e3e0d213ecf4f7c61</t>
  </si>
  <si>
    <t>2b127ec48c7073ca9a55e6c3f556f844</t>
  </si>
  <si>
    <t>370dd6e9752cea57ce2b2631a2921fab</t>
  </si>
  <si>
    <t>ae6647058ef360593f2ecaf68bb01634</t>
  </si>
  <si>
    <t>0638fb98ea02cb86b6592963cfb5d946</t>
  </si>
  <si>
    <t>1edfaba6274f6eea0b7affd648af8bb2</t>
  </si>
  <si>
    <t>bc5ae62f450ecbb302371fcd9f9a2d89</t>
  </si>
  <si>
    <t>5778c8e3f5f7578279e969b5aa88c071</t>
  </si>
  <si>
    <t>4f0de45066022ce368b051e441603403</t>
  </si>
  <si>
    <t>186f8c0713edec0d4126ef9586f3d80b</t>
  </si>
  <si>
    <t>b2a612bf7bda982c250f1f6568722fe6</t>
  </si>
  <si>
    <t>5867078ec64cb1c4c564c621ce00684e</t>
  </si>
  <si>
    <t>c7d4578c8986192ed5750e3bfb51d670</t>
  </si>
  <si>
    <t>749b3357fc7355ae756a57e135e852c8</t>
  </si>
  <si>
    <t>ed1f35b32f3ff7c65877b5d9e8429f5b</t>
  </si>
  <si>
    <t>0428772cb4baf458006ff228d473b3cf</t>
  </si>
  <si>
    <t>c74a1c8b2d4298db902bbf590a5abd06</t>
  </si>
  <si>
    <t>031717e84d4bc0d12c94624ce506c34a</t>
  </si>
  <si>
    <t>923f6be567ac7eee49cc1bb5981dc82b</t>
  </si>
  <si>
    <t>0625a16a5f94578211f7f049b3db1948</t>
  </si>
  <si>
    <t>7e45a31358757ac7befbbc987ad2cba6</t>
  </si>
  <si>
    <t>22ca7ecde4719c40a627e974df39cee5</t>
  </si>
  <si>
    <t>66ef9540b2a052bdfb23047f4ab8136f</t>
  </si>
  <si>
    <t>9e73723f414feea1ecea6db06ec4efee</t>
  </si>
  <si>
    <t>69f0905bc7a02129133307dbb221a016</t>
  </si>
  <si>
    <t>63d6dd40799ae88bbbe416094a2784d3</t>
  </si>
  <si>
    <t>8c0ec988a470326e2014eaefc17095bd</t>
  </si>
  <si>
    <t>fd827ec46b66ba9452f754a9c390889d</t>
  </si>
  <si>
    <t>aa38e66f65502dc3c13004b03fe445ea</t>
  </si>
  <si>
    <t>9f06321985a1f0930566495b4d3dabad</t>
  </si>
  <si>
    <t>f2d5d12a3a4b5447b586700e1773a308</t>
  </si>
  <si>
    <t>e37a1cb5821f0ab9ff77de1d2c865819</t>
  </si>
  <si>
    <t>98b826c91867a5c4171f5adb75244b9a</t>
  </si>
  <si>
    <t>38e8e5c8aa718c9fe69a1ac5029dce9e</t>
  </si>
  <si>
    <t>17ef86c61b6750f0d6e86f7170c2e437</t>
  </si>
  <si>
    <t>f22ee2a654c9305901a67378a87de29c</t>
  </si>
  <si>
    <t>af49124224775f3884cfee40959f9920</t>
  </si>
  <si>
    <t>e5f4485839756348acca7a47077053a5</t>
  </si>
  <si>
    <t>c619d7a3b2ce53811ece95f87793e851</t>
  </si>
  <si>
    <t>2e85409c3511b9c99a5bed34a7697141</t>
  </si>
  <si>
    <t>3fdaa7b078731e3412d5c89c4c63960e</t>
  </si>
  <si>
    <t>b911e41b1771a078d899d9c41017f406</t>
  </si>
  <si>
    <t>9e55b9d6caf4c4998e87bce8f83c265a</t>
  </si>
  <si>
    <t>13d8764f357f901548d45a5ab5cdc816</t>
  </si>
  <si>
    <t>8b4a4a5f3b34934d86f020f8974eb3a2</t>
  </si>
  <si>
    <t>cac485007fcd8a90b849408eaff7b00e</t>
  </si>
  <si>
    <t>6330de4f94eae9496924ec59cd8de94a</t>
  </si>
  <si>
    <t>b49eda90bccb920b2321e22ee2e958b3</t>
  </si>
  <si>
    <t>56063317aee7f115ca0b666e040bc4e1</t>
  </si>
  <si>
    <t>df7b19f91ded269e9f4783a9252a7410</t>
  </si>
  <si>
    <t>7a9c7fab307f2ce156b424d4a044b971</t>
  </si>
  <si>
    <t>1058e0785ed81edbe932a05e01247557</t>
  </si>
  <si>
    <t>0a239e4159dc404c8e0597824d0b564c</t>
  </si>
  <si>
    <t>8ce108f2de4bc8e8e8884fe343bf39cf</t>
  </si>
  <si>
    <t>a880b8d26d5cf3bd47f441af611f5a72</t>
  </si>
  <si>
    <t>2f54e430f4e2eaf3bc810441402e6430</t>
  </si>
  <si>
    <t>700e890df7979aa2855192bfaa115652</t>
  </si>
  <si>
    <t>b172ca5d005c8685499572ad867ccad8</t>
  </si>
  <si>
    <t>f2e8c17c54b6e0de5ae1a0d9449eb3d9</t>
  </si>
  <si>
    <t>f89df516d2f3bd9ccd2d258687ed096b</t>
  </si>
  <si>
    <t>953c526076bf072a9090b7dcde2fa1fc</t>
  </si>
  <si>
    <t>ae433aa14a7a7b94cae026e216dbbdef</t>
  </si>
  <si>
    <t>d31eda558c538a711eb658bb5f532d4d</t>
  </si>
  <si>
    <t>f78df4ff8675123c06caa483f1125873</t>
  </si>
  <si>
    <t>efd501e71c98da4de25176f5d2a4ab2a</t>
  </si>
  <si>
    <t>cddf3a9bdf93daab27fd96e66a264c34</t>
  </si>
  <si>
    <t>0b56b074711fb870a7f41dbd8bd56025</t>
  </si>
  <si>
    <t>99457bdee372270310fbfa46ab7b0dcd</t>
  </si>
  <si>
    <t>5dcb8f2b7242211b8726bfee1652ff35</t>
  </si>
  <si>
    <t>678d1e5260cb8a15c344e26b70336897</t>
  </si>
  <si>
    <t>4a1301f1e1e277e234e92020e3ae7f67</t>
  </si>
  <si>
    <t>03bb4f26ecee843f0327ca6c1c3f4362</t>
  </si>
  <si>
    <t>c2f3de24e27322e161ce36599ee546c2</t>
  </si>
  <si>
    <t>06c2b1bd0c6c80d9d169bf83fff0ae2e</t>
  </si>
  <si>
    <t>95d9cb4340bf5b913418fc5791b6c493</t>
  </si>
  <si>
    <t>f87842d69f76d8e174abca4f87cf2683</t>
  </si>
  <si>
    <t>203b3ec0805ae299263edfdaa015c3d3</t>
  </si>
  <si>
    <t>38a7e738e435d7ef148574821176c5ab</t>
  </si>
  <si>
    <t>d851f47898d1f1bb60d8d66fad8eb699</t>
  </si>
  <si>
    <t>80c22616890e4b735cd0aaa3e01e04f8</t>
  </si>
  <si>
    <t>55b9975bffa8d973aa99838169675cac</t>
  </si>
  <si>
    <t>4e2327e1ef2409e4af62dfe33622cf62</t>
  </si>
  <si>
    <t>e6c7135829f224c21722c026cf6eb355</t>
  </si>
  <si>
    <t>d236e55d17358c312ec14707481d2466</t>
  </si>
  <si>
    <t>d521d964965cfe14db4d2233a703887e</t>
  </si>
  <si>
    <t>c20c97c03c6fc04a6e7550d081028ba1</t>
  </si>
  <si>
    <t>03d26e43611b7459c6b02d24c3740201</t>
  </si>
  <si>
    <t>9df16f8b46f30bd1be2b96db8683e11f</t>
  </si>
  <si>
    <t>7d11d54eb592b96f347f9b5a8e8b7062</t>
  </si>
  <si>
    <t>9aade355aa0bc26706384eb032c91596</t>
  </si>
  <si>
    <t>cf9e956f11a4d014b3e0f1acec7216e6</t>
  </si>
  <si>
    <t>1733ee7c2d787b1d00c2b89d88eee634</t>
  </si>
  <si>
    <t>d99747f5c5e3ce6b10e3b850f569a876</t>
  </si>
  <si>
    <t>430f34b18b0944fd4b742e07aea4f261</t>
  </si>
  <si>
    <t>c5b0dde53ac9c580efd3f9f3ced7daa0</t>
  </si>
  <si>
    <t>31e7a5020ba4e989706d3375b812a31a</t>
  </si>
  <si>
    <t>859934d42dd2348f6fa6bc706e25f0c4</t>
  </si>
  <si>
    <t>81038dca35942201f5f89c79bacfe56f</t>
  </si>
  <si>
    <t>00f073f61c5271bb012a9abc2c98474b</t>
  </si>
  <si>
    <t>da322e94dda8e6c7897c5d6b8ba82317</t>
  </si>
  <si>
    <t>f2d534bf5a3e6ea723967720f0b8bdf8</t>
  </si>
  <si>
    <t>94290532ea3cff9122e1169ceedbf15b</t>
  </si>
  <si>
    <t>c978b0e45f4ffa2f084b63b823bc9215</t>
  </si>
  <si>
    <t>fc451cc61b79eab61e32e01eef95cb7d</t>
  </si>
  <si>
    <t>19e6634bb4c6593b856e8dc89eb9a9ec</t>
  </si>
  <si>
    <t>519086af161e000e86704ad578a93285</t>
  </si>
  <si>
    <t>491208c8539725508036bccc585134a2</t>
  </si>
  <si>
    <t>5509055add16b5d77fe9dcace4c3816b</t>
  </si>
  <si>
    <t>c494ab8f016a375ad2ee355db2bb6d09</t>
  </si>
  <si>
    <t>4da58b9201efa8dca9afd45e2db124eb</t>
  </si>
  <si>
    <t>e3cea9e921f13d03b4dab6cb128a765e</t>
  </si>
  <si>
    <t>45ec11fadfb600f82e08e758681a8005</t>
  </si>
  <si>
    <t>86816cb58e7cc0b8d7c883907f285f4d</t>
  </si>
  <si>
    <t>1322b7dd817a7e98ab377e59f465e473</t>
  </si>
  <si>
    <t>652751742e010d768066fb729657ee5e</t>
  </si>
  <si>
    <t>f4a3dfe0322351fed5555af68c4be3b1</t>
  </si>
  <si>
    <t>aac0b0d690b6bfbdfc7c90083ce461f6</t>
  </si>
  <si>
    <t>0c0354c770c1cc0cfc0737eef2835d74</t>
  </si>
  <si>
    <t>1c2da8407e45ba54bd7c3071311f159d</t>
  </si>
  <si>
    <t>ca69a18bfb005d552b8717a46275c77e</t>
  </si>
  <si>
    <t>ad5a1a0b995fe63213f38e4e6eb2f03b</t>
  </si>
  <si>
    <t>a3a91980e755d279697c9e903edebc8e</t>
  </si>
  <si>
    <t>13ad758c6c7848e9e6455f312b0e6d6d</t>
  </si>
  <si>
    <t>b35a3c53ca2f12fcaf47380689c1fcaf</t>
  </si>
  <si>
    <t>2fed8c4bfce36f6079ae3490de85d035</t>
  </si>
  <si>
    <t>69fbed007d2302773d0a9f7e7376cbc7</t>
  </si>
  <si>
    <t>8ecaa49efe591a6236763dc4c4ceb85a</t>
  </si>
  <si>
    <t>a370147652980d6f3e9ffb4598b723d9</t>
  </si>
  <si>
    <t>ac1f7477362a980f24b6f8ea45ec05fd</t>
  </si>
  <si>
    <t>26842699bb1bb397b4d810ccf28c1c7b</t>
  </si>
  <si>
    <t>2b2344ba7e4e7a5aab1cb1ee15901302</t>
  </si>
  <si>
    <t>af3d758d463caeaa75f97502a2ab2453</t>
  </si>
  <si>
    <t>480582b0e73091ad3c52bef06e33677f</t>
  </si>
  <si>
    <t>49de02a133c560139dfcd0e2ec09635e</t>
  </si>
  <si>
    <t>21e52874f67ad3275c06ed3d52ed1c64</t>
  </si>
  <si>
    <t>066e1cb7e39c11ccdb974135630081de</t>
  </si>
  <si>
    <t>e52e792e532139956733d6dde952b90f</t>
  </si>
  <si>
    <t>5ed406798ff4d570ad3b1535bbe6ed76</t>
  </si>
  <si>
    <t>b461347dee52688411ad2cfc4174bc03</t>
  </si>
  <si>
    <t>4922a21320d4f8f16a558bc8d987db0e</t>
  </si>
  <si>
    <t>f5bc0e42ecc2a6458c77f8da868bedcc</t>
  </si>
  <si>
    <t>951265e20b9ab716ea86acc7f4373e60</t>
  </si>
  <si>
    <t>89fcf006d1f8ebd4f45f6cdd98d5833a</t>
  </si>
  <si>
    <t>246bb71fa70a515a9f07f5bfeef4b362</t>
  </si>
  <si>
    <t>5e538f34a16477c8c44661580cb04edb</t>
  </si>
  <si>
    <t>23dbcfa155836e5f52e41a9f18b40f1f</t>
  </si>
  <si>
    <t>ba1c67fe7d75197063dafd204d4374bd</t>
  </si>
  <si>
    <t>3f0e39a6b6e75e54cf96e91c9f105e63</t>
  </si>
  <si>
    <t>0ff6bd3bd9e71cb0d8d27e81a1ae6ead</t>
  </si>
  <si>
    <t>5af28b554c45755bf940c588e004371f</t>
  </si>
  <si>
    <t>032d13f4d48dd3cf621ab3fabc5f1eb3</t>
  </si>
  <si>
    <t>9b2dd01c7967a269f64a4d7ce3c18bcf</t>
  </si>
  <si>
    <t>4d0e2e71bde1156f253b1f8caa54f7bb</t>
  </si>
  <si>
    <t>7f08d8884c87d8d9f9234831e8978fb2</t>
  </si>
  <si>
    <t>cc9ca63e63e5c11b2d16c9f6858cab4f</t>
  </si>
  <si>
    <t>9a82e436c89cbc1b02d60bc31535599d</t>
  </si>
  <si>
    <t>d463b31bb000ae2c9e31485d3c4e3792</t>
  </si>
  <si>
    <t>e04c099dd208272ff6c3fc5663d982c6</t>
  </si>
  <si>
    <t>38730563710d2acdf86423cd8341222b</t>
  </si>
  <si>
    <t>58c333c2b0aaa14f97f064a25e3334ba</t>
  </si>
  <si>
    <t>596e0d92596e3b892a7e8c580b74af6f</t>
  </si>
  <si>
    <t>f3d6e26a6f53bbcb4a2e170d49b53b6e</t>
  </si>
  <si>
    <t>1d497a860fba9dd723e25e6012c4d6cc</t>
  </si>
  <si>
    <t>fe134c3ee8fe0d23a46734be4fddbdf8</t>
  </si>
  <si>
    <t>0bb60a351993cad87cf33fe06f28c938</t>
  </si>
  <si>
    <t>eda90ed8eea6f312550ff4a3e3da18ea</t>
  </si>
  <si>
    <t>8bb5c08de59ffc6e78d57ddbde72d41e</t>
  </si>
  <si>
    <t>b5fde92ae9b92776fae8a2b7c073864e</t>
  </si>
  <si>
    <t>cae131aaaa9f86618f3e039d47aeffdf</t>
  </si>
  <si>
    <t>a0df4215121f6eecf90fdcd84e2d5392</t>
  </si>
  <si>
    <t>72db651b006641a4f6342e1c648d11ba</t>
  </si>
  <si>
    <t>b6093352b7dffd3cd308b8cf68e2cf31</t>
  </si>
  <si>
    <t>1ff071f768757f96f02aa1b61b5526dc</t>
  </si>
  <si>
    <t>d77179ced902f9db7359ecbcb5e7b4ca</t>
  </si>
  <si>
    <t>680455a5b122db7773049fb1319b5410</t>
  </si>
  <si>
    <t>f31a37ef63ea2e7322df4f57cbad5807</t>
  </si>
  <si>
    <t>9af67b4bee430dc9c7e352ab4f58fde7</t>
  </si>
  <si>
    <t>d9152e9a646467047d376ce32b0af40d</t>
  </si>
  <si>
    <t>5a0312f52bb2c05e56d7be2a19a98eb9</t>
  </si>
  <si>
    <t>4555aafbc9c2d28878fcb76584f93232</t>
  </si>
  <si>
    <t>4ccae016242fe45556cc8b73942f81b1</t>
  </si>
  <si>
    <t>74526ce150cd92ee613917b6dcacc643</t>
  </si>
  <si>
    <t>4b7eb63db14e9057d9f20ee1ec5f0581</t>
  </si>
  <si>
    <t>06701c41a3473dd2bfd10e3eefc8b5e1</t>
  </si>
  <si>
    <t>ccaf890d837c617e5863b6cf462ade88</t>
  </si>
  <si>
    <t>815c25f0fa754bbabece9ed227feb8a6</t>
  </si>
  <si>
    <t>9325de10bf3674c9a5cc242755c8b7e3</t>
  </si>
  <si>
    <t>e28714f3c1228618078391d5feb96402</t>
  </si>
  <si>
    <t>c6013839eb04bd24f435b45e694ae0ed</t>
  </si>
  <si>
    <t>edbbca3d32355534fef27584f65f1aeb</t>
  </si>
  <si>
    <t>7343eb3f8603813679536c5ddce3090f</t>
  </si>
  <si>
    <t>0cff1a327ecb89df0cddd1dcff356180</t>
  </si>
  <si>
    <t>21f6313331a1caee8e4c2271f7a0a51d</t>
  </si>
  <si>
    <t>aab9b1ad235e2ae4ee6a0f7b3f1af140</t>
  </si>
  <si>
    <t>36bcd05cbb230aa77ce3f7893fc979d1</t>
  </si>
  <si>
    <t>bd8e5647ac35de5d4fcdaa6cef1fcd0a</t>
  </si>
  <si>
    <t>b2892556a11dc8311649b638717ceb47</t>
  </si>
  <si>
    <t>86e3ecd1892e9c2c95a74b0f5971aa92</t>
  </si>
  <si>
    <t>24e052ac407fee858c2a3a8f341d2d84</t>
  </si>
  <si>
    <t>921ebb3a649e4229110bc3863337f6cd</t>
  </si>
  <si>
    <t>542d8e6220e65572c9492d7b01fd16a5</t>
  </si>
  <si>
    <t>066f92d4cce81b3e9c2dcddff8e7078c</t>
  </si>
  <si>
    <t>4cccc4d335dbff083000d5e5c5645f47</t>
  </si>
  <si>
    <t>6118dabdf0067aa648a4f581ccc12cc5</t>
  </si>
  <si>
    <t>8bbdb1e1b064db3697e027e5493dee62</t>
  </si>
  <si>
    <t>caf411c7c35450e6cc3f1a352eac2f69</t>
  </si>
  <si>
    <t>d61725baafdd658624ef77ceccf77602</t>
  </si>
  <si>
    <t>92fce09be1f046a1e97acbcf03a00bb9</t>
  </si>
  <si>
    <t>2ecec139b9b31c0a0eddf8562d999999</t>
  </si>
  <si>
    <t>fba52ccaa3e8b77c2b11e2bf742204d1</t>
  </si>
  <si>
    <t>e16652a14c6203397a9ac9f45263ae84</t>
  </si>
  <si>
    <t>ebd838a679e346d3237b76c1527d9eaa</t>
  </si>
  <si>
    <t>e55a5b43345ddc85b1893e2b08772cc9</t>
  </si>
  <si>
    <t>adab90fd3cefc2f12d4572e8f656ae89</t>
  </si>
  <si>
    <t>352fbc7c9eb1b252d4fdce8c559fb857</t>
  </si>
  <si>
    <t>34c9882f0f0e3d3a247da642a9c80fc8</t>
  </si>
  <si>
    <t>bf0b172b1c643bf800e979dbabe0e6ca</t>
  </si>
  <si>
    <t>76d059f94bdf54f55f7543e6bbe07742</t>
  </si>
  <si>
    <t>07e276bc59c847de662351b573d455a6</t>
  </si>
  <si>
    <t>e2c7e89fce2ab6cdc9e8d417565014d3</t>
  </si>
  <si>
    <t>006b8f370e20beacf8a1d91bc8ca91b0</t>
  </si>
  <si>
    <t>e2de19d9f6891f7d35164d81c4a2b6f9</t>
  </si>
  <si>
    <t>9d56b3780edb5bc6d8890ae486da2e5b</t>
  </si>
  <si>
    <t>4b6a8438a736d7c7b1ad875c96b448bd</t>
  </si>
  <si>
    <t>62fdd5ebae79412a06844055e4ebc147</t>
  </si>
  <si>
    <t>e23d4a229cd8d3541ed578d1d57143df</t>
  </si>
  <si>
    <t>2edefc2ddfd6ce16d42f98b584a25e5c</t>
  </si>
  <si>
    <t>370b061ca77fa74a51d4a631c527e9e1</t>
  </si>
  <si>
    <t>c6d0f339be8add6d4c5d58363236939e</t>
  </si>
  <si>
    <t>ec5dce561fdca72fe1bf51c64946ddad</t>
  </si>
  <si>
    <t>bf352becf4120b9ffc0b159d7e3e6698</t>
  </si>
  <si>
    <t>1443fe145c2d07e294e21f236b87ef15</t>
  </si>
  <si>
    <t>100597303ca4c531663cfb98dc0b2a46</t>
  </si>
  <si>
    <t>6637ecba0232c1d5dd75fd5f92e3e958</t>
  </si>
  <si>
    <t>0b56922d20f0af6a13463f7bc261a058</t>
  </si>
  <si>
    <t>55926b539f3f53780c8d2678a483b6b2</t>
  </si>
  <si>
    <t>c7ba0c2f4459058a02faca13968beab1</t>
  </si>
  <si>
    <t>3a347bdf60f6cf556e3853c3de280fc2</t>
  </si>
  <si>
    <t>e7022d3dd243b47214e971cefc3f2223</t>
  </si>
  <si>
    <t>25ed356d95924058d68622c3f5826924</t>
  </si>
  <si>
    <t>c51083fd9ca241e6eeeafb2c38a42ae2</t>
  </si>
  <si>
    <t>6c9868333ed625f7d510bb031425f182</t>
  </si>
  <si>
    <t>62ff12bd476cea05bb399a8dc3286143</t>
  </si>
  <si>
    <t>20855fb7bc558d5ff5fef0e57e1133fe</t>
  </si>
  <si>
    <t>4b782d66201b22fee12aea5cc56a541a</t>
  </si>
  <si>
    <t>2aa10617b61e6128eee154bfe3ed41b1</t>
  </si>
  <si>
    <t>29151d4cc05028082bc107b67455e8cd</t>
  </si>
  <si>
    <t>551796c0dee7a1248700a44b43d1159b</t>
  </si>
  <si>
    <t>52a18acfa4a19a08883e0e67a52f8f90</t>
  </si>
  <si>
    <t>6ac86ebce12a63cdf4046ec32a06099c</t>
  </si>
  <si>
    <t>91d0b168fd80b250666ef9807cd2a527</t>
  </si>
  <si>
    <t>c1469d0e5ad2186fbd6b79305d433cd3</t>
  </si>
  <si>
    <t>bc0854437cd6e2c67df96f11a85361a7</t>
  </si>
  <si>
    <t>082d35cf7ac595260d0ba327648ba132</t>
  </si>
  <si>
    <t>c1b33c161e1b8c54fdc4380f5a76e046</t>
  </si>
  <si>
    <t>b97e91716553107b3d7fc0685ee39671</t>
  </si>
  <si>
    <t>2bb92950361b3eb5615ef9c704b058be</t>
  </si>
  <si>
    <t>acc7c425db329ca6db7c102bec3ca52b</t>
  </si>
  <si>
    <t>76f2877d9d3530875eb6bd30fd508c78</t>
  </si>
  <si>
    <t>605581f5f9f9429e6a2d3d4bbe1e7d8f</t>
  </si>
  <si>
    <t>9824b254c4233ba62ba0972801d5699f</t>
  </si>
  <si>
    <t>382adfc842f084e35e7d96342633245b</t>
  </si>
  <si>
    <t>4778e66395009ac85a77c2900ae76d02</t>
  </si>
  <si>
    <t>905883089cea86135e2234ed9e9e8702</t>
  </si>
  <si>
    <t>33c9fd4e02614f605f33a7d9ff3886d4</t>
  </si>
  <si>
    <t>7977ae2cc6a2a02b00f175a7aef27020</t>
  </si>
  <si>
    <t>27dea50af2545bb391f8448706a7cf20</t>
  </si>
  <si>
    <t>ff1aef35bcd4cf6e472a26e3a61b59fe</t>
  </si>
  <si>
    <t>27cda0eebc12145872adfa4c8e12f2dd</t>
  </si>
  <si>
    <t>9cedb97f36ae61d4d9975d0219e482d6</t>
  </si>
  <si>
    <t>1aedd20108dd63e7796e77a6e84aa63c</t>
  </si>
  <si>
    <t>06a8733481f0af5ed8971a974cb32302</t>
  </si>
  <si>
    <t>ca59a457482bfc355897d5a97a1b85fb</t>
  </si>
  <si>
    <t>4b608098e155f556485169230e60a356</t>
  </si>
  <si>
    <t>ce6d9dd5ef052d3e17dd7e894f2acd31</t>
  </si>
  <si>
    <t>b87a16e1dae37967cb1ee005a07fd131</t>
  </si>
  <si>
    <t>9dfea43866acb58726b60e8a9f7db8d0</t>
  </si>
  <si>
    <t>18d4c5abfc0ae43c9c51d82e814a7ae7</t>
  </si>
  <si>
    <t>1bb496fd0f6b58631259f51035917f49</t>
  </si>
  <si>
    <t>3f48ac508dd12d7e66d466fe10978668</t>
  </si>
  <si>
    <t>6f41777fe6cde7ee7d3fcd8d2b819623</t>
  </si>
  <si>
    <t>942ea0a4592084434e7b2afe99c80e23</t>
  </si>
  <si>
    <t>28d26836e02f337b19027ce2d61c7518</t>
  </si>
  <si>
    <t>236bfd4811624ef77672a753d4709410</t>
  </si>
  <si>
    <t>ce7c0cba864b419da925898c42934d7b</t>
  </si>
  <si>
    <t>a51c4720fac14bee32a329b90e4a9336</t>
  </si>
  <si>
    <t>7aca265db16127789083ecfe97b0bb42</t>
  </si>
  <si>
    <t>df0ba927f73c2bde068e24caa930ff23</t>
  </si>
  <si>
    <t>97ae719a1fe9700580eaee413b0cc924</t>
  </si>
  <si>
    <t>0e73f8a18ac0cc563ce37a16907b27d9</t>
  </si>
  <si>
    <t>afeff5abbf4f53e3e777264638e489ca</t>
  </si>
  <si>
    <t>9e9308938bdf9a897538bb3d30c754ab</t>
  </si>
  <si>
    <t>7ff9db1abf57a5af50fcd7d1990ca0cf</t>
  </si>
  <si>
    <t>e257da3a4014abb1f5e7026452211366</t>
  </si>
  <si>
    <t>c4c7881634404eaf126dedbacc151d77</t>
  </si>
  <si>
    <t>2c4581b550c044878ce1d86ce0c406e2</t>
  </si>
  <si>
    <t>30a545293b0b8efd950fc6fbce953836</t>
  </si>
  <si>
    <t>89eaff674c40dd663fc1304fb5fc380e</t>
  </si>
  <si>
    <t>fa353e1f878426e90f8a3c3eaa39eedb</t>
  </si>
  <si>
    <t>0b7742ce4b1667bf0429fac70a690498</t>
  </si>
  <si>
    <t>a557f52af6f756355473f75e80a164ef</t>
  </si>
  <si>
    <t>addc9ef811dfa83b9ab6b0e879440086</t>
  </si>
  <si>
    <t>66ab321d33dd0471937bab00782ef90e</t>
  </si>
  <si>
    <t>a5f940591bd06a838a12691067a51d25</t>
  </si>
  <si>
    <t>a9a9696c2b38a3a3dea0143315568e9b</t>
  </si>
  <si>
    <t>c5d7b185cbc960939a004d320e3957ce</t>
  </si>
  <si>
    <t>c59ce32406260082c501e3beb629ee5d</t>
  </si>
  <si>
    <t>a95d4f3e7a5a74e79b21d6333ec49c28</t>
  </si>
  <si>
    <t>45ccc2d9a545051c5b90ef5bd135f6a1</t>
  </si>
  <si>
    <t>8ba20b97037c9cca04314f6d75a5eaef</t>
  </si>
  <si>
    <t>1e5611c090725820a8d935fd49ead88a</t>
  </si>
  <si>
    <t>af782a7ad8163c13a0ad118660744719</t>
  </si>
  <si>
    <t>564cfae85ca447a69a769c127b23171b</t>
  </si>
  <si>
    <t>83de568e8874737d64564e4796d7fc44</t>
  </si>
  <si>
    <t>289cb6f8cbbe4d51090cdaaac431d374</t>
  </si>
  <si>
    <t>9c29f27c90f4739ad8daa4bf69055ec0</t>
  </si>
  <si>
    <t>0f98b6e0909f92d403bf60df2e30d6f0</t>
  </si>
  <si>
    <t>c8f78b2f7edb700e1b2ed970123a5145</t>
  </si>
  <si>
    <t>a3584b82313e5883718985bcda299961</t>
  </si>
  <si>
    <t>0de6da74ee6145a0a1f2941545992cbf</t>
  </si>
  <si>
    <t>3e8778426dd01d0a86e6a61cb6b4bcf0</t>
  </si>
  <si>
    <t>c684d217098a88a55c53588a624c5e9f</t>
  </si>
  <si>
    <t>57d1688d21b7fd7d84e5bd0db3146fd5</t>
  </si>
  <si>
    <t>a1dbb9b4126acb90b164d3b2f5223e4f</t>
  </si>
  <si>
    <t>bd4604756fe9f7aeeb4c4ee50fffe288</t>
  </si>
  <si>
    <t>b9cc7cc9308ff904fa0d2948037bbf9b</t>
  </si>
  <si>
    <t>881432eaa107aab803c9bc0d7b2c5f72</t>
  </si>
  <si>
    <t>b3c8c4ef03c9754fa87d7b0b191dee75</t>
  </si>
  <si>
    <t>8773d6e34c984ff1e8577163191cee94</t>
  </si>
  <si>
    <t>f698ae727b837849dac95326428af262</t>
  </si>
  <si>
    <t>496f291e070069a2b9b4c5274ef7ba00</t>
  </si>
  <si>
    <t>3100a19e872da00af3f15493f8d710f2</t>
  </si>
  <si>
    <t>9bae631e23f2cfce850107181f199d1b</t>
  </si>
  <si>
    <t>c3053743c8bed952f00346880523e2bd</t>
  </si>
  <si>
    <t>456aab318d069b35a684151c2fb6060c</t>
  </si>
  <si>
    <t>7b84c18b02c2b893cd3908860f36f873</t>
  </si>
  <si>
    <t>e99c9551295ddd9156d890b570eb600e</t>
  </si>
  <si>
    <t>c0cf043e6b91505531256327e40232b3</t>
  </si>
  <si>
    <t>cbe959769bbc759d86824042a7213ba8</t>
  </si>
  <si>
    <t>a397eb7034e9b5490d1dac4a3cb13ab5</t>
  </si>
  <si>
    <t>1af721ebb099330c837909f077da0c68</t>
  </si>
  <si>
    <t>d5a04f1258bd14c94ae6a87a8aa23118</t>
  </si>
  <si>
    <t>cf440f249f7bd813181688716aadac63</t>
  </si>
  <si>
    <t>f3b4498f47823547beb3874a3c4c8fb0</t>
  </si>
  <si>
    <t>f7aa84f285c117bd47e881304aec5ba2</t>
  </si>
  <si>
    <t>5cd2e8c892c57f5075612cb53ed2fe1e</t>
  </si>
  <si>
    <t>258c151d778f9a799235163c27997f4d</t>
  </si>
  <si>
    <t>9b8030330315e136b3f32fc5ab390995</t>
  </si>
  <si>
    <t>9b6f6b70af29de31fe401c110977d219</t>
  </si>
  <si>
    <t>26219c2da2253c20848357809d1f5b7e</t>
  </si>
  <si>
    <t>f2fa75a6813643cd325938747394bf36</t>
  </si>
  <si>
    <t>cf44ee1b69e2ea93fc52e67512369f94</t>
  </si>
  <si>
    <t>5b00cb21f83d4d65415ca534d473572e</t>
  </si>
  <si>
    <t>81afdea42b7d91109c15bdd58a28feba</t>
  </si>
  <si>
    <t>2804d5026fcb15add6e10dd7148956e2</t>
  </si>
  <si>
    <t>3911bd1155692a40344638e9394a183b</t>
  </si>
  <si>
    <t>11bfe8d399e744b2beda65d15428aefa</t>
  </si>
  <si>
    <t>d9deb6cb1e353b2a84fff4891e977170</t>
  </si>
  <si>
    <t>f04e5b3472fc9418b3510b6c7b07dfb3</t>
  </si>
  <si>
    <t>def6a1003e96ecd18df9d98410f0f0d5</t>
  </si>
  <si>
    <t>1fe45aaa46896fe0fb300e8068ed80c4</t>
  </si>
  <si>
    <t>4f034fdb37ac96311bc98e94f0659541</t>
  </si>
  <si>
    <t>564799a72201fd4b2e833c486f5e85f3</t>
  </si>
  <si>
    <t>decb4deb03b34cc93191cee58211fc14</t>
  </si>
  <si>
    <t>0e6b41bd91ab4c947c4f54c3ea8ed030</t>
  </si>
  <si>
    <t>1cb57d7a77ac6e7b5606779ef67b8173</t>
  </si>
  <si>
    <t>53c2a82b281221f0a681a85eea592401</t>
  </si>
  <si>
    <t>baa5c15175cc4811e2e29d22098fff74</t>
  </si>
  <si>
    <t>0f4239dfd1ce380d50a4d208c97c9938</t>
  </si>
  <si>
    <t>622601dfd7d436d5bd48f59f84138a14</t>
  </si>
  <si>
    <t>a969ef586892d516affcaf67f29e1f1e</t>
  </si>
  <si>
    <t>2325fd91ae4c99e0e219af766d087ca2</t>
  </si>
  <si>
    <t>cbc17111926805c3c923b992973610e7</t>
  </si>
  <si>
    <t>b06717afffd8cdd9c5d3c0a7000ff566</t>
  </si>
  <si>
    <t>74ad33e2dad32cfd31f34aadfa6ce0f3</t>
  </si>
  <si>
    <t>cbed3bd148bb6a2b506217180badd237</t>
  </si>
  <si>
    <t>831a4146a03d49d8458ee24ebf5eb05c</t>
  </si>
  <si>
    <t>5ad0bc755c2c8fa4521a4b875210dfe3</t>
  </si>
  <si>
    <t>a7e16c9089a33ef4f01e1676a737d752</t>
  </si>
  <si>
    <t>db00fed8c5a7ae847ad7649b49435562</t>
  </si>
  <si>
    <t>632f1160801a5d28d5682dabb7724a73</t>
  </si>
  <si>
    <t>bd5c79356094b9dc5141e3cd5e0260c9</t>
  </si>
  <si>
    <t>83fecea0df0691d198267cbf78d679b6</t>
  </si>
  <si>
    <t>312af6d737ed7253f5d7c3f4847d7f60</t>
  </si>
  <si>
    <t>c577ff935eefa66b3aec9bb7f1cd0d77</t>
  </si>
  <si>
    <t>a55166e4299189bd752a28e580b85d54</t>
  </si>
  <si>
    <t>b14b62a9a08bbea193d2a039d7e1f1a0</t>
  </si>
  <si>
    <t>545fdab036b6648619b7d737cdc58135</t>
  </si>
  <si>
    <t>8bce66319ff87829af0302bd52d569c3</t>
  </si>
  <si>
    <t>dc9ae8446e89d2a8c24b0c3037901834</t>
  </si>
  <si>
    <t>75feafde1dd2db3cca8477951e408c89</t>
  </si>
  <si>
    <t>a90575a6a9fd14cec414bd7974bf423f</t>
  </si>
  <si>
    <t>f66cfd698052bd8b7987e7d079214f1d</t>
  </si>
  <si>
    <t>278db98e04e9d7fc688b3f80e785d3b5</t>
  </si>
  <si>
    <t>a91180da4792426a3e48a972ba5cb2f9</t>
  </si>
  <si>
    <t>b4beb45b9377c5edf05b1a8e2ec9c1e0</t>
  </si>
  <si>
    <t>323576138e50a93b9cfb86f938261e9f</t>
  </si>
  <si>
    <t>a105c12c1c3bf0ca660eecfd743aa99c</t>
  </si>
  <si>
    <t>948c81eaa88b7787dc8116f05e84c598</t>
  </si>
  <si>
    <t>e5f4ea9e22427c8aeff46cb8145fc626</t>
  </si>
  <si>
    <t>943a08a2d7b0c26dbfe68133e68f2dd1</t>
  </si>
  <si>
    <t>cd5ef5db2abc9497d4881464fe408629</t>
  </si>
  <si>
    <t>dc192feb45b7f87fcbb201da9d6fe1c5</t>
  </si>
  <si>
    <t>7dc3b1f95cd28c911b886c88ea9a572b</t>
  </si>
  <si>
    <t>84500a60b982033ffb9b9925a3f7b274</t>
  </si>
  <si>
    <t>9d4281a243dcc1b6177bfc90ccc5e261</t>
  </si>
  <si>
    <t>731ff5b0cc8cb94acbcfffba4961cd09</t>
  </si>
  <si>
    <t>df79994c93233829bebd6ce0d904531b</t>
  </si>
  <si>
    <t>7c744a7a40978c06b45935bb2f7e9e57</t>
  </si>
  <si>
    <t>13e33545bdab0514c16dddd77390ca08</t>
  </si>
  <si>
    <t>152188fd9eccc077fd11628126a6a24b</t>
  </si>
  <si>
    <t>13499540b31c1ca84d67301f28a7e339</t>
  </si>
  <si>
    <t>e10a3438c6a5cc1d32c799c64103ba85</t>
  </si>
  <si>
    <t>f3adbcb624486ea1c1a13901e4372fb1</t>
  </si>
  <si>
    <t>ecd4c02e64b2e4f69ada28793972e42f</t>
  </si>
  <si>
    <t>c37e73b23d9fca13eefc56aee239e22b</t>
  </si>
  <si>
    <t>2809099492742ec4cd05ebd3ec4f93d7</t>
  </si>
  <si>
    <t>aa2df44400b12897853505f393165b8b</t>
  </si>
  <si>
    <t>13cb8f9623fc6826d49398d4ff6df757</t>
  </si>
  <si>
    <t>dd152e4140dd64bb131b70b12dfe25ee</t>
  </si>
  <si>
    <t>78a1349bc3e9ecbcf123d0996285d3ed</t>
  </si>
  <si>
    <t>10d5d81781bc2e888f63502db0f52030</t>
  </si>
  <si>
    <t>0445ace6c768be0ff0778e9d258ee5f3</t>
  </si>
  <si>
    <t>e2a5d56b0a89fc68c0e699149ebdd598</t>
  </si>
  <si>
    <t>f37a36aab366efac52d032dd3143201a</t>
  </si>
  <si>
    <t>8032c165c93e8ccc7572e3bad4453345</t>
  </si>
  <si>
    <t>7bc28ae07f2faa891f20f1649a6e7613</t>
  </si>
  <si>
    <t>00b3ef4db15fd7795a1467e691135c45</t>
  </si>
  <si>
    <t>11e18885e37f63e08248096ebc1b105f</t>
  </si>
  <si>
    <t>b575100a30620ef3d44af7d39d7d5640</t>
  </si>
  <si>
    <t>534a6040a243e252ca83ba4b0406251b</t>
  </si>
  <si>
    <t>04e5214769b33d62f774ef7ca1f9f1f1</t>
  </si>
  <si>
    <t>6c79cf9274cc953e32ed2b12c436d3b3</t>
  </si>
  <si>
    <t>167eeef349bdeca03029e73d0eb7ee90</t>
  </si>
  <si>
    <t>dfcc43ea7633d514114e45a2aab9735e</t>
  </si>
  <si>
    <t>43f40d72abbdbb1ebdaacdda9d5ef876</t>
  </si>
  <si>
    <t>3715efcf7fd11ae2332b7f37994df543</t>
  </si>
  <si>
    <t>9126b5d2c152593a849f9ec8c6699803</t>
  </si>
  <si>
    <t>f27e4adba055c4d015253079f0638e31</t>
  </si>
  <si>
    <t>7527ca6f11a3b782e620f5e232a0abae</t>
  </si>
  <si>
    <t>8d3d267e7cd4e26f26e7aac1d0fe9387</t>
  </si>
  <si>
    <t>09b3fb5c01e6d30b97465e48d7dbe32d</t>
  </si>
  <si>
    <t>fc8e8d3055cf0181e3a1f205b99db697</t>
  </si>
  <si>
    <t>a8ee90b90669bf17b7d20236fa6c9068</t>
  </si>
  <si>
    <t>da3803a44a18ddfa510ebc33467d6648</t>
  </si>
  <si>
    <t>48648bf841eecd715dfe97be4f7edc50</t>
  </si>
  <si>
    <t>44f58d390f7404f8c22bb83946ee608c</t>
  </si>
  <si>
    <t>960b970ba8f9aaffd59297765f936c7b</t>
  </si>
  <si>
    <t>e3732feb28ce336e2487f41ef14c85fe</t>
  </si>
  <si>
    <t>1217fd0dedd6accf0cdcb17b0a4c3306</t>
  </si>
  <si>
    <t>4465080e23d069c40bd91f09753e8ab6</t>
  </si>
  <si>
    <t>181711ae3868d9afe740c740a937eb1a</t>
  </si>
  <si>
    <t>bc97c5da7addb3f0bd389f1e87659d10</t>
  </si>
  <si>
    <t>6359f84602fea4da64af00f3bb30348e</t>
  </si>
  <si>
    <t>f18e0270cfbf7483015932dfd6b844f7</t>
  </si>
  <si>
    <t>e5101a6a4b2baf6d9b33f99e756d598f</t>
  </si>
  <si>
    <t>63ef71960c90265ec956ba95b877056b</t>
  </si>
  <si>
    <t>b64f8c08324037658fdd5ac023bbd432</t>
  </si>
  <si>
    <t>bbb68db719da40297ee2f3791c54ebac</t>
  </si>
  <si>
    <t>3c8733d07e74bb6a2d047f9cb17b5d2a</t>
  </si>
  <si>
    <t>3977a4afa97d041368cd7a49832bd12b</t>
  </si>
  <si>
    <t>450486259ff837913f9e89a52d0a3c1e</t>
  </si>
  <si>
    <t>1c4b6280449fb9c6c989fbd552296e32</t>
  </si>
  <si>
    <t>fdba486ec0cf4a494b41e9ebb860d4a9</t>
  </si>
  <si>
    <t>2da7b41f9c92d1bcabcadb96b4105497</t>
  </si>
  <si>
    <t>d8af2f716346c83bcc09494cb9ebc358</t>
  </si>
  <si>
    <t>0ef12e6a6dc0c4a3cac36c02b5a3b58c</t>
  </si>
  <si>
    <t>f4ede1d15f5eaef73a283d683675ea6c</t>
  </si>
  <si>
    <t>fd57c8a46f80526f76761723ec045e81</t>
  </si>
  <si>
    <t>65c198cf86cb7e0c7c24308eb2fcab6a</t>
  </si>
  <si>
    <t>9c75fe423c01604c42c1e39c92fa0655</t>
  </si>
  <si>
    <t>8cab249c4af4b8f5d0e047965b9116d4</t>
  </si>
  <si>
    <t>c4beb8b718437c87079440885c8d78c3</t>
  </si>
  <si>
    <t>4572dc944c9c108d792b7374afe69dc5</t>
  </si>
  <si>
    <t>d5c51d5b0d79d8674d7f37adb24b880b</t>
  </si>
  <si>
    <t>051be0e207ff87a2aaba50224f949645</t>
  </si>
  <si>
    <t>80dbbea738fdf86df68c62295040a789</t>
  </si>
  <si>
    <t>c34b1b6cd4cb1e852ead3893806e10c0</t>
  </si>
  <si>
    <t>f04ec5e1faf1f4e9e3e03aa627cedeef</t>
  </si>
  <si>
    <t>32c71692eb7157d8433b9b4aba55e405</t>
  </si>
  <si>
    <t>e3f126c1c0e847868303cdbac2de90fb</t>
  </si>
  <si>
    <t>1b7a2af5c405ea6c9bba03ad67e01ceb</t>
  </si>
  <si>
    <t>ba0b4a70a860438fa93d24f51e57d7c2</t>
  </si>
  <si>
    <t>d1874ac6a78f61ac99e477842710aed2</t>
  </si>
  <si>
    <t>8c9c968f26995f1a398cd44e97b569f4</t>
  </si>
  <si>
    <t>ff2716370a62aedf8706ffc6361e81c9</t>
  </si>
  <si>
    <t>434485184686468b09b7c7cd574fe27c</t>
  </si>
  <si>
    <t>d6c1f69df9a74c048dae13aa1f7b5860</t>
  </si>
  <si>
    <t>d57a6eee280f33b0266db14ffd4947ed</t>
  </si>
  <si>
    <t>ed696935c25aa0ee46242c92a22eece4</t>
  </si>
  <si>
    <t>66d69e50b99188bb4aea594aceb9b02f</t>
  </si>
  <si>
    <t>48f6f092d4e1b7fd8e6e8c4514c772b4</t>
  </si>
  <si>
    <t>805e8f8e1405fe75b489d09a378101d3</t>
  </si>
  <si>
    <t>683909fc4dabcf7a0c59b70a4c9a54cb</t>
  </si>
  <si>
    <t>6c9f1b5e11d7f45fc63810f7ac836b1a</t>
  </si>
  <si>
    <t>31e2b6adfb639f3887bce5bedc17a59b</t>
  </si>
  <si>
    <t>72a7301d57d680cc4bb28a3bd41a1360</t>
  </si>
  <si>
    <t>80d34930f48cd10f36aa9395250b7d0d</t>
  </si>
  <si>
    <t>fc153823e5cad8e688b1b5e2a4505d77</t>
  </si>
  <si>
    <t>822e3821e2e3ce84589a422e8088635b</t>
  </si>
  <si>
    <t>ca62c4a40fc178809a3f47e21a057b90</t>
  </si>
  <si>
    <t>de6a453fcd19b0e5eeb1b4f42b847103</t>
  </si>
  <si>
    <t>443d849fcdf35214ed987b697c2dcb37</t>
  </si>
  <si>
    <t>528a79f3df146507fafa58c3c3455a00</t>
  </si>
  <si>
    <t>33cc368de55236c4712b32a3e477c563</t>
  </si>
  <si>
    <t>9d6d7ee21c640cfdf24d7d4fe4f3aaad</t>
  </si>
  <si>
    <t>218d6eccf53f23edf0d6bc141fb25091</t>
  </si>
  <si>
    <t>2e6cd338d8581fab59554844c5d99310</t>
  </si>
  <si>
    <t>a3bc443beebe2d1fc310093a242122cd</t>
  </si>
  <si>
    <t>c8d408c5b71eaaee95325518200dd379</t>
  </si>
  <si>
    <t>904df236c5404fce29e5e81ee60a538d</t>
  </si>
  <si>
    <t>c0871170f75396354cd68172dcc06ebd</t>
  </si>
  <si>
    <t>7cf789af519e7518326d663ec41630b9</t>
  </si>
  <si>
    <t>b7ef709203bbb6e46be9a56d4f12fadf</t>
  </si>
  <si>
    <t>926d80a51c8ec7d6ab7d3471433a24c1</t>
  </si>
  <si>
    <t>01571aa46a80fa26d73ba10190b985b6</t>
  </si>
  <si>
    <t>b63fb09544bb396fcb4d91b2321cf89d</t>
  </si>
  <si>
    <t>eb49617090d7787ac3dbf7e5331f2daf</t>
  </si>
  <si>
    <t>b61638da099dbd6cf1dca167534db99d</t>
  </si>
  <si>
    <t>fe027896a7a948879c29eccf575d2281</t>
  </si>
  <si>
    <t>1025f87e25783c4783fa12e1332002d9</t>
  </si>
  <si>
    <t>0a87d82e456a1d27464f22522dfcd63d</t>
  </si>
  <si>
    <t>23bae55d8776cd6c64367134951b8a1e</t>
  </si>
  <si>
    <t>55ea45e25f178de3763ccce93fc80a63</t>
  </si>
  <si>
    <t>35fc58ecd78991e2197b103cd52850c9</t>
  </si>
  <si>
    <t>eb95e7c52e26ea4bbd6c9ac5be3ae48e</t>
  </si>
  <si>
    <t>f627d7803ce0c41980e72fd991d9928f</t>
  </si>
  <si>
    <t>c10fdd9727f4de81580566e695ec397c</t>
  </si>
  <si>
    <t>b07b8b2ec14420daddf3e1fd81c52e2b</t>
  </si>
  <si>
    <t>faddc881e07874aed8cc1a7e9ed0bf64</t>
  </si>
  <si>
    <t>87e694bcd155c0bf98efa729063bc6fd</t>
  </si>
  <si>
    <t>96bf09a45fc4369bc54b7dbb753601f1</t>
  </si>
  <si>
    <t>7d0536fddb4174a23d78a07847b350f1</t>
  </si>
  <si>
    <t>a438269348fc63746f66e0ff5d3f50c8</t>
  </si>
  <si>
    <t>09a7b0be0945f3abfe3619823ca0927f</t>
  </si>
  <si>
    <t>50c6cc74f199a076fd02dfd027f2c619</t>
  </si>
  <si>
    <t>babe14ff0b407bffabbafe6cbbb1c0be</t>
  </si>
  <si>
    <t>626c9bff2200f55608cf35bbb796ade0</t>
  </si>
  <si>
    <t>b4099891707a97f1b436c8b150ac28e6</t>
  </si>
  <si>
    <t>4b8407de93ca27bde92feb5b1a78a738</t>
  </si>
  <si>
    <t>767a09d0d68cff3e615bc1a5358459e8</t>
  </si>
  <si>
    <t>c0b68349dfc0bb806026a5ff987ad3e1</t>
  </si>
  <si>
    <t>ff6c3a18bf11b9a78a8e6cc5eaebf6f1</t>
  </si>
  <si>
    <t>c994034331e0672b24f0d5a6e8dd3254</t>
  </si>
  <si>
    <t>b12b9225584bb540c8aac384a2e51e5d</t>
  </si>
  <si>
    <t>8a0f49111c9716bc310b86e36161083c</t>
  </si>
  <si>
    <t>1f0ffc87c746254ba47b1bd1f18413f4</t>
  </si>
  <si>
    <t>bbc8d96c3a49b397776a1c377e23c900</t>
  </si>
  <si>
    <t>4d627ff4ab36602df9a885d667d2158d</t>
  </si>
  <si>
    <t>8918c4fcf500008691997c6c0b1226ea</t>
  </si>
  <si>
    <t>a04aeb3eb54ce6923a9bc31deec056b0</t>
  </si>
  <si>
    <t>7d2b35b4f6c2ce9bebc17c44fd5001c3</t>
  </si>
  <si>
    <t>2f14b1dc564eb4995bae0ed53dff2623</t>
  </si>
  <si>
    <t>ec0a30cb183502b6dae432f2f03b4c80</t>
  </si>
  <si>
    <t>6eefee13371c67eade5cbda68e3137e2</t>
  </si>
  <si>
    <t>64516ea5ece85548089f5f5550ac87bb</t>
  </si>
  <si>
    <t>9a75ad2be299b1d8c969ecd066649d3e</t>
  </si>
  <si>
    <t>ffb2a7bcd5c000934e81ec94d66134ab</t>
  </si>
  <si>
    <t>f07be74197e25b6ad37796df589d3e9e</t>
  </si>
  <si>
    <t>a6eb3f13fe0edd2526379e415fadd0af</t>
  </si>
  <si>
    <t>7dd92e40f7cfab3d18c121064b546796</t>
  </si>
  <si>
    <t>9cd63aa09fe03dd8c73692ce6deceb04</t>
  </si>
  <si>
    <t>0dad7d73334567e8aa05c8b35eeada47</t>
  </si>
  <si>
    <t>3981536645298254ef63d960a96a6b31</t>
  </si>
  <si>
    <t>83c3aff39acfdee6fd0a1e35c92cfa13</t>
  </si>
  <si>
    <t>826939b94d8aed319fef2c1437ffdbe1</t>
  </si>
  <si>
    <t>ec340783e89c8f452359b898ba43c0cc</t>
  </si>
  <si>
    <t>43d92c4fcee0fd05c46642a9cef8e9c5</t>
  </si>
  <si>
    <t>dbc09c6831a5ea4b7a86fb0841ca5da3</t>
  </si>
  <si>
    <t>41873ce8ac7e26ade0f96c913a8bbdd6</t>
  </si>
  <si>
    <t>412630c3b7ea0a8a30ebcd8d1d7c1953</t>
  </si>
  <si>
    <t>c941d0b9a7b5c57d4fab79f2edf97b83</t>
  </si>
  <si>
    <t>e5f11b7cc101a997cd3721fe57846049</t>
  </si>
  <si>
    <t>904906b44fc813484874a13981df474d</t>
  </si>
  <si>
    <t>df00e88d8d25cadcadce6f9ee2f83c84</t>
  </si>
  <si>
    <t>364f6d00859ad0e1bb75d7ab2e64a721</t>
  </si>
  <si>
    <t>38f70cc079302e15e782d295b740dd3f</t>
  </si>
  <si>
    <t>6eb8052d0393c67e85f51591fa4627df</t>
  </si>
  <si>
    <t>0cf7005e86940b79e549eb7da17502f2</t>
  </si>
  <si>
    <t>14bfd553746e1910012c5973eac740cd</t>
  </si>
  <si>
    <t>fcc8bbd0ff7302bfd2e43429d5585123</t>
  </si>
  <si>
    <t>2df4536aab3650af22fac798ec558d8a</t>
  </si>
  <si>
    <t>ce7abc45c94bc3919eeca504934b4cbf</t>
  </si>
  <si>
    <t>f91ee42bf06400c6def636c3bda38b51</t>
  </si>
  <si>
    <t>4d1b87da6d190e5c044ccea83a63bf38</t>
  </si>
  <si>
    <t>2e2d60ba65f04ca2bb9201850151a6fc</t>
  </si>
  <si>
    <t>14574483df11aac6c135b6920ddbb5b8</t>
  </si>
  <si>
    <t>e541236e6474b27212d9b845fa11b18f</t>
  </si>
  <si>
    <t>f10270ec556d0c55545bf09bd1cb1554</t>
  </si>
  <si>
    <t>a5981d3d1bbf4f5b44a98a218cfb6538</t>
  </si>
  <si>
    <t>39821f22648ceca8c2280e840e23eeee</t>
  </si>
  <si>
    <t>f56bfbd461a35c680aeb10e83ee13d58</t>
  </si>
  <si>
    <t>0e5e9fab8832d63fad92dcd67bb09bf2</t>
  </si>
  <si>
    <t>096fd98c3d514a48dda7757fb5102ae5</t>
  </si>
  <si>
    <t>13e76c600629f7092f5e761c8b5797e7</t>
  </si>
  <si>
    <t>e3697fb8df8797886c8687ac694e68e7</t>
  </si>
  <si>
    <t>741f12ce9185b90d53a2573433835a4f</t>
  </si>
  <si>
    <t>e33d91ae297eeb02da59f33ff7e54ced</t>
  </si>
  <si>
    <t>e153ade8530e2de466941b30ae5e95a4</t>
  </si>
  <si>
    <t>beb80d68c34ea30325f7d2923bef678b</t>
  </si>
  <si>
    <t>078881eb944804dbd62860732152adab</t>
  </si>
  <si>
    <t>eb20ff46faf2ad5ba61f34745d5d46e4</t>
  </si>
  <si>
    <t>083f74407e3ad9470055c5b6a281530f</t>
  </si>
  <si>
    <t>e284e2da2a22760fc409fa628d90cef2</t>
  </si>
  <si>
    <t>d2c5be00a052e13f9daa773c53916504</t>
  </si>
  <si>
    <t>cf871579b3918717d161d8e961dd9ecd</t>
  </si>
  <si>
    <t>7f4d84407c76db0efcdf624c7da3a770</t>
  </si>
  <si>
    <t>274c3d3cbb6a2772fc79576cafe3c136</t>
  </si>
  <si>
    <t>9f18f0dbeb3f6398f21ab6e1f695a7c6</t>
  </si>
  <si>
    <t>a47c04794e528d60aeff2f81446b8462</t>
  </si>
  <si>
    <t>561ff9d3151ee3e19d6d71a8eaed351a</t>
  </si>
  <si>
    <t>c35d192f056d5d8a77c541ae293fab18</t>
  </si>
  <si>
    <t>23383261ddecd0943e67743fcfa563f9</t>
  </si>
  <si>
    <t>1a215b90e396bef019fde157c6aff915</t>
  </si>
  <si>
    <t>c6108f0d5228a4301a8ace3e68c78a97</t>
  </si>
  <si>
    <t>1d6774d23926bedbb0022d893e845430</t>
  </si>
  <si>
    <t>438666893f04bfdac72486b14429d69f</t>
  </si>
  <si>
    <t>6864114e872cdf852e5cfb1460eb0026</t>
  </si>
  <si>
    <t>a74e3c45e77ff7f008729158d0d6754b</t>
  </si>
  <si>
    <t>038e74a86964f24df34a55e02070c81e</t>
  </si>
  <si>
    <t>3595330cbdc69a4ae805c9d75235403b</t>
  </si>
  <si>
    <t>6fd0ae555f45070f6320a0c177ab265d</t>
  </si>
  <si>
    <t>28f2626b710edc65852fe800a9657060</t>
  </si>
  <si>
    <t>e81045565c2ca086aff9c7a3d0cdecbf</t>
  </si>
  <si>
    <t>a300d7d90f0832168c680d28179bb34f</t>
  </si>
  <si>
    <t>e2a1af87cb5b4a26fadfa6fc5a258bb7</t>
  </si>
  <si>
    <t>d5fa2465e47eb9340c3a4634e0ba4cf3</t>
  </si>
  <si>
    <t>70c7dd06b9e7f09d5df4e48c5a5b6e62</t>
  </si>
  <si>
    <t>04cf93d626a581d66ae487e091b8b3af</t>
  </si>
  <si>
    <t>804813a880e301094a4842bef0be386f</t>
  </si>
  <si>
    <t>f5cd4600fb58844a301f205ec34a5e07</t>
  </si>
  <si>
    <t>393d363b46316f7bcdcd32b095511342</t>
  </si>
  <si>
    <t>d41828944d45b632bc3d991e99759e72</t>
  </si>
  <si>
    <t>2b24163f7c71f238a1b40fa47e4749e7</t>
  </si>
  <si>
    <t>a8c55f7b16df288f4ceaec61691c2680</t>
  </si>
  <si>
    <t>37c0c62ac54497f6adb0fb51e7af5b39</t>
  </si>
  <si>
    <t>1eec28b6543670fc6e2db52de355c02a</t>
  </si>
  <si>
    <t>01a9ea325a7cc6e340d65b648ef66a9a</t>
  </si>
  <si>
    <t>f6dbdf59110794078ff879dda915f3f0</t>
  </si>
  <si>
    <t>cbb5d5209b4cf643fe4ccc6b56346569</t>
  </si>
  <si>
    <t>cf5e6748727b260649abfc311ac9418a</t>
  </si>
  <si>
    <t>92600be909e45b9ee8363b0e4545c0d4</t>
  </si>
  <si>
    <t>3ec0da5ccfda7c6ec30ce01da93c07cd</t>
  </si>
  <si>
    <t>c75da890995d256b98de431ce128df48</t>
  </si>
  <si>
    <t>06a99619787337689e9682148a40435f</t>
  </si>
  <si>
    <t>2dcc31e569e6b0a568206bfe027f071e</t>
  </si>
  <si>
    <t>5c62e7167f9580e3b52e03e29a0e1f41</t>
  </si>
  <si>
    <t>efb58b9722507c57c329224b56da765b</t>
  </si>
  <si>
    <t>d2b4fdf47210ad786a702dfeaf072a79</t>
  </si>
  <si>
    <t>ae2a3c30421a4529023bb34d51c2e2d5</t>
  </si>
  <si>
    <t>5b503cf891c19568711dddb473bce3e8</t>
  </si>
  <si>
    <t>6aefb659512786ea237c9b02b7744291</t>
  </si>
  <si>
    <t>87162b722848869abed725fa28cc6488</t>
  </si>
  <si>
    <t>2b389424cd060445fdef38470e1ac3a2</t>
  </si>
  <si>
    <t>1507d82aadc4cdce5b8d9f1ac643e8ef</t>
  </si>
  <si>
    <t>6cd8a4fdfb806f28efb0e43968fe53c9</t>
  </si>
  <si>
    <t>ab05d40d7b68239a574fb9f6d221036f</t>
  </si>
  <si>
    <t>d2f6de8f0349410554ae86202dcd0cf5</t>
  </si>
  <si>
    <t>92772bf4bec0e2fc0423458a16b25704</t>
  </si>
  <si>
    <t>ab349ef9f80e8160d71bd5f1c4bfdace</t>
  </si>
  <si>
    <t>0a818c993c98398dde311c51a09021da</t>
  </si>
  <si>
    <t>ed555e052f50675115611cd6d5a2e4ed</t>
  </si>
  <si>
    <t>d6c4040a8cf1e54ba52d34e6a63c48b3</t>
  </si>
  <si>
    <t>4a3a9c36db09fea5d4c0085e320c47b2</t>
  </si>
  <si>
    <t>084f72d124c347f0409d3515f8c0e58e</t>
  </si>
  <si>
    <t>c27614f8b8bbfb81f242ac1e4c4b5792</t>
  </si>
  <si>
    <t>c7f5f6b166b18e481c978a214459d895</t>
  </si>
  <si>
    <t>667e48870d6f260b34f99c13a1730ada</t>
  </si>
  <si>
    <t>b623b647a06ef6882228ca11b469b4e1</t>
  </si>
  <si>
    <t>7f2c6dce9846447f586db74be6bb836c</t>
  </si>
  <si>
    <t>be11a0f8fea362b2cedab8197caaa6b1</t>
  </si>
  <si>
    <t>9980f0e667056b28e5c913ff4133f77f</t>
  </si>
  <si>
    <t>1ce663b8bd84f54a27ba1056cf02277f</t>
  </si>
  <si>
    <t>74d6bd9301b1025661e3b8b494d77be8</t>
  </si>
  <si>
    <t>d70817dd571777f2a9781ce5da575291</t>
  </si>
  <si>
    <t>27dbbeea3d59628e4ae0ee2e9d7a4095</t>
  </si>
  <si>
    <t>70b6480bbacdfd87ec5546bd1a6b0109</t>
  </si>
  <si>
    <t>41e8943365037eb8a1eef9b41d05db1f</t>
  </si>
  <si>
    <t>22f4863f7fd2d0af7e2dcb853b0d7058</t>
  </si>
  <si>
    <t>efc4a7cd161b3767ad6ad93abfa6b07b</t>
  </si>
  <si>
    <t>5dda149ecca17b2307f3c01502edb637</t>
  </si>
  <si>
    <t>03a7a6678faac5c39cb93c7c22bb6a28</t>
  </si>
  <si>
    <t>9d05cec5491f4bfd8044a8fec9a61304</t>
  </si>
  <si>
    <t>3c9170398f7ce9f95b0c3a9f3c943c72</t>
  </si>
  <si>
    <t>4fe3587c41ea68ec5afa1e6181d27d7e</t>
  </si>
  <si>
    <t>1a7a7f970bf69c69796f3128d56e154a</t>
  </si>
  <si>
    <t>ed99c5c8fe5be01c63b0f4ee2b69a719</t>
  </si>
  <si>
    <t>bc7b7f23b67820ce35cb416d9df92e96</t>
  </si>
  <si>
    <t>93a5ba067a524b7061e6946faf251e77</t>
  </si>
  <si>
    <t>2b6e29b6dd7faa48f209685c506fd8ff</t>
  </si>
  <si>
    <t>8250a0ebc0191e5bd60ed57bb76c0b08</t>
  </si>
  <si>
    <t>5119c9ee0f73da8ea192e1f835d0cc42</t>
  </si>
  <si>
    <t>3ac9dc110249453f48046b44b7c55470</t>
  </si>
  <si>
    <t>0a94abc41e11cad735d2efa5fee7f757</t>
  </si>
  <si>
    <t>5cf801c338f5ca7b87a2c7a26ed2fe9b</t>
  </si>
  <si>
    <t>871cbb5db61edddaaf13e817913ffe80</t>
  </si>
  <si>
    <t>216e72e202f6f3ba37fcf31d5f9187ed</t>
  </si>
  <si>
    <t>8d4b8d966fc17e860e12cecb84e7e506</t>
  </si>
  <si>
    <t>10df4ee52fe80e74a85e2be98d2b67df</t>
  </si>
  <si>
    <t>dbe11b405db8c6900b3ee3efe307bd63</t>
  </si>
  <si>
    <t>186990e62dde87ff747bf6abfdb28fb5</t>
  </si>
  <si>
    <t>57289fb5a2706b58af872044fd944836</t>
  </si>
  <si>
    <t>f3cdc34646806242ea7fbbd986e944a6</t>
  </si>
  <si>
    <t>b331d7170c2fa7b3ce32d90354589163</t>
  </si>
  <si>
    <t>a7dd48f1f5722d43982765dda73b5e09</t>
  </si>
  <si>
    <t>1e1c1b844df00fe15a97e4f7da392428</t>
  </si>
  <si>
    <t>adef09217c2297f50a703ef8f44d26dd</t>
  </si>
  <si>
    <t>e0b3ea318747880cf5bb6c45cc7b9c0a</t>
  </si>
  <si>
    <t>812609c9195665011654be421ec1b83a</t>
  </si>
  <si>
    <t>447df05d0d06cdff516fe9ed517f629f</t>
  </si>
  <si>
    <t>f63f5983180f292aa5dd2c40aa5b98f2</t>
  </si>
  <si>
    <t>251f0cbddfc56d22ff72e53834c29fd7</t>
  </si>
  <si>
    <t>ecd96f7c92514fce2f2ded0620f1cd03</t>
  </si>
  <si>
    <t>1890f7e06636bdce307da8806792a7ff</t>
  </si>
  <si>
    <t>e15c9d05d90bfb31e56e8c40875791b3</t>
  </si>
  <si>
    <t>a16c7d685bfe7a1bfc2ec698d9abf6ec</t>
  </si>
  <si>
    <t>799575dd42f1f21541e2ae7d0a9cb8cc</t>
  </si>
  <si>
    <t>c29cbfcaa85d3676a114c399653f746b</t>
  </si>
  <si>
    <t>69f07a0b7f575076423f6c13a497d378</t>
  </si>
  <si>
    <t>639ac17aaea507b5f322e715f36da476</t>
  </si>
  <si>
    <t>5daf2d0c6fc6f06b0f2d25263aa84731</t>
  </si>
  <si>
    <t>78318e1a1b646a8a81a680c4637901ff</t>
  </si>
  <si>
    <t>6e87f38908405dee7e2710ae5396f99d</t>
  </si>
  <si>
    <t>421f7b929a19cacada01b684b366a9d7</t>
  </si>
  <si>
    <t>f0268e98678400f2a0393a0926d76bd8</t>
  </si>
  <si>
    <t>6af0672707940908321df0b7455a0843</t>
  </si>
  <si>
    <t>60cb5b788d9adf35b4a6044fe0388118</t>
  </si>
  <si>
    <t>e47d3d716d616b40425c7d5eb1a561fb</t>
  </si>
  <si>
    <t>2312ae9ada78e9cba5a474bb107dbb21</t>
  </si>
  <si>
    <t>2ec814f223910aface72afefd288ca94</t>
  </si>
  <si>
    <t>5f45d9c54bbb32125346a007d4354467</t>
  </si>
  <si>
    <t>dfb4709950187242bdf49d6208bde678</t>
  </si>
  <si>
    <t>9a279b78a8c8a08ae355ca3b6aa732ba</t>
  </si>
  <si>
    <t>99527720a02cb41c552f1df2c156acfa</t>
  </si>
  <si>
    <t>1276620558c5c9248a4dfb27c1251e62</t>
  </si>
  <si>
    <t>af3eb820c6cb72261b04f886a421dd72</t>
  </si>
  <si>
    <t>9bcb251cd8d8fc09092f70ff7a49ab7e</t>
  </si>
  <si>
    <t>2c6d1df5f069bd042c87257d99c2102b</t>
  </si>
  <si>
    <t>8fc8ee38872e602e0024201b8fd7c800</t>
  </si>
  <si>
    <t>f6637c9bb9c28b54db5c3de588aceee7</t>
  </si>
  <si>
    <t>d13fc7979e4d1f82c4c570d4659b6d3c</t>
  </si>
  <si>
    <t>85c876be02d6643593565ee915c30544</t>
  </si>
  <si>
    <t>014fe5c84df0e0245459c99aa3c64028</t>
  </si>
  <si>
    <t>c617a4f7e8951b9b36d6b9d9352a16fd</t>
  </si>
  <si>
    <t>e2859b045948189aa62550fdf2baf45c</t>
  </si>
  <si>
    <t>bdee87af7208b3ea61239bc0591e7080</t>
  </si>
  <si>
    <t>b8e3dafdccdf76274b96de710b355522</t>
  </si>
  <si>
    <t>a8d7ca6b3e324b3765c8f864d585c24e</t>
  </si>
  <si>
    <t>e62aa77daa078c9d8f814ac10be90822</t>
  </si>
  <si>
    <t>6e6d08d65d9927f85f8aa6ba7519a70c</t>
  </si>
  <si>
    <t>9a3b41377ef7854b5ae3065234bb377f</t>
  </si>
  <si>
    <t>f7b8ae52fa2b7cc850bb839f16d293c9</t>
  </si>
  <si>
    <t>e627c70969ce2f2271451836eb30db86</t>
  </si>
  <si>
    <t>b9fe2e3a10963399bf15bc3e772a8ab6</t>
  </si>
  <si>
    <t>36944005e65f472db1e185d4ae5587ea</t>
  </si>
  <si>
    <t>fd2ef4452bbeb4029b024d336a3b2ec6</t>
  </si>
  <si>
    <t>a73028e786182a7472a38c62cbeb3584</t>
  </si>
  <si>
    <t>9464a729f2b6e4a9cc7e65fce91c93bb</t>
  </si>
  <si>
    <t>84c52acecef014ff75dd383f2ab4fc07</t>
  </si>
  <si>
    <t>d30909464401f037bc1ee41d4b809409</t>
  </si>
  <si>
    <t>5bf152e87be706b4a79b414ad0e12e3f</t>
  </si>
  <si>
    <t>687233e4450201ce8343c322c62194d7</t>
  </si>
  <si>
    <t>8b65e94b0a7d251f66f5df3b85ff4aa1</t>
  </si>
  <si>
    <t>5ef3da1e2dfef72d69a106b61dd470d2</t>
  </si>
  <si>
    <t>2af7b2600eb36f64f80689440e66b5e1</t>
  </si>
  <si>
    <t>03f0ef70832d892a30481017c5127eee</t>
  </si>
  <si>
    <t>f24cce9817cb7596250d821369f1ea16</t>
  </si>
  <si>
    <t>389b31a8d4445dce6ba1a6d81230a259</t>
  </si>
  <si>
    <t>d9ea7e76c4c1bb1448d750a3b4543b74</t>
  </si>
  <si>
    <t>14c9245a6a9d3c607c3463ae73b20704</t>
  </si>
  <si>
    <t>0fef4a04452c0675086b616dbddde21f</t>
  </si>
  <si>
    <t>1e2ee7870f9e5e1059b98b0fc50e6347</t>
  </si>
  <si>
    <t>9f1dc6018ed35713e228003af833f155</t>
  </si>
  <si>
    <t>302dd5a48bea841b2800f006ad26f1c5</t>
  </si>
  <si>
    <t>48942c61669989e94f725876a567d31b</t>
  </si>
  <si>
    <t>cb210e58f1783ef09cd76a8599096126</t>
  </si>
  <si>
    <t>9461512832327a3c0959b7ae12614dc4</t>
  </si>
  <si>
    <t>174522612e9a91d4ae089131efef51ed</t>
  </si>
  <si>
    <t>c92d215465e6cbcd81c2d952f7c3aca2</t>
  </si>
  <si>
    <t>48c8e12444f40004061766833d70e3db</t>
  </si>
  <si>
    <t>b54dcfa30abf0fd7dd72d509c74a9d25</t>
  </si>
  <si>
    <t>1a9d6749c19166edbfc7a9d3f3a9698a</t>
  </si>
  <si>
    <t>0b9041514973167a5b655e51050c315b</t>
  </si>
  <si>
    <t>9bb132b2c16143f2190c1aa28dfea5de</t>
  </si>
  <si>
    <t>0a583b373a3c2eff3755276b9e98c7dc</t>
  </si>
  <si>
    <t>eac1f869c44f4d5f8ed673e6d30d7aeb</t>
  </si>
  <si>
    <t>89e516c3c9956d34497e0763b6e78682</t>
  </si>
  <si>
    <t>7c0035a70ef37ac995d2ece5e0620751</t>
  </si>
  <si>
    <t>bcf88a971dff906aeb391364f1cdaab1</t>
  </si>
  <si>
    <t>1202ed88c4c7b7270ed78d81d0a9fc1a</t>
  </si>
  <si>
    <t>0c2a9b3665ff380b43460293a03c4c39</t>
  </si>
  <si>
    <t>e7494a583a11d6ac7d2aa9e1e37c1026</t>
  </si>
  <si>
    <t>233ef3e94be74501f50bf05e0ec6558c</t>
  </si>
  <si>
    <t>13c4836427a85aed66ff24d9b238040a</t>
  </si>
  <si>
    <t>28611782376eb34024f90153d6a153fb</t>
  </si>
  <si>
    <t>de6cd2fb4a37eab32b6f3d4a8c513b09</t>
  </si>
  <si>
    <t>62f55008fc646273774afc2c400ada5c</t>
  </si>
  <si>
    <t>5ed0db529e1ce2e5d99a449169a43064</t>
  </si>
  <si>
    <t>64ccca816713c45163368012cca6889f</t>
  </si>
  <si>
    <t>20b011df000a0f257a8c1defa1878188</t>
  </si>
  <si>
    <t>eb39293bf17968e9a487ad23daebce12</t>
  </si>
  <si>
    <t>5f4d1178ad3efe6ea5c9d5570852944f</t>
  </si>
  <si>
    <t>c16e53c4ae26ccce79b8a82533d04489</t>
  </si>
  <si>
    <t>68738dfc2fc9e1a9cc3fa3c810f1f072</t>
  </si>
  <si>
    <t>6ef9b1648a85f80cdb68343ac1c2a175</t>
  </si>
  <si>
    <t>19320d51489e90ac8ca495284e8ce048</t>
  </si>
  <si>
    <t>2eb1f01acef4d2db9d8e8b1cc0bf7013</t>
  </si>
  <si>
    <t>cea99641505f4c2be16eb3b184ecc71c</t>
  </si>
  <si>
    <t>0c3e99096ec641a8e405e18f2e8094ae</t>
  </si>
  <si>
    <t>fce4e047d19b085433a2a455b10ef6e7</t>
  </si>
  <si>
    <t>a31d5bcd4094173022dc374678bd290c</t>
  </si>
  <si>
    <t>5727ebddf36fda15d96485bab8c127f4</t>
  </si>
  <si>
    <t>419714c50df9e2521a69bb565e93a7aa</t>
  </si>
  <si>
    <t>3baa665729920ab9c524830520a04e4a</t>
  </si>
  <si>
    <t>aee41cf22ed39a9a8ec2cf8b27711656</t>
  </si>
  <si>
    <t>7928d75220ef3223fb33c08be228ebf2</t>
  </si>
  <si>
    <t>353646583a6d7fc746df017c49e629df</t>
  </si>
  <si>
    <t>f1c725fd0e4563c955265d4ee9eb8d44</t>
  </si>
  <si>
    <t>3dadcac8560b50cbdf5e4c28c13b008c</t>
  </si>
  <si>
    <t>707430135af8b858261bd4ca79448504</t>
  </si>
  <si>
    <t>c1b88bc2ad7f4b83c99c3494ded623a8</t>
  </si>
  <si>
    <t>7e1a9f473eb44b5ec0edaaa1fd744147</t>
  </si>
  <si>
    <t>5acf818a09fc089843332fef4c4fff35</t>
  </si>
  <si>
    <t>5181a4375ba1b5013356bcc57bea6139</t>
  </si>
  <si>
    <t>cc9717087cb48642aa4bc2d9094e7984</t>
  </si>
  <si>
    <t>a508498322758da58800fcb744d85c29</t>
  </si>
  <si>
    <t>89b8bed3799a6b492c1e3f91bf928af9</t>
  </si>
  <si>
    <t>fc167966eb2a9e065a201d917387f3fa</t>
  </si>
  <si>
    <t>dc77517c0b300ce88cf4c42306f2a5c0</t>
  </si>
  <si>
    <t>14cd0d6f0c6b624e110a2650d45c08db</t>
  </si>
  <si>
    <t>66d2b923bc2ad3e9640773557b502089</t>
  </si>
  <si>
    <t>d3b96ee1f76347636415a13bf187b0f2</t>
  </si>
  <si>
    <t>ec1427806a93bb142efdfd13c0a4d873</t>
  </si>
  <si>
    <t>008de1060797b067959c0d50ef4c6719</t>
  </si>
  <si>
    <t>3d4a1bfe4d33402a281a8cbb2ee85ba9</t>
  </si>
  <si>
    <t>2cde5fa4d9d3b8baf1707c78bb16a82a</t>
  </si>
  <si>
    <t>b4a98bfed1c6600fb8a3b2c90c655439</t>
  </si>
  <si>
    <t>c631b14a2f24b676077858359057be01</t>
  </si>
  <si>
    <t>137902ed9fcd425361ca1682d5893d92</t>
  </si>
  <si>
    <t>9e9eb0e6ee50235bdfe6700bdeeeed35</t>
  </si>
  <si>
    <t>60ab859ce576845bc4de48e4f670249b</t>
  </si>
  <si>
    <t>c7dbe9ae07ad5ba249ddb57bb03beeca</t>
  </si>
  <si>
    <t>f7173f3ae74eaabb4c33c6e96a444669</t>
  </si>
  <si>
    <t>e4e8a09eedd4ea9ed0fdc7d1b9943fce</t>
  </si>
  <si>
    <t>fb24f43fe86bd42ed5617b53cbaf7940</t>
  </si>
  <si>
    <t>f09d195aeaf54af421f7db50c68a5bb8</t>
  </si>
  <si>
    <t>4e19005b4e3c36524db0de322738f2b4</t>
  </si>
  <si>
    <t>0e436c749a7c40d9155bca8eea8887b5</t>
  </si>
  <si>
    <t>d2dc9871bdc9f91ef738ffea7abf502b</t>
  </si>
  <si>
    <t>2b4c2f6d2708701cf94dc1c4602dac42</t>
  </si>
  <si>
    <t>94cc2088b965b5f89ca03f903ded1ce0</t>
  </si>
  <si>
    <t>9b1dd6902b0851d467086bed295b761f</t>
  </si>
  <si>
    <t>f866eec24c3b99aedcb02e1d54f7c473</t>
  </si>
  <si>
    <t>37cf656f77ed8da6b1a6151eb2322d6a</t>
  </si>
  <si>
    <t>75a59543f31fd8e36eb3475d44cddfd8</t>
  </si>
  <si>
    <t>5f04b594de36e0a3e92cbf69d094bdd8</t>
  </si>
  <si>
    <t>77c365289f826a7cb2d12347aa8fac20</t>
  </si>
  <si>
    <t>122809f8873df05dd7330ed799d43b16</t>
  </si>
  <si>
    <t>9d716cbce096d03c6980533353541e02</t>
  </si>
  <si>
    <t>3009c5f23757c0db4ecc2262629a11d5</t>
  </si>
  <si>
    <t>8cb9cdc13a5b0304627b98829f02624e</t>
  </si>
  <si>
    <t>8430a3f3a2ce8d87f445eef6ac5aaa56</t>
  </si>
  <si>
    <t>89378c3e8483d9d49a843803a7b7505f</t>
  </si>
  <si>
    <t>0ba5ef062a14ae3583d5d653c088a520</t>
  </si>
  <si>
    <t>2ff65924ac9d873fc2b341a12c806d7e</t>
  </si>
  <si>
    <t>4cb04cbbe7f40573ec98a3d614da23d0</t>
  </si>
  <si>
    <t>d6a14ae6f16b1787a80058147413ed4d</t>
  </si>
  <si>
    <t>37569936c27ee159be229afbde263bf5</t>
  </si>
  <si>
    <t>82536a3f63448d9b6d0c048f92a755cf</t>
  </si>
  <si>
    <t>1875ec5aea4e1fa86c3c9880a8712796</t>
  </si>
  <si>
    <t>a66eaac279093dd12f4492c79efed9fd</t>
  </si>
  <si>
    <t>bede08ac923ce5ec22716e934bd5d3d7</t>
  </si>
  <si>
    <t>197576a27b337ab3c6e8bc2a559592a3</t>
  </si>
  <si>
    <t>9d0f88eb82fd75cc12a76ccf340d0f8b</t>
  </si>
  <si>
    <t>b5273f2fd01727e4c68cf13d9fdf8b70</t>
  </si>
  <si>
    <t>3e7ba874dc39eaf24257ae1162149305</t>
  </si>
  <si>
    <t>f3630a153f48fab0de04c7becb0c6e34</t>
  </si>
  <si>
    <t>0c8fe9b0117afeb7dc7817b3297d0aae</t>
  </si>
  <si>
    <t>475fed17924c4f1cde80018e369984d4</t>
  </si>
  <si>
    <t>68de40c9eed0a52dab96d4780fe6a167</t>
  </si>
  <si>
    <t>eb17d2136683d08ed35734dd5b60103c</t>
  </si>
  <si>
    <t>60e5d4bf65041ea13fc43842a7fd325f</t>
  </si>
  <si>
    <t>1480a2244628522d809b790aaf62a0fd</t>
  </si>
  <si>
    <t>75316af09737321326656eb7cd5f0486</t>
  </si>
  <si>
    <t>7b8f61c78f8a3fd08ddba27284731317</t>
  </si>
  <si>
    <t>0921ef13d6203b105daa469990facf6a</t>
  </si>
  <si>
    <t>cc5ac9516c699a1e964af1370792356b</t>
  </si>
  <si>
    <t>3f2e483cbe4a1056651e94ba2ead5244</t>
  </si>
  <si>
    <t>8edd40dafebfe9921adb360daceb8ae3</t>
  </si>
  <si>
    <t>6b1d9c55bc2dcefc74df778dddbfad0b</t>
  </si>
  <si>
    <t>026669f58ffe3199db0165bf6436ba81</t>
  </si>
  <si>
    <t>d2a5869177f881593f078468a78e18c4</t>
  </si>
  <si>
    <t>77b3c60af0dbb9a5096a0f986c974127</t>
  </si>
  <si>
    <t>054c39e382f5beb899a0f05e0a5a4103</t>
  </si>
  <si>
    <t>16d5321ea225f23ee944d80468a0449c</t>
  </si>
  <si>
    <t>77dcdf628e411399e720583ea19fb9e4</t>
  </si>
  <si>
    <t>d8cdcccf3e538c98d0af8d5b306c151f</t>
  </si>
  <si>
    <t>d484b537500e860bfed864fc569c8bde</t>
  </si>
  <si>
    <t>b2afca4fc52dd707abf546861b5c4bc0</t>
  </si>
  <si>
    <t>f8758fbead977f914d46383956443f5d</t>
  </si>
  <si>
    <t>1036a4e1075d649b1ba6dd8ec935d2a5</t>
  </si>
  <si>
    <t>9540787c99808c8698ecfa686ec91b31</t>
  </si>
  <si>
    <t>9605ab4e80fb27f397dad26eb7dceea7</t>
  </si>
  <si>
    <t>d14360458926d238ede736b63f67c240</t>
  </si>
  <si>
    <t>541c89a0415104c756b210feb707b932</t>
  </si>
  <si>
    <t>7c99e8afbb880eea5c842a44889e3b94</t>
  </si>
  <si>
    <t>8f0dfebfb2ae00deb89832d0b715a386</t>
  </si>
  <si>
    <t>2990bb6bce2ca233ce3f7342289a4b79</t>
  </si>
  <si>
    <t>999dd27e5eda53129962b30e70812a8d</t>
  </si>
  <si>
    <t>5b6706e146dcb196e1b979991652b639</t>
  </si>
  <si>
    <t>c289fd764732ba74eaf22607e5ae5918</t>
  </si>
  <si>
    <t>36200c31a5b01c7a93b5587f51ebec2c</t>
  </si>
  <si>
    <t>db52b8f719e2b5212790714aa9477741</t>
  </si>
  <si>
    <t>dc06b1630a2409efc95a9566eb6027e3</t>
  </si>
  <si>
    <t>f927a5b400d173020c581f9dedc5e89a</t>
  </si>
  <si>
    <t>ce4eb9fdc180cc6ca9b5098cafd5b1dd</t>
  </si>
  <si>
    <t>6b3c3c6e150872457d1441e37d3fd62c</t>
  </si>
  <si>
    <t>2e9eb92e3712505c5b65006dd2a86dbb</t>
  </si>
  <si>
    <t>4bd4efacc10d42680449d2bda2a3e9b4</t>
  </si>
  <si>
    <t>b91c6d98a35bed15b474869849ec656f</t>
  </si>
  <si>
    <t>3679f718fbf341521c93a82405911064</t>
  </si>
  <si>
    <t>156f11e62b5e80d758495cb5b6e86ee2</t>
  </si>
  <si>
    <t>0301476ad89604ac7889d9e7051e3956</t>
  </si>
  <si>
    <t>ecc531c647b52f08aaf013cb5e96c46e</t>
  </si>
  <si>
    <t>0a45d382341b8e85d2f9b18c338e0725</t>
  </si>
  <si>
    <t>0dda644ff299b88d12434f13c7d03eb6</t>
  </si>
  <si>
    <t>4ccf577dabdb86b20a3f5764d47f30e1</t>
  </si>
  <si>
    <t>7f6cc11d976efb1d60399ee78ea4c868</t>
  </si>
  <si>
    <t>65710f6254549ce63e16597891704962</t>
  </si>
  <si>
    <t>ed96ffe4f15501736eb237871edf3f87</t>
  </si>
  <si>
    <t>14c066c6ba070acda8ae99053c65b225</t>
  </si>
  <si>
    <t>a837a6d51820521144e5cd6f290a3879</t>
  </si>
  <si>
    <t>5acd61de0f8b4d49ec5236c5baeb0863</t>
  </si>
  <si>
    <t>00e3b7f310af6d2439f805173f9cf483</t>
  </si>
  <si>
    <t>f8598855f030e53a473ca1c4d96f40aa</t>
  </si>
  <si>
    <t>f9823f4db152c9d7e2cc9e42e49804cb</t>
  </si>
  <si>
    <t>0498246ee1d7baa773e965f5ee5bd705</t>
  </si>
  <si>
    <t>4d1bec5d144d18f1c326092e0a2f265f</t>
  </si>
  <si>
    <t>c8e2e915f6f43b9feb8b260a444c3113</t>
  </si>
  <si>
    <t>d55604ba226b0fcc7def08b18bdb3464</t>
  </si>
  <si>
    <t>340018f0b0b4924c8fdd9207d10578f9</t>
  </si>
  <si>
    <t>6af4c3e69342ab253aaa1bc04b4b9c5e</t>
  </si>
  <si>
    <t>8b58c15af611b8166343acdb97b3a974</t>
  </si>
  <si>
    <t>e6c84d054dd267716e62eece9a2e1a08</t>
  </si>
  <si>
    <t>8dcc629b463015fd978ab47f96c0b743</t>
  </si>
  <si>
    <t>f39987dd0ea3cdb483aa856c2d6c1f6d</t>
  </si>
  <si>
    <t>225beed1f09b264afd68b625746c5155</t>
  </si>
  <si>
    <t>83e397dfbd316995c3608880858cb89d</t>
  </si>
  <si>
    <t>a2127ca59a87bc0ea17f5b3441da2dd4</t>
  </si>
  <si>
    <t>0e79800d61530d1a619bc0034b37db57</t>
  </si>
  <si>
    <t>f26046c6f06546e6a2d1b65ab4047235</t>
  </si>
  <si>
    <t>0a6c91e360b81f8eb16c8eb8371a8af5</t>
  </si>
  <si>
    <t>e3ea0ba75190ef4f3b3612566bbe9b8e</t>
  </si>
  <si>
    <t>a0715a623af5ecfc36fee35fd0413934</t>
  </si>
  <si>
    <t>531123e7ec890cf6cf898c736dae06cb</t>
  </si>
  <si>
    <t>d5aa5a2ef666be22c249e1db349b4a40</t>
  </si>
  <si>
    <t>e6ec906dd88925020361aecf6701214b</t>
  </si>
  <si>
    <t>f702844f47487b8af948b529d40c8d1a</t>
  </si>
  <si>
    <t>2f4532976548099452bf38d43a7f312c</t>
  </si>
  <si>
    <t>7447476ff87d3854915b8dd308379a05</t>
  </si>
  <si>
    <t>46293fcf9df831ce6a886f27a0d6648b</t>
  </si>
  <si>
    <t>2515936afe70c4cc27b8bcc6b06c3dce</t>
  </si>
  <si>
    <t>c00355ad25a1e7884be5a5cf2c1309dd</t>
  </si>
  <si>
    <t>57531880c42615494429aff4d4957b76</t>
  </si>
  <si>
    <t>5173d8441a3308bb3d795afaf09bcfe7</t>
  </si>
  <si>
    <t>e14a0eebc50dbe6115c1b424ea5059f6</t>
  </si>
  <si>
    <t>8c1409db7a66debd100c4dc030d13039</t>
  </si>
  <si>
    <t>5066581b3019e9dcf0a480640f5ceec7</t>
  </si>
  <si>
    <t>d6aeec680aa741873b91a586b3fc69b5</t>
  </si>
  <si>
    <t>7820f5689f6df1601b991816121ac5e4</t>
  </si>
  <si>
    <t>f75697f462e435298899c888841a2327</t>
  </si>
  <si>
    <t>e6b72d858e4433bfe00a4808e56f2508</t>
  </si>
  <si>
    <t>e36d1f9a1a9e242147b8a35a66ce5091</t>
  </si>
  <si>
    <t>4a79dbb774e4d3a91f588b71f80f4c61</t>
  </si>
  <si>
    <t>651d2126515e8ade0e01b6171ff0c0ed</t>
  </si>
  <si>
    <t>faf8ef3210569a20e53bb75da1e99e2b</t>
  </si>
  <si>
    <t>63c299b3d997cb3ddf4bbb57befd74de</t>
  </si>
  <si>
    <t>104947671b0d9064f74df4f793cf5e8b</t>
  </si>
  <si>
    <t>9d7fc8e17eb22aa117f0b5cc653c1143</t>
  </si>
  <si>
    <t>1fb9755bfae71e6a63a0ae3fbb7dd85d</t>
  </si>
  <si>
    <t>28a42c25844582a34ab879615b7c2e61</t>
  </si>
  <si>
    <t>d20b9b53b9fa25f53800b2cd79ee3dfd</t>
  </si>
  <si>
    <t>c25fab342d9e769cdb1ae3a5f7f95c5d</t>
  </si>
  <si>
    <t>a4fd5a7361138cd768d1c4d09b0c3105</t>
  </si>
  <si>
    <t>3cd274dca910c3b808fa4c7044e5457a</t>
  </si>
  <si>
    <t>d3964466745870644e969004d213c8e7</t>
  </si>
  <si>
    <t>7cc3e0a10f0827508d1a86d8d68176b1</t>
  </si>
  <si>
    <t>124bfb1452da2176b73fc6ec8642999f</t>
  </si>
  <si>
    <t>d1943db9cc6f66b1ad0673feb59825f0</t>
  </si>
  <si>
    <t>ce0060cce696629cc7fcfdb4455ce9eb</t>
  </si>
  <si>
    <t>8298cd6094da143db249197dba4805b1</t>
  </si>
  <si>
    <t>f06b76734b2fb1b39b5c847fc41dbfb9</t>
  </si>
  <si>
    <t>657395b4622b0d5776738ef308c8cc29</t>
  </si>
  <si>
    <t>eb9fa40514b84a6baef9cb960fb0459e</t>
  </si>
  <si>
    <t>de4b22725c67b332abf25d46b35ffc03</t>
  </si>
  <si>
    <t>1a5f2fe180bacc6e266dff5fa78a3684</t>
  </si>
  <si>
    <t>dd0edb51dfbf7b29b62bad71b529f2cd</t>
  </si>
  <si>
    <t>e3e2d1ffc6626abe34b350467473a785</t>
  </si>
  <si>
    <t>5ce64b54b4c6773196a11f8e54fd1afd</t>
  </si>
  <si>
    <t>d5b33bff562b09f6b1c5e500ca7d70fd</t>
  </si>
  <si>
    <t>805b8b4a49606ae70b909686f269a5a1</t>
  </si>
  <si>
    <t>13d870942d446085fd4a068b49ead6ce</t>
  </si>
  <si>
    <t>460f4622353544211eecd355fa95883b</t>
  </si>
  <si>
    <t>801f22d55fde20d0c45f296eb8343b7a</t>
  </si>
  <si>
    <t>5cec14ba0a6d199ac75dc97a762cc54e</t>
  </si>
  <si>
    <t>63139f88ffdf6c0b15560a3874291644</t>
  </si>
  <si>
    <t>b88239d6eb6978afba4b9ebf74a410d9</t>
  </si>
  <si>
    <t>de42ea2fce993402dfb8a9c2aa318fcc</t>
  </si>
  <si>
    <t>8ba76dc42d9c19bcc71b67da31a80660</t>
  </si>
  <si>
    <t>cadc12db26970a26d8dee279edacf1a1</t>
  </si>
  <si>
    <t>e049d1978413b6c80b396caa464fb046</t>
  </si>
  <si>
    <t>565bf8f66598cbbccbd761e2d84772be</t>
  </si>
  <si>
    <t>678b686c9cb551b5404114f34648f3fb</t>
  </si>
  <si>
    <t>0a7b098db15f141388628e3ae81eae39</t>
  </si>
  <si>
    <t>b0065eb213f7f973a74bfd2f1f530df2</t>
  </si>
  <si>
    <t>7c9bd0f95b4964066549526f73ef6520</t>
  </si>
  <si>
    <t>0fb28249c8190748352ade4b306e81b5</t>
  </si>
  <si>
    <t>37468f5bd60ed9a28838293f563fd3bf</t>
  </si>
  <si>
    <t>35d5ba8bf998d10e62cc1176930db035</t>
  </si>
  <si>
    <t>c656048f59a811def222f76414f68469</t>
  </si>
  <si>
    <t>875874ae1d94bd5aecdb8e717a0e6ab0</t>
  </si>
  <si>
    <t>b1d3cd885ac8ab2ce16288c2131cc2c9</t>
  </si>
  <si>
    <t>2645f48e7a325631d6e9bcd8ca8794ac</t>
  </si>
  <si>
    <t>a0f960117bcd6fc97b7431d74fb609b9</t>
  </si>
  <si>
    <t>8626bcb6ded9eef758ec6282262360c3</t>
  </si>
  <si>
    <t>e91a93eae41d3a9a52f6da586f3297b2</t>
  </si>
  <si>
    <t>0478d57080a5af836a29f92b197097b0</t>
  </si>
  <si>
    <t>3c96a827c86534b05e06959d6cdc78ec</t>
  </si>
  <si>
    <t>c1e2c7a2db1a2d7044ad7517b1211361</t>
  </si>
  <si>
    <t>8a98b821bbe6a443827d857910a0c570</t>
  </si>
  <si>
    <t>ca5cb759436d5dcc19a3d78e5f63f5dd</t>
  </si>
  <si>
    <t>5fef57c658a8c5eaadf07c3b36594d33</t>
  </si>
  <si>
    <t>d3a26dcf0804534fe128ea89e2bb8411</t>
  </si>
  <si>
    <t>ce457418d773dfc163a5ebe7a6c36631</t>
  </si>
  <si>
    <t>731534d8589b0989adf466ce659c2155</t>
  </si>
  <si>
    <t>2a66fc8dee47ee7bd8a2349cdd959b1f</t>
  </si>
  <si>
    <t>82e2f7766a622fe555e912f6447dd10e</t>
  </si>
  <si>
    <t>d4b15fec21b098707e3b329141229cb2</t>
  </si>
  <si>
    <t>5a43ef3a80f6401b4782b995b2c8d3aa</t>
  </si>
  <si>
    <t>6c868bdbe8e5ae5ef71b725330a5e388</t>
  </si>
  <si>
    <t>7e92516ba4518d15f3a2cbd416eac4d3</t>
  </si>
  <si>
    <t>e5a44a1bec1d97a8a76345ba80a76d71</t>
  </si>
  <si>
    <t>370b9d7f7e06d8cf5a9dc492ff96f1cd</t>
  </si>
  <si>
    <t>1f9b62bd5c71e48f6fc4a1b63226c6b6</t>
  </si>
  <si>
    <t>1960fbf9507e32a5c62793d952e25f0f</t>
  </si>
  <si>
    <t>5a3b15b347036ae8db69320b89a1bc45</t>
  </si>
  <si>
    <t>b2b6582af9ab9d23ed04c5baec7b1df8</t>
  </si>
  <si>
    <t>e8cf369178ca5e8756ecc9c03187f7ef</t>
  </si>
  <si>
    <t>f8acf9593f90344802fa0578a4b3f9e3</t>
  </si>
  <si>
    <t>b749c8c6a584a2b735d7779cc2a45d75</t>
  </si>
  <si>
    <t>b75869af1fa24b892752cf9c03d1c794</t>
  </si>
  <si>
    <t>dc7b4ff8d39b75634c0b18afb6da817e</t>
  </si>
  <si>
    <t>67259e560a12b6ac73853216c8ae5402</t>
  </si>
  <si>
    <t>a6da4c9571580ee7e26cdd0e1d44b9a3</t>
  </si>
  <si>
    <t>dc019b60561d8a8ad97a38afc59f3520</t>
  </si>
  <si>
    <t>6f994f5cf3a5b49966e42df193781c81</t>
  </si>
  <si>
    <t>84f33bad7b4b9f5ac53fd59324093a24</t>
  </si>
  <si>
    <t>420bb15146dce241fb30f6f0e2c68df4</t>
  </si>
  <si>
    <t>43d0d3d1a46e51d7ab3f03e6d6067968</t>
  </si>
  <si>
    <t>a3afabbf976e25fb7384319ff1c7e6f2</t>
  </si>
  <si>
    <t>6233cc59929abb7a72280f9f2d3d210c</t>
  </si>
  <si>
    <t>e6de6182390f7d40783016720e30c164</t>
  </si>
  <si>
    <t>1818e768eeee4a66cfb2c3c22289a289</t>
  </si>
  <si>
    <t>ba138fadf33dc8fcc6e544c1845b76e2</t>
  </si>
  <si>
    <t>d54c066f355bdc6414e8c62d907fabbc</t>
  </si>
  <si>
    <t>fabad85ea05b3a29046b8228ad59fec7</t>
  </si>
  <si>
    <t>53729eb5b631502a98a876f950c6d339</t>
  </si>
  <si>
    <t>83481232d6a68d39fe887703770351cc</t>
  </si>
  <si>
    <t>9074d47789d212daa7bc19ebc0f51494</t>
  </si>
  <si>
    <t>579d2aa2243ad67cc8a0f5b12695a0bb</t>
  </si>
  <si>
    <t>9dd133f0a29ccff48bff852a28fec872</t>
  </si>
  <si>
    <t>60a90a193abb778c5d5e0bbb522d2da6</t>
  </si>
  <si>
    <t>4888d9af8bd550650453083951a2ae89</t>
  </si>
  <si>
    <t>6b67ca481e2b65bb3f234203a9efbc36</t>
  </si>
  <si>
    <t>a8771d312a83d7aaab4e87e11689a4a0</t>
  </si>
  <si>
    <t>dbf583d9941583dc9a7cf333c128b6d9</t>
  </si>
  <si>
    <t>6bd7ec46560e87247ad93dc7b4c3fe49</t>
  </si>
  <si>
    <t>1b1b286930fab0feddff7d6b84c8649e</t>
  </si>
  <si>
    <t>edb761e78637562937b80f30213b84ed</t>
  </si>
  <si>
    <t>91b794008da16a0f458941d7644a8ea1</t>
  </si>
  <si>
    <t>7215983cdddf5a0495fdda24afc7e036</t>
  </si>
  <si>
    <t>b19e2dff596071c8e0d5c71a36831ed6</t>
  </si>
  <si>
    <t>ad3f1bf1aff7fc817eccdb56e83bff5e</t>
  </si>
  <si>
    <t>c77322603c740e4c8181ccffbffc66ee</t>
  </si>
  <si>
    <t>15373c37a6115422ae2b2f250a073215</t>
  </si>
  <si>
    <t>907f30e06f1381f2e4e588268c909db5</t>
  </si>
  <si>
    <t>18c1fb39c926cd0cc2e031288c10e517</t>
  </si>
  <si>
    <t>7deb4ece6282f0cdbfa9ca6424607ace</t>
  </si>
  <si>
    <t>0d59de1915e952259cacb108b1b859a0</t>
  </si>
  <si>
    <t>186bd12fcd81824d3668a8f109e907ec</t>
  </si>
  <si>
    <t>c4c6a621074cb1e40d91889ce7869a8a</t>
  </si>
  <si>
    <t>b5e23d92a007339d4939a6833b4e9f97</t>
  </si>
  <si>
    <t>eabb126ce03640ba4b1a4c4000a5202e</t>
  </si>
  <si>
    <t>2747a775d13540fcf71ddc72035f3e86</t>
  </si>
  <si>
    <t>83fd4c8eff3225a3fe06f3dc72a3212e</t>
  </si>
  <si>
    <t>ac038b79ecf4e319e757bade280a13ef</t>
  </si>
  <si>
    <t>a9fcc0d7880acaad6d13e83788c1a9ee</t>
  </si>
  <si>
    <t>efb35348d9f45c7d1390e843f49404af</t>
  </si>
  <si>
    <t>b6b9b1aa043ad4eb19b48fa3f01b0497</t>
  </si>
  <si>
    <t>ea22fc226770187777a0305716241068</t>
  </si>
  <si>
    <t>8f073ab6e4a2820077183465f93a5efe</t>
  </si>
  <si>
    <t>8f08b20d9fbb233a137a51ff1e12e1c1</t>
  </si>
  <si>
    <t>b8b74096b6e6a60bd1525ebee16e058e</t>
  </si>
  <si>
    <t>88a71b7374b057fab7177f8af2be558c</t>
  </si>
  <si>
    <t>5d8eff25d4238478083d7eb4cda66264</t>
  </si>
  <si>
    <t>36903565156a42e6a2734e84e0583245</t>
  </si>
  <si>
    <t>0cd8f2dbd606666eda9c6779799c9c9b</t>
  </si>
  <si>
    <t>3555ae14323ca15a8f5ea834e6b06720</t>
  </si>
  <si>
    <t>10bbcb9b322a597e2c3f66d1676dc720</t>
  </si>
  <si>
    <t>1ae60f2a23647837b4347d0182dfbd8b</t>
  </si>
  <si>
    <t>00667bb62f1810a5d17be1f5ac5722bf</t>
  </si>
  <si>
    <t>7348400c20e63f52d6ec9cb5cebaf60f</t>
  </si>
  <si>
    <t>6c9f1dd3b75179b4ce2c0747fca3e5df</t>
  </si>
  <si>
    <t>7a899a2e726881c2b4c9c1ed5290b496</t>
  </si>
  <si>
    <t>42d8c4a26cd56ec2a84fbb38746f3903</t>
  </si>
  <si>
    <t>637c597b77a887437f77b71f47a226dd</t>
  </si>
  <si>
    <t>0578a5e8b66b23577b624109b1e76c37</t>
  </si>
  <si>
    <t>08d70d5756a6421d8e1f796db39a3aab</t>
  </si>
  <si>
    <t>2e044f2b223b4ecb3eaed476d52f6bc3</t>
  </si>
  <si>
    <t>117787f40e3e515a5eaa974de201e051</t>
  </si>
  <si>
    <t>125ebe116715bbc56d53b91b6278b8e3</t>
  </si>
  <si>
    <t>715ea1a7612e6f1059eb66f03457738c</t>
  </si>
  <si>
    <t>dbf484fc8bc75ffcdfd7e60ceb0a9c6f</t>
  </si>
  <si>
    <t>2ecd1b314e437537c02136673bd6162a</t>
  </si>
  <si>
    <t>33dc47e4434af2ecdd5c909712e308f0</t>
  </si>
  <si>
    <t>4788120c65aa8dd1636b7ef39817075a</t>
  </si>
  <si>
    <t>377ff28cc30baffcc2c99f898badd973</t>
  </si>
  <si>
    <t>15d1dd75b883f3f06868cfe037b77ebd</t>
  </si>
  <si>
    <t>b0d0891f4c21a1b3e3ebd07020591b52</t>
  </si>
  <si>
    <t>1fcba51be008dbef6a37ca8ee4758b1e</t>
  </si>
  <si>
    <t>5238e2558657aebdeb7a6c501092461a</t>
  </si>
  <si>
    <t>43303509148ddb6d29789fac3d2e002b</t>
  </si>
  <si>
    <t>4132141daff2cacb11ccf1e0c003624f</t>
  </si>
  <si>
    <t>e9d890128f553f2acc03c776da13af18</t>
  </si>
  <si>
    <t>eb0aaf6668353f3127fc0bbaba328a3e</t>
  </si>
  <si>
    <t>f00a93ddcec8071027d439cb951d13c4</t>
  </si>
  <si>
    <t>05480f4906265c8d7dad52218fad5bbd</t>
  </si>
  <si>
    <t>735b9f40a2d4d7d23ab4c6d86aa86010</t>
  </si>
  <si>
    <t>ab951f56b3ec7a6e1e9a979939cc198d</t>
  </si>
  <si>
    <t>edcbde667efe72748b8b58adcad50154</t>
  </si>
  <si>
    <t>27f7fb1dae1ef35b3237b525660084c8</t>
  </si>
  <si>
    <t>93f5b8c545e1f4e55ffde50a9cd69725</t>
  </si>
  <si>
    <t>39d518a7a6703ccce8cce1ed47723416</t>
  </si>
  <si>
    <t>2b85e4576a695186c67c97dbf3a1517b</t>
  </si>
  <si>
    <t>619b69348f44ecc025776806e4163f75</t>
  </si>
  <si>
    <t>ad5e83823dc489f788445608b638acda</t>
  </si>
  <si>
    <t>aaa4fcf839ed1c8f7ce2e89a7709ad9c</t>
  </si>
  <si>
    <t>10a86640767452b860372cae7c102350</t>
  </si>
  <si>
    <t>c8e84e65aff9479544954037ed0e8d17</t>
  </si>
  <si>
    <t>8273e9ad075112d05ddd0dd39a6145f4</t>
  </si>
  <si>
    <t>bd77da7a8da9e74dc9207cae3a6c3bbb</t>
  </si>
  <si>
    <t>c2e37064e12092d45fd0e288d1f74fd4</t>
  </si>
  <si>
    <t>391baf1a83d9859c5a8ae6afadb7fd2a</t>
  </si>
  <si>
    <t>87fd01ea783bb03055b2e49dd6b6261c</t>
  </si>
  <si>
    <t>814076b5b0070244390dbb0b76a94b86</t>
  </si>
  <si>
    <t>9d33d6f1395eea029a8c72fa32cf5251</t>
  </si>
  <si>
    <t>bb2afaf2d4fe6446318f9c04d7743e90</t>
  </si>
  <si>
    <t>eddacf4eea45afabe217a766b466e92a</t>
  </si>
  <si>
    <t>a39ef978d378cffdf43f312fccda94d5</t>
  </si>
  <si>
    <t>3caf879bc29fec1b0667ba7004b9b32a</t>
  </si>
  <si>
    <t>b0be1d47a9e2824c81769dd515dade63</t>
  </si>
  <si>
    <t>6a248deefcd6c47e85856458b242938b</t>
  </si>
  <si>
    <t>91bb16b096ec639551ce75ef3c04211b</t>
  </si>
  <si>
    <t>e49f05006473985837075462076f4365</t>
  </si>
  <si>
    <t>eb7cbaf4d64cf1ee7acfa75b68e138e0</t>
  </si>
  <si>
    <t>131e02d44fba50d1440da7b9baaad7a4</t>
  </si>
  <si>
    <t>c36f4ebce672f7ba801de2265c67b853</t>
  </si>
  <si>
    <t>0535f63c1efb3bb9b5e538d3248a795f</t>
  </si>
  <si>
    <t>dfcfc0cf600c9b13eb87a6def5f9b634</t>
  </si>
  <si>
    <t>3e225a3198ca4558ef2e9a8bfc02e585</t>
  </si>
  <si>
    <t>6ece68f3677ac17ca7c714f1b7215da6</t>
  </si>
  <si>
    <t>24bfb4d6cd50531f8cf32243d1a21e5a</t>
  </si>
  <si>
    <t>3b9fae3701a4a7b20845a1eecef4e5d8</t>
  </si>
  <si>
    <t>535e4a49d3242184010697c8fa0e6184</t>
  </si>
  <si>
    <t>c80ceca0602a2229184a90388f150dc9</t>
  </si>
  <si>
    <t>a94cd9838357e4cf7253d03109c00f46</t>
  </si>
  <si>
    <t>79413028568beb8f445f4e001d546a33</t>
  </si>
  <si>
    <t>be530369c938eaf77a5eff07cd50ff07</t>
  </si>
  <si>
    <t>b04e77194805f72f995227f40f5fef85</t>
  </si>
  <si>
    <t>97d533af84cde68468f024fa7d1da623</t>
  </si>
  <si>
    <t>2c0b46451e304bfb77fb9269998931d3</t>
  </si>
  <si>
    <t>2f4c9b342ac59d7b0827357176be9a42</t>
  </si>
  <si>
    <t>3f9ceebfa74a8bce038e24c0ef7531f1</t>
  </si>
  <si>
    <t>b21cf16888b9b9c778a81447ac4983f1</t>
  </si>
  <si>
    <t>18a76f0c349d3950d0fc73a0210c1daa</t>
  </si>
  <si>
    <t>7c299d28bfb7e28baf546067a45cd6e4</t>
  </si>
  <si>
    <t>339c910130ef90243b14a95caba86596</t>
  </si>
  <si>
    <t>05819d306397026337b6d13e8ac8da79</t>
  </si>
  <si>
    <t>f070df50d6b1603bca41924d4f209325</t>
  </si>
  <si>
    <t>9c48b02962addd1e92d61a6fa4d91d2f</t>
  </si>
  <si>
    <t>bb0a6debecb0555304f7bab1c9e08374</t>
  </si>
  <si>
    <t>fea9cf60da17f2a71858c47146a5a6bc</t>
  </si>
  <si>
    <t>6ea7f073556bb6355ec5b27ad6c101eb</t>
  </si>
  <si>
    <t>667c3ccd2003254b1aa630839a8d6f3d</t>
  </si>
  <si>
    <t>8b721e059f451fd127169bb526f0d4a2</t>
  </si>
  <si>
    <t>e552ef44f9272032d21243d51906e421</t>
  </si>
  <si>
    <t>93b45b19fbc35c514025f6ba2f9b36c7</t>
  </si>
  <si>
    <t>d469abf597d76511b4855269b9d85ecd</t>
  </si>
  <si>
    <t>2b8108f03e00c5442c5e4e722992b963</t>
  </si>
  <si>
    <t>a34de0c7114a56a91f4fc339ce13dc3f</t>
  </si>
  <si>
    <t>9655edb2b160330df5cde83ce8fcaac0</t>
  </si>
  <si>
    <t>7102dffc905ecb7913dbd7a7ff3a035e</t>
  </si>
  <si>
    <t>8dc866c16cdb9a80fc78af3012d0999e</t>
  </si>
  <si>
    <t>43122e77fb1cce4d15a5aae81a60b68c</t>
  </si>
  <si>
    <t>f7df4508914c887568f0c59a0a893b6e</t>
  </si>
  <si>
    <t>cf6fe0dd1e84bb40471873ef94976a5a</t>
  </si>
  <si>
    <t>0043d6979d989a69de4ff279e03909ea</t>
  </si>
  <si>
    <t>e6bb4fdd2bc30eec85fd5d2f6aec7ce6</t>
  </si>
  <si>
    <t>1fcd3970f22b0119d17e6a9ba7171e3a</t>
  </si>
  <si>
    <t>69119b6b2d9fc5e97efc62dbea9aeca0</t>
  </si>
  <si>
    <t>56d359d309254d7301bb6f53df8dccec</t>
  </si>
  <si>
    <t>a68dec614641d443237757713ff394a7</t>
  </si>
  <si>
    <t>4d419a63c61d8913279548324b5ea21f</t>
  </si>
  <si>
    <t>427916398d32b9a8ee9d7005692b2ced</t>
  </si>
  <si>
    <t>06dc8b6a098122ad599aae333a6e0f06</t>
  </si>
  <si>
    <t>899a5c9501f20f23dd41d2c43aaad704</t>
  </si>
  <si>
    <t>d2f3805b28588459e4c40e15f88e0a86</t>
  </si>
  <si>
    <t>95408ecf99595d3b400567cfcff90447</t>
  </si>
  <si>
    <t>3234cc9ec6c808131a30bede46312e24</t>
  </si>
  <si>
    <t>ece6e5335edfc095fc28e1f02a2469f5</t>
  </si>
  <si>
    <t>1c841076185e0deca029952edf4e6f28</t>
  </si>
  <si>
    <t>99dab0e63d393343bb3beb01607ad6aa</t>
  </si>
  <si>
    <t>9e0367ec19fb8d57a18072326daaa198</t>
  </si>
  <si>
    <t>cb3ee397b854a8cfc34b0d7fefa399fd</t>
  </si>
  <si>
    <t>92f2a5df009f3aacf0fc687421ebdbfa</t>
  </si>
  <si>
    <t>26cf49a0e619856285e840a7a157afb6</t>
  </si>
  <si>
    <t>621bd4b733948e1c4e5f57d6b368c7f5</t>
  </si>
  <si>
    <t>3def70334c29b519f7044940e7e5a3fc</t>
  </si>
  <si>
    <t>c4eb48c8b11ca498ae0f0647f57dfc8c</t>
  </si>
  <si>
    <t>8559181fdc69f6418ddb783c03ecb82f</t>
  </si>
  <si>
    <t>e8c80e6f2b5c5b1452a2d8cb0bd62645</t>
  </si>
  <si>
    <t>b89fc58369e2e88162d6527e37f3639c</t>
  </si>
  <si>
    <t>a1b8aa88ef5259084fd4376bf56ba23c</t>
  </si>
  <si>
    <t>201202e53f498b958383244b108fc0dd</t>
  </si>
  <si>
    <t>969af2123b95c922dc3111a5a9ae7e41</t>
  </si>
  <si>
    <t>2e45b7f61ccf25c72e0d66c9a7389d4d</t>
  </si>
  <si>
    <t>4e94ce912918f4621b4f05b0f43f98e6</t>
  </si>
  <si>
    <t>0b8d366c20a65d22fabd60839a7f3bd7</t>
  </si>
  <si>
    <t>78dee9920962d0ffa15d0853c3e5e2d7</t>
  </si>
  <si>
    <t>c4ad6276a2b45bef42274b3d34694257</t>
  </si>
  <si>
    <t>39217831ecadaaeefd1e3c7d5737c01d</t>
  </si>
  <si>
    <t>ad49cc3f044b0837a6f54ae473a8607b</t>
  </si>
  <si>
    <t>ce8ec62724e61a441217f37c6002e231</t>
  </si>
  <si>
    <t>6b63d7ddf0465e437ae8a12c10ae1a86</t>
  </si>
  <si>
    <t>489782af0648f8d74f4efd5b3e04a1f3</t>
  </si>
  <si>
    <t>21813cf28512e3a22653182746d9e0f2</t>
  </si>
  <si>
    <t>003ebfdf85e9f905266033f549c6b2ad</t>
  </si>
  <si>
    <t>fc734cc625b0191d3e359f3c98053315</t>
  </si>
  <si>
    <t>f3a914f31c528e8f46580c1177a582ca</t>
  </si>
  <si>
    <t>1900d8e9a80df42ca589f36ad36f2895</t>
  </si>
  <si>
    <t>460e68a8fef5d1cba0077c5a9f7d91a0</t>
  </si>
  <si>
    <t>85dc51f845773f791612bbae4482724d</t>
  </si>
  <si>
    <t>0aa5e5520ae6e38bae9c2293f13d586b</t>
  </si>
  <si>
    <t>71fe00a3e858b85105879edc78a75b01</t>
  </si>
  <si>
    <t>0370b091c3a01fe166b81265e2cbd901</t>
  </si>
  <si>
    <t>e5f83416b28cd13ecb53626213454893</t>
  </si>
  <si>
    <t>945210b554ab95238c76bcefc367a072</t>
  </si>
  <si>
    <t>1effbd28ad08e7993582e4676795d043</t>
  </si>
  <si>
    <t>b81f4fd370709018bb2957b134e3db8b</t>
  </si>
  <si>
    <t>0c7501a340b7e9b2cf5c3da4d27d955c</t>
  </si>
  <si>
    <t>488305bb2140f358340e6f0077f4f753</t>
  </si>
  <si>
    <t>77b5cd0500d460563fbd813b636b6031</t>
  </si>
  <si>
    <t>db9826ca35f0b19e4ccf7e740b7aae7a</t>
  </si>
  <si>
    <t>ddc3b73e66ac14863c3a6d1815ee8988</t>
  </si>
  <si>
    <t>3879efba942c1094d2f639478e5a6118</t>
  </si>
  <si>
    <t>169433d14742e635f94f8603add4f157</t>
  </si>
  <si>
    <t>736c8951d1b3c90e6d6c403a716f6395</t>
  </si>
  <si>
    <t>2688c18dd340160291209cdb8a01a5d3</t>
  </si>
  <si>
    <t>ebe1842235658bde3aa495ea4c722a3e</t>
  </si>
  <si>
    <t>106e750b92cf878d98115a742e011e2f</t>
  </si>
  <si>
    <t>e9eb2d0cd522fde9f031e6234ede7fd2</t>
  </si>
  <si>
    <t>e07f7f18c6f93e4a573f604c18ad07c4</t>
  </si>
  <si>
    <t>40f08fa22ae64414566f261b23fad95b</t>
  </si>
  <si>
    <t>f824b202cc1e0c156817c631a4c8a006</t>
  </si>
  <si>
    <t>909e8ea731de8c8036501881d2b87a7f</t>
  </si>
  <si>
    <t>63ae74ba07a193dc64bd13ffe7953ff8</t>
  </si>
  <si>
    <t>9f9f6fefc3f6d2042b26fde738fb4444</t>
  </si>
  <si>
    <t>1caa8ae0db2ca3b1abbec54357cc8718</t>
  </si>
  <si>
    <t>73cffcbdb4de915e98046fc2955faf5e</t>
  </si>
  <si>
    <t>b3f2f0d3de1d74c6494a5208c45f4686</t>
  </si>
  <si>
    <t>64b3bc4deb36bd75ee7c5bca0345ec12</t>
  </si>
  <si>
    <t>2b007013722da555bb79a1b4bd0f7660</t>
  </si>
  <si>
    <t>45029b890f801a791df7aeb975a59323</t>
  </si>
  <si>
    <t>72f4940223fd0b84fdceb721286179f2</t>
  </si>
  <si>
    <t>b85ce0aced923e055a479901a573ab0b</t>
  </si>
  <si>
    <t>f226a6c715c947c9967c80c02b4dd883</t>
  </si>
  <si>
    <t>53e54b37479587bf04c4e225d0eece23</t>
  </si>
  <si>
    <t>5ffa9821f068b3f853a46177ad873c5b</t>
  </si>
  <si>
    <t>a20feaa2a4e459d31eedc5d3849c7b40</t>
  </si>
  <si>
    <t>b52b79d50d1748aca20f254ecefd6ca7</t>
  </si>
  <si>
    <t>fd9f05a1e02ffac24a07780e9b6a9c8b</t>
  </si>
  <si>
    <t>8e79baa249406d97a8a09457e6b0b6b6</t>
  </si>
  <si>
    <t>9e1d41a50812beba639227d5f1ad0a2e</t>
  </si>
  <si>
    <t>b36b966c915533a62a14e2fa2ef37576</t>
  </si>
  <si>
    <t>0ef0ceff2816135ec210f937cd505b0d</t>
  </si>
  <si>
    <t>f8fd98303e00630e3461df7afb5e9d71</t>
  </si>
  <si>
    <t>d6b8684d4f1a57292198e043d2d0238d</t>
  </si>
  <si>
    <t>1aa2dacb65b08454bcbd6db5cae2a191</t>
  </si>
  <si>
    <t>40be84c60c08dd262d5bd8f558a5c281</t>
  </si>
  <si>
    <t>af7c953e86ea90d7e1e0d9e751a88b3d</t>
  </si>
  <si>
    <t>f09a6c98f03ec8baf6644a0ab516cdfc</t>
  </si>
  <si>
    <t>e7ec952f103c4f1ed2dee5ab2319e5e2</t>
  </si>
  <si>
    <t>8d0b682203ac88e0661ee02fdeb7449e</t>
  </si>
  <si>
    <t>74d18129f2a6d0ab06c5a2e2acf584cd</t>
  </si>
  <si>
    <t>e1290f8a18e2c42ec4474d9493e80725</t>
  </si>
  <si>
    <t>fdc6fdbcfba5e1053bb4ce8259b88dfc</t>
  </si>
  <si>
    <t>0e55cf18297a80c0e5133f178afceb78</t>
  </si>
  <si>
    <t>ba10ce9d4aacb37a6ec0206dddd10a01</t>
  </si>
  <si>
    <t>e68729ffb73e733ae47ea4a936e0ea5b</t>
  </si>
  <si>
    <t>7fe5eb2d44f4e51cca9cd5987c4fa081</t>
  </si>
  <si>
    <t>1af5292679c6bf329d7188ec3f8fed7c</t>
  </si>
  <si>
    <t>11d5f68fd396453759c19aadf228e163</t>
  </si>
  <si>
    <t>4a4c8cd74844f44a0419d0fb7beca729</t>
  </si>
  <si>
    <t>a5e7e3d665c2cf73528a161ab067d78d</t>
  </si>
  <si>
    <t>59347eb3af112f613266559e81ecdcb6</t>
  </si>
  <si>
    <t>1ef9b3ec210dc1885f81c76cb05d1add</t>
  </si>
  <si>
    <t>ce7828aafb78e3de4fd81fdff20892ac</t>
  </si>
  <si>
    <t>96b04942e43fa820ecd0bee5308be8ca</t>
  </si>
  <si>
    <t>f39f0b43542b7860a68d40e527466ae0</t>
  </si>
  <si>
    <t>8fd183f2a2939aafd189f85477ca5f43</t>
  </si>
  <si>
    <t>449088774868f255953960646c8af4ed</t>
  </si>
  <si>
    <t>3e06d6b0db08fbd8f00276a7125437e7</t>
  </si>
  <si>
    <t>08164d388917ae50e61eb7093bd81086</t>
  </si>
  <si>
    <t>5ba182b2e9085b4eedc1ce7c95954ae3</t>
  </si>
  <si>
    <t>4031aaead7ed2730e6e09f37b46b4734</t>
  </si>
  <si>
    <t>eb4afa20ce9d3d6e5103c142598ac2a3</t>
  </si>
  <si>
    <t>090415e501968df913b72f6e4e8bf784</t>
  </si>
  <si>
    <t>f134fc4f3e1b3de1f984e93e6de8c40e</t>
  </si>
  <si>
    <t>b1c84e86a4176e02d1a9e6e4f84e22c4</t>
  </si>
  <si>
    <t>8cc5ad6c4e9582122e19d8258786cf44</t>
  </si>
  <si>
    <t>b8797d63fb317735206f22596e2904a1</t>
  </si>
  <si>
    <t>ce536ab48f841ecab5f3303b20712fc2</t>
  </si>
  <si>
    <t>95d5c27c6140c2c6168e6c5b5780c747</t>
  </si>
  <si>
    <t>237a79f8e3eadb94e116ed2ea10012ea</t>
  </si>
  <si>
    <t>2309f3edee2afe7380ae65093fe459ca</t>
  </si>
  <si>
    <t>a929403aaff38c988932468033652ab0</t>
  </si>
  <si>
    <t>11b4e32da8c020ed7a37122e77366aed</t>
  </si>
  <si>
    <t>15c736f829fa8ab5ca29011fe6e29393</t>
  </si>
  <si>
    <t>6fa96c747d3ddc228d5a96417e23e80e</t>
  </si>
  <si>
    <t>2e7556edf408e0c57decbc1472081f0a</t>
  </si>
  <si>
    <t>830a21cca21d069de6ed4f55aa89be68</t>
  </si>
  <si>
    <t>8663d85424ca57034e6b6d6d0d6b3d37</t>
  </si>
  <si>
    <t>fb563b7fc02a0ba3db1c84f1119bc65e</t>
  </si>
  <si>
    <t>ee92c0021a32ec62cd2ebfbd993a8d34</t>
  </si>
  <si>
    <t>30bae75c9e8f7847585695cdff5bcd2c</t>
  </si>
  <si>
    <t>1a4c65648aa495dfa743700bfe24fc26</t>
  </si>
  <si>
    <t>dce9bd71428e94d69de96cfa172bef90</t>
  </si>
  <si>
    <t>1c3af1834c7fdca4e2238320e02bd0ed</t>
  </si>
  <si>
    <t>b553fb87ba85a92c50ebefa73da75f92</t>
  </si>
  <si>
    <t>8d55897d258c4b91a0ba954e4ec04d58</t>
  </si>
  <si>
    <t>0635058a23447a28968042bc6fa1ce4b</t>
  </si>
  <si>
    <t>f75de7c98d9d751b65d19a4d646e9f77</t>
  </si>
  <si>
    <t>5d32f07703e1eec21bf62c451d00980e</t>
  </si>
  <si>
    <t>dad1560f46112c3ac2bf7f37e94e8643</t>
  </si>
  <si>
    <t>99d85ea3c3368efc5b4da85a314a3acc</t>
  </si>
  <si>
    <t>b54467347d9f79b0f51758f4824dc480</t>
  </si>
  <si>
    <t>c9f6f88cb8f41da90dcfb04610205e54</t>
  </si>
  <si>
    <t>78e62b0436c1b055618650ad4cf5d5a1</t>
  </si>
  <si>
    <t>58cd1ffaba54c220085f6c0c2a19b53b</t>
  </si>
  <si>
    <t>741c2f35f3f57fa4acf01e45114a3526</t>
  </si>
  <si>
    <t>5d9ac2d35cd9eb7eb70c4d3828b34365</t>
  </si>
  <si>
    <t>6217b8f7134acce54e7fe05b99b55b51</t>
  </si>
  <si>
    <t>b51a8732c2c0c6ce13befc7d124d8d23</t>
  </si>
  <si>
    <t>dd4a8c25cb7e974aac5672509aa94ca9</t>
  </si>
  <si>
    <t>5bbb42ed02fc6b0e8e033670a582c3e7</t>
  </si>
  <si>
    <t>3584a6cbeb8c66358dd272027a2add1c</t>
  </si>
  <si>
    <t>08d1a0be8a82958f1a848e2b07948b28</t>
  </si>
  <si>
    <t>8222c04c09f4f9b8b5f1ee2c43fd8080</t>
  </si>
  <si>
    <t>0ec97046fa3b2e6515671cedc20c32f7</t>
  </si>
  <si>
    <t>d47be6138b9f91aec6af19579d98386c</t>
  </si>
  <si>
    <t>9ea9a50790e4ff3516508525ef200fba</t>
  </si>
  <si>
    <t>b5e13525a8fe1206393ff766d5072026</t>
  </si>
  <si>
    <t>df955dd5ce7400cf27ff05f79126b668</t>
  </si>
  <si>
    <t>54edfd5f21ce43feb2dae7a5738c264b</t>
  </si>
  <si>
    <t>2b6c582c080376777630473ef296f792</t>
  </si>
  <si>
    <t>de0501ddcbe6a6c32fae76dec54b95c3</t>
  </si>
  <si>
    <t>d02be2891d4cf251c2eee68f7df4e2ad</t>
  </si>
  <si>
    <t>dcf94a795a3d1fc4d35ab700c7cb252f</t>
  </si>
  <si>
    <t>dfdece9e21f5e8e97e0f0c1c2d764fbf</t>
  </si>
  <si>
    <t>bb6281a40b721749b4eb0532c244c94d</t>
  </si>
  <si>
    <t>539a3d4e6ec6859536fec4311713458a</t>
  </si>
  <si>
    <t>d5584ac6e49f36ad73e547cd615956dd</t>
  </si>
  <si>
    <t>13aba1a5fa808104f7d00644f2f8e5c6</t>
  </si>
  <si>
    <t>7a6b058553be79d8c7e4e4315874b567</t>
  </si>
  <si>
    <t>eb8b3e60dbd3a77da7c34d773b45f858</t>
  </si>
  <si>
    <t>31b2c8151ef2683933e4b0b7c68dfb19</t>
  </si>
  <si>
    <t>15cba47f2b954b53e1eec5a639e80ba5</t>
  </si>
  <si>
    <t>87e2199a2aec1fe62f53d2edb464cd7e</t>
  </si>
  <si>
    <t>e9b5f5913332ea17e858178d5e65db46</t>
  </si>
  <si>
    <t>90bd1afad7782d84bc3bf2aa5f2a51f9</t>
  </si>
  <si>
    <t>8a4b37480bb58bf8744ea74b9ad33a06</t>
  </si>
  <si>
    <t>44dc2b3c7597891c46fe080d82277ed1</t>
  </si>
  <si>
    <t>216b6ee741cc7da264495a8c86a881af</t>
  </si>
  <si>
    <t>253644e460ff04fd539f4732a6b92f7e</t>
  </si>
  <si>
    <t>036d7e034be651dce94bd84b1031bef3</t>
  </si>
  <si>
    <t>8e8ead878761b953be88ba58d5e25bc6</t>
  </si>
  <si>
    <t>44f3d775ffbbf83c9912b1a732579d1f</t>
  </si>
  <si>
    <t>b35bd6e8a354406e0898b8244939598f</t>
  </si>
  <si>
    <t>82c6d308471e5c2d9b44aaf3c52031f5</t>
  </si>
  <si>
    <t>e89d68bd6d4ea4f89bee76cfce523ff9</t>
  </si>
  <si>
    <t>5d2fddc585d020a9a5f98e42f16dee02</t>
  </si>
  <si>
    <t>b58a39da6f7b82d31dbae6731b764260</t>
  </si>
  <si>
    <t>0d6d03751704b359d67522874485baf3</t>
  </si>
  <si>
    <t>f61e19b72ba6095cee7dc068dcd4775d</t>
  </si>
  <si>
    <t>7cc437194d92d868d24f36e7b414ecfd</t>
  </si>
  <si>
    <t>2dc5bb74db154272b1def98eb25a8dca</t>
  </si>
  <si>
    <t>cb343bd162339ba87eddebcd437465da</t>
  </si>
  <si>
    <t>e392d80145e369554cefb4c168acfdff</t>
  </si>
  <si>
    <t>9fc4f64892800070d56be1f2bb20b536</t>
  </si>
  <si>
    <t>4c60315533063412182d089919001731</t>
  </si>
  <si>
    <t>886824e0c655741576706165dab73ee8</t>
  </si>
  <si>
    <t>0ad8ef0232a8318891a50ee93bc8c299</t>
  </si>
  <si>
    <t>4e989fb2ecbb83d00fcec1753bcf3808</t>
  </si>
  <si>
    <t>1767b25889feb9951bb6b2d8ca941b77</t>
  </si>
  <si>
    <t>20b8a08d6fe0873a0150b54f69ddbbe4</t>
  </si>
  <si>
    <t>237063b92cc20fad9800ecb9fb3fbd71</t>
  </si>
  <si>
    <t>80262ddb891c9a12555fbe7dfe390074</t>
  </si>
  <si>
    <t>d219aa8039543dd199c9d608025a8b00</t>
  </si>
  <si>
    <t>9e3dd9126012f4598d1e92216e5eab99</t>
  </si>
  <si>
    <t>4b4bfb201c4f6c96460a825cdea53fdc</t>
  </si>
  <si>
    <t>de625c2d481e050cb38ba16ae026130f</t>
  </si>
  <si>
    <t>c90dd81ff2ffda316939af245729be58</t>
  </si>
  <si>
    <t>8450197a7f1f5d84fdb29fc9cac2405f</t>
  </si>
  <si>
    <t>2c04b1c93d4ae4ad6c1a3db25bd00d3c</t>
  </si>
  <si>
    <t>284be0b637caab3ddb898449defd256d</t>
  </si>
  <si>
    <t>58ee1a20b6c67a4bfc4e82a94c037cd7</t>
  </si>
  <si>
    <t>62f528f9d2e7722922dfb7b8ee93c505</t>
  </si>
  <si>
    <t>02bf070a712b621fb2699fe636ae5064</t>
  </si>
  <si>
    <t>a7cea04bc3b8c65aba08cdd23362cc53</t>
  </si>
  <si>
    <t>29bc092d6e23fa8242e18c7228daeac9</t>
  </si>
  <si>
    <t>7e523d0356abb7ae91a8b134b296e311</t>
  </si>
  <si>
    <t>c77cacdadb36c28b122a9474c4f2655c</t>
  </si>
  <si>
    <t>bfd934368eae61d9080e24990d817c2e</t>
  </si>
  <si>
    <t>48eefad4b683b2fea640b5ba31379e9a</t>
  </si>
  <si>
    <t>69c31ce337b66d65f285b40114335493</t>
  </si>
  <si>
    <t>7a14c6670452d487040c1e40f1718a5c</t>
  </si>
  <si>
    <t>dac07401e49a9871df7aa2bd6cd46926</t>
  </si>
  <si>
    <t>45e6ee68fce2388f1821e2f92f7d7807</t>
  </si>
  <si>
    <t>e31c88d055680691f2d9a43d0f3f8877</t>
  </si>
  <si>
    <t>c6c66d8c5df3274a74ee3464388681f4</t>
  </si>
  <si>
    <t>1c9909d8ddfbd57e7fa0284ffb743923</t>
  </si>
  <si>
    <t>0a526910a330c2aa692462337262a36a</t>
  </si>
  <si>
    <t>6577e5f8bac43aeb1c5e3b87eaa18d11</t>
  </si>
  <si>
    <t>88c46468cd8d2fc5fdebd4e7feaa6fa9</t>
  </si>
  <si>
    <t>277e31f124cd4e7d256e15fd02fd8874</t>
  </si>
  <si>
    <t>7b35635bb47af86b21a74126eac24dcb</t>
  </si>
  <si>
    <t>069a24a0a3cc00cbf2e104c801a49968</t>
  </si>
  <si>
    <t>33e1a45700c29bf3bbe1fc3579341eb3</t>
  </si>
  <si>
    <t>28fc4a2bfe684166dab49a1b5dbcd6f5</t>
  </si>
  <si>
    <t>49db504ab17920e0af1332d5a29a97c7</t>
  </si>
  <si>
    <t>35d27c1cfb6a174da90ef76e93b5c637</t>
  </si>
  <si>
    <t>a6febc50e39a11230b0eb83581fd1344</t>
  </si>
  <si>
    <t>91195633e06092ad7da81f7d3fae0aa1</t>
  </si>
  <si>
    <t>9e7b99bd6b2f09287cb6583088069c8a</t>
  </si>
  <si>
    <t>006141837684ca0eee66fa0c6a64f5ba</t>
  </si>
  <si>
    <t>912c0ae057f59282e1b59a6be92c0075</t>
  </si>
  <si>
    <t>18e0c9f57e0bdec4365b2673d48d0ca9</t>
  </si>
  <si>
    <t>0586a4948d1cef480fdf11622cb0b21c</t>
  </si>
  <si>
    <t>fd50527ba7d03ffc5d020065a21d1c7f</t>
  </si>
  <si>
    <t>f9d07b47911364c142724543925f4470</t>
  </si>
  <si>
    <t>569e2b96007e6881fc657d10632427ca</t>
  </si>
  <si>
    <t>d1247c51bf03da4a2024d9d860bd6548</t>
  </si>
  <si>
    <t>0276d139bc205e2d371504ab3d4c0203</t>
  </si>
  <si>
    <t>8be1fb077e37fd1617a22a6c2a63f98d</t>
  </si>
  <si>
    <t>413fb989745d9ade227a209170512c48</t>
  </si>
  <si>
    <t>14060fb3659fa8a4113fd9be61ac6324</t>
  </si>
  <si>
    <t>0c1354ecec6bf47ee1ecc287ad1e1f55</t>
  </si>
  <si>
    <t>74432eae17e8d530d01c6a745b8a096e</t>
  </si>
  <si>
    <t>2af3ff74d8a12cf3eea72d6cec4646d8</t>
  </si>
  <si>
    <t>80946f451c163584602d0bc7a7c25ac0</t>
  </si>
  <si>
    <t>7156b6b35ea2601c7a7e8905ecac612c</t>
  </si>
  <si>
    <t>7b5d58205a875e5adc1ad5f99671c8df</t>
  </si>
  <si>
    <t>65edcadeec473a6b66fb0d53095fd597</t>
  </si>
  <si>
    <t>cefa252136aa88020f27a0a14df68d71</t>
  </si>
  <si>
    <t>0f149d23cbfc7e2bd88a6e950a2287d2</t>
  </si>
  <si>
    <t>b0d0de384e2fd3a246e5bab8da823411</t>
  </si>
  <si>
    <t>a8f1eeb62903ec900db32ea4331e48e6</t>
  </si>
  <si>
    <t>8573953cb482f33c9d4217660da87532</t>
  </si>
  <si>
    <t>e794565b00dc9d6e396819505c60481a</t>
  </si>
  <si>
    <t>571e1c728f3c8a28cc26ac31fbf39326</t>
  </si>
  <si>
    <t>f70e561c424ba4f150f65cea644ff40e</t>
  </si>
  <si>
    <t>10476e71562710bd637cc39072fd1bd4</t>
  </si>
  <si>
    <t>20f9c44774bcae5ad8f3a425d835db27</t>
  </si>
  <si>
    <t>ad4ddddb24a1e728f2e763cfbcea7b51</t>
  </si>
  <si>
    <t>f751d7a8a65129774a2ea944745399c9</t>
  </si>
  <si>
    <t>75a84cbcb8e87a59a6baff8ff4a3cfd5</t>
  </si>
  <si>
    <t>4d4e563ae690b86ac5e03a1b85050719</t>
  </si>
  <si>
    <t>ac92caad9f086653d17044019e23f5de</t>
  </si>
  <si>
    <t>014d97d1619ca906bab79568bd19d8d9</t>
  </si>
  <si>
    <t>34f3c766cdce23b922d18cb596b4d35b</t>
  </si>
  <si>
    <t>32ce87d94359aa8ac96a2ea64e758dca</t>
  </si>
  <si>
    <t>60954509a6e7c7eeb0f1b0a77d56a9a3</t>
  </si>
  <si>
    <t>9183bdb1109f5f1e777300a90260a363</t>
  </si>
  <si>
    <t>c92ce4640fb07e5aca1b4a84f5f4d821</t>
  </si>
  <si>
    <t>7ef1fcfea00777e181a3119335902fb0</t>
  </si>
  <si>
    <t>120c7afe573f59e716bf25f1675eadf8</t>
  </si>
  <si>
    <t>7b7a6222928f26981318aa540379c50a</t>
  </si>
  <si>
    <t>c1d3c3548ff686c3696dc0e010fc6b39</t>
  </si>
  <si>
    <t>22008e3a92180214a0603fb4de8ba859</t>
  </si>
  <si>
    <t>f02472153af82afa66df754e38cfb194</t>
  </si>
  <si>
    <t>1833767c6379eeb0e195f3306d76ac5f</t>
  </si>
  <si>
    <t>fb3ebc9e5852f46e6d78cbce37b24ee7</t>
  </si>
  <si>
    <t>af27c157ae171b9662d1e2d6e51c9403</t>
  </si>
  <si>
    <t>2e0cae5a5e21b4d645a589107e7c9473</t>
  </si>
  <si>
    <t>5d0b9bb83dd4166cfa04e803cdbac8d5</t>
  </si>
  <si>
    <t>df9389ca3361ebe6009163acbfeab631</t>
  </si>
  <si>
    <t>96687a23d69780d2911a4a766a45ff5f</t>
  </si>
  <si>
    <t>18b79435b0c9a3535c5193d72cbacae9</t>
  </si>
  <si>
    <t>b56ee45ae59c4ba10fc06d64921a672d</t>
  </si>
  <si>
    <t>9a62e823fc59a814ad1405b9a4b323dd</t>
  </si>
  <si>
    <t>dfe9cbac533bc304651aa5f85dc25ad9</t>
  </si>
  <si>
    <t>7a62d36cf58f48857a7bfd343aab8717</t>
  </si>
  <si>
    <t>6f775f13aa2556f02a4de452130de639</t>
  </si>
  <si>
    <t>3d136da0af8e66f36dfce706ceb511fa</t>
  </si>
  <si>
    <t>bcfc5a3c32ff9d74eb7a2a409c544f6f</t>
  </si>
  <si>
    <t>7cf570a51e408214931bbb31a07bbfed</t>
  </si>
  <si>
    <t>d038553b4ebe3780251d8ecaa8efe92c</t>
  </si>
  <si>
    <t>d8cdd0837c2ab99b6a37f3580fa857fe</t>
  </si>
  <si>
    <t>faea74497fc25f6355ef6618047f1850</t>
  </si>
  <si>
    <t>fd4c49218b9eef36f20f43c5567fd4db</t>
  </si>
  <si>
    <t>795c43219912886bb30026e5488dd8a3</t>
  </si>
  <si>
    <t>d425085e0821f9bbcc16fdd04d48f082</t>
  </si>
  <si>
    <t>cca9f10eea158cfb9e1214245eec5206</t>
  </si>
  <si>
    <t>63af2d230892cda72f16a1ff4da154db</t>
  </si>
  <si>
    <t>7a9fc913080d5b939fd6534f22e61642</t>
  </si>
  <si>
    <t>b6937c1e387412fc5d4793ec34b55bc9</t>
  </si>
  <si>
    <t>d112cdec48c81740b7e4f0b439cbe1e3</t>
  </si>
  <si>
    <t>60c5fbfe361bcd792d73976b3208dd87</t>
  </si>
  <si>
    <t>87fa9b2b724de11f1bcaffad88727e2d</t>
  </si>
  <si>
    <t>6908c0cb88ffc3da38addaf456ee3e0c</t>
  </si>
  <si>
    <t>515f8be030b7a553c9d6f5a7ae468623</t>
  </si>
  <si>
    <t>10909f2703f43cced6e531d2ebeba308</t>
  </si>
  <si>
    <t>de29af5c1e73a59a4371e9a694b4cc59</t>
  </si>
  <si>
    <t>b78c65bfc48cd08bd92f0942be8744d5</t>
  </si>
  <si>
    <t>d84d5288a1ad16eeda2dec87497518b2</t>
  </si>
  <si>
    <t>453b39abd1a4292526b07a392e372e94</t>
  </si>
  <si>
    <t>07637fd34649cc805be9c3aaba47aeb0</t>
  </si>
  <si>
    <t>4eb6cd4bdf56a228bf5649c44bf86a9d</t>
  </si>
  <si>
    <t>3b35edc2a977e1fd9971daa74cd09813</t>
  </si>
  <si>
    <t>3e0cdb5f3ffc363cb0506b3efefb2dbd</t>
  </si>
  <si>
    <t>9c6f0a99fc9ce48f3e3a5f4987ac4556</t>
  </si>
  <si>
    <t>bbd72eab4e3d859dc23670b8318b6944</t>
  </si>
  <si>
    <t>75ea84668d57d3c57e510a1cf9daf10c</t>
  </si>
  <si>
    <t>299fa4db552c9662d9abb6065dad526d</t>
  </si>
  <si>
    <t>b6b7fa8c4734f37e4defb07126a575ba</t>
  </si>
  <si>
    <t>df308b01f9d87f468781dd16b419414e</t>
  </si>
  <si>
    <t>df798d3274b05c595ee412f43a544ee2</t>
  </si>
  <si>
    <t>82b810977b76e488b9541768e4ff90b0</t>
  </si>
  <si>
    <t>27d0830f624d9a6870916a4a7b644425</t>
  </si>
  <si>
    <t>2fc4a03048538fb5a445bf50614a401e</t>
  </si>
  <si>
    <t>b9d1b55037746f279cec4cbdceec9633</t>
  </si>
  <si>
    <t>ee1ffdb5f07eb3e94f8ae16473f06fd9</t>
  </si>
  <si>
    <t>20e0b9a8ae780581ab625f6ae1f3c76e</t>
  </si>
  <si>
    <t>3f053cf99af550d357e737254dbdb865</t>
  </si>
  <si>
    <t>fe21df72680d132542d0efa32086879c</t>
  </si>
  <si>
    <t>f8428dffd2012c042babdedfb6153ebf</t>
  </si>
  <si>
    <t>7fa8b5ff76197dff38ba9af8629cb995</t>
  </si>
  <si>
    <t>c806e0c33549be9cbac533cff85b118e</t>
  </si>
  <si>
    <t>c3219bf20e5cb165c320147fe3dfa638</t>
  </si>
  <si>
    <t>ff31add231df4b3b13b8f4b7b74840d8</t>
  </si>
  <si>
    <t>62108c9d6b801d40586369e6c9b458eb</t>
  </si>
  <si>
    <t>ddb34a84bf2dfda634d7dbbb03485035</t>
  </si>
  <si>
    <t>2817d0eabd650d2f9f498eeb83764d1a</t>
  </si>
  <si>
    <t>89fa22bd27a5b34f0941ad223a1bbbdd</t>
  </si>
  <si>
    <t>6526a01abba38716ae0785d6f0b09adf</t>
  </si>
  <si>
    <t>af472cfffd8e9b77be47c02013a591db</t>
  </si>
  <si>
    <t>224b72c1c539d0c17045e0f969b5bb22</t>
  </si>
  <si>
    <t>c4f5bbb4d98be233698c61d25f997d0e</t>
  </si>
  <si>
    <t>a2b14e27c3670c134cbccb01fc6cb3e8</t>
  </si>
  <si>
    <t>3524e8716c0d185ab51ba96d4bfd55e9</t>
  </si>
  <si>
    <t>37d8d14dc36079d04e618af50f7bf09b</t>
  </si>
  <si>
    <t>d86bacb78d1fa0c15472c5bb3cb2abfc</t>
  </si>
  <si>
    <t>44d2d81715dae739283bedb581103039</t>
  </si>
  <si>
    <t>5ce230c3847d3c39d305f0b59e035ce2</t>
  </si>
  <si>
    <t>10b34ef0560236abda06dea9443d50d8</t>
  </si>
  <si>
    <t>a81853bed1b1b58b1e0d24a3476ec9d6</t>
  </si>
  <si>
    <t>bf865106a3c17dd615dd43548f19b897</t>
  </si>
  <si>
    <t>a0a2ce1bd16ad7b41a5f9b2422c4f66f</t>
  </si>
  <si>
    <t>378119862b2b76efd486bdd03442cf18</t>
  </si>
  <si>
    <t>bad445082c5609a8dc57741697355ee0</t>
  </si>
  <si>
    <t>072087ffd203adca86d739c7a9a1116d</t>
  </si>
  <si>
    <t>a8d596875a8a3cb8b23b80b322ca9fdb</t>
  </si>
  <si>
    <t>aba4e1b54fcc8cd06c46ccb9877a833f</t>
  </si>
  <si>
    <t>d0bbff506e372e0ac33facbda316db2e</t>
  </si>
  <si>
    <t>6a86591b509306dc9112fe4d924378e3</t>
  </si>
  <si>
    <t>87cbef939049547fa3fb7ce6b9cf051e</t>
  </si>
  <si>
    <t>5ec72d5692c311a1aeb22ae0b297ad69</t>
  </si>
  <si>
    <t>1bcff65c0c5663218620ff4f3cc4f835</t>
  </si>
  <si>
    <t>b6e1af3a0867ebd3e8fb1027267e9767</t>
  </si>
  <si>
    <t>e750e70c702f8794c45f240654b2eeea</t>
  </si>
  <si>
    <t>60967ecd4048da19de452f2846d53737</t>
  </si>
  <si>
    <t>29da633dff8879e4f428deddccdf6a2a</t>
  </si>
  <si>
    <t>26b1f1fb845e5c4650de372bf0e61c63</t>
  </si>
  <si>
    <t>481f029cab9844fe4e1333bd9ed95269</t>
  </si>
  <si>
    <t>853c3283562b25c3d14f197f1aae177b</t>
  </si>
  <si>
    <t>4ab2247a9204ffc454cfb890a8956a68</t>
  </si>
  <si>
    <t>c095b77cd918fee561de43eb1da07a49</t>
  </si>
  <si>
    <t>0635d4e86352bfd8960cc680c46c8334</t>
  </si>
  <si>
    <t>4cf5035d7d96197cdc838e1ded58970c</t>
  </si>
  <si>
    <t>f26113065df0281ae42042000358807e</t>
  </si>
  <si>
    <t>60426730c79bb60d1b6f888f6e49f3f5</t>
  </si>
  <si>
    <t>6cd94acb435a052e491aeb1886a1c2af</t>
  </si>
  <si>
    <t>971eec9a1ce46489f74a16850bbbb49e</t>
  </si>
  <si>
    <t>fb994541942308222be97ce8661adb0d</t>
  </si>
  <si>
    <t>f3f438b7fb602da210e2a7db5c851b9d</t>
  </si>
  <si>
    <t>8be7aef074d2d5199b4669baaa81834b</t>
  </si>
  <si>
    <t>2caa0517f3035d7fd38a4f3665ac59e9</t>
  </si>
  <si>
    <t>089ef0f561d55f13a357953dea942bfc</t>
  </si>
  <si>
    <t>b92a9889deee4b235ff024ce457dc8ad</t>
  </si>
  <si>
    <t>6c1e000f68d550b5f4c0a9032092ced3</t>
  </si>
  <si>
    <t>6a1b5d59bd69a383a1568cdfcc9cfee7</t>
  </si>
  <si>
    <t>534fca9594889c16fb664bf5bc615b8c</t>
  </si>
  <si>
    <t>40e1abac6a89974178094a9be779cb49</t>
  </si>
  <si>
    <t>e8e3ad0cc1a790671c0e3678c08fa4fd</t>
  </si>
  <si>
    <t>3ebbb27d64461367b64464370a884424</t>
  </si>
  <si>
    <t>2b77f9100339828752ad5129e9e5f3d7</t>
  </si>
  <si>
    <t>71e3178b3d5f0adcc4acadd5b35d606b</t>
  </si>
  <si>
    <t>e9e7cd1001a7aa95e1217c56910cd12e</t>
  </si>
  <si>
    <t>268f396a6d2cbfa4fb0a0ea1b59fd9b8</t>
  </si>
  <si>
    <t>aa21fcd3a7c1cd6e4f89c2980cfd3dc1</t>
  </si>
  <si>
    <t>c43e7164fba0210cde3ebb71a1312076</t>
  </si>
  <si>
    <t>c2fbf5d709f3852847a698d28f48324d</t>
  </si>
  <si>
    <t>d847709e0c27be4e27786b40f4a5ea07</t>
  </si>
  <si>
    <t>015b015ecb27fc589c5b6fff0aed02b5</t>
  </si>
  <si>
    <t>725a6354164b472ca0edb57dfda3f0ff</t>
  </si>
  <si>
    <t>c3e65d41a7566135e384ab3d71664f20</t>
  </si>
  <si>
    <t>f4a6b52279e81647c88af0d62b12d671</t>
  </si>
  <si>
    <t>74a2a608c7d98d110c47262d6eefbf39</t>
  </si>
  <si>
    <t>4d4bcdbbad39f8249b34a910752522d7</t>
  </si>
  <si>
    <t>c4c9355c51d5837f0d17047cd1430cb7</t>
  </si>
  <si>
    <t>e0cd171af69ae36817cecd6616844892</t>
  </si>
  <si>
    <t>8654cddf014895f71e53f885d2072224</t>
  </si>
  <si>
    <t>6852219838ebccc5667182cac259c28c</t>
  </si>
  <si>
    <t>5f2936e8291dcfe83787d31d46b79221</t>
  </si>
  <si>
    <t>4089e27c790fd9f1c6b87edb8ff15deb</t>
  </si>
  <si>
    <t>b307d2efa77b42f6aee939af2b1f737d</t>
  </si>
  <si>
    <t>70172c17992e4fa07f70c041e227379a</t>
  </si>
  <si>
    <t>936148a5fa6b4a31fde10155af09d7d6</t>
  </si>
  <si>
    <t>a8a80a7e7632958da43518b404529830</t>
  </si>
  <si>
    <t>013d7867e003a362cbf024a0e5a635f0</t>
  </si>
  <si>
    <t>d01aafb68c4602845654a0964fcc662c</t>
  </si>
  <si>
    <t>8780fffa079175a6df44b4ea4dffd1cf</t>
  </si>
  <si>
    <t>223b2bd8a3a807e177195274b8c02e5d</t>
  </si>
  <si>
    <t>a0f5bd946a1e6a9c0cbf5f1a579f0639</t>
  </si>
  <si>
    <t>dbb27d3e779d8e6ab2d61f21d23cf80b</t>
  </si>
  <si>
    <t>2c67f8290630587c72f7fe12a99e3b6c</t>
  </si>
  <si>
    <t>8bf6a284968eb31ef55759285f842f78</t>
  </si>
  <si>
    <t>7e86caca8047b204d2a090d008b805b5</t>
  </si>
  <si>
    <t>aab0495a946a7f068c24c86d7240c749</t>
  </si>
  <si>
    <t>df1160bef2e109ec86c4fc02f02233d9</t>
  </si>
  <si>
    <t>8ad1604331a3cd60d8baed97dd9b2a66</t>
  </si>
  <si>
    <t>164320dcf4412b1081b88a880ba3bfe5</t>
  </si>
  <si>
    <t>e1c0d11c64797f01d28dc399993127ee</t>
  </si>
  <si>
    <t>75444dd621dece4c4a3c9621e6964801</t>
  </si>
  <si>
    <t>8c835129177eea0a0d08509eebcb5f68</t>
  </si>
  <si>
    <t>8a73d65aef9619b42d9ec394dcb9d124</t>
  </si>
  <si>
    <t>597e6cd5a0fbae625dfc1df6aa6bffb4</t>
  </si>
  <si>
    <t>56e094244f03dc0ee282e7b8b74f2305</t>
  </si>
  <si>
    <t>e3b6562802291e7be8b7a8e92ff0735d</t>
  </si>
  <si>
    <t>7f5655e62863270bed70b14ac7c96f25</t>
  </si>
  <si>
    <t>960167735b299fcb5f88468a604bad40</t>
  </si>
  <si>
    <t>311bfc7eac55766f2b95294c4ad4cb8c</t>
  </si>
  <si>
    <t>6b90b60c094893d3970f5207d185b0e1</t>
  </si>
  <si>
    <t>96b04847c06e5b73b7a9acfbd8368ba1</t>
  </si>
  <si>
    <t>f7781c8e0010213b2012f950e8bf4be6</t>
  </si>
  <si>
    <t>2ed52dc1a79c830ce1cce214a7fd4372</t>
  </si>
  <si>
    <t>462e622bbd08970d528e1170a1796b88</t>
  </si>
  <si>
    <t>3702825839214e16f31db34378a0635a</t>
  </si>
  <si>
    <t>fb40c87c930b89e747d78328252e7dec</t>
  </si>
  <si>
    <t>f49a5db3aee09a62e5cc5ccd7c0d2753</t>
  </si>
  <si>
    <t>3e0565e9b2b5b612a507df839ed12a9d</t>
  </si>
  <si>
    <t>61e3d9a61f2f3a34787b48d112b81696</t>
  </si>
  <si>
    <t>5a94ef86e29970adfcecacd630c69662</t>
  </si>
  <si>
    <t>85fd0c9e4b3c0ae7dc6970c0b4f6f0c4</t>
  </si>
  <si>
    <t>44e248d1384ea3d37d2b2a8de74a07fb</t>
  </si>
  <si>
    <t>a67441d1f794bf9961f216b5fbb26c37</t>
  </si>
  <si>
    <t>c19cb81a4ed659cede3c599b36c9f60d</t>
  </si>
  <si>
    <t>655616c222933801d7c45270b1d0c70f</t>
  </si>
  <si>
    <t>a8503f03bc7dfad86e5ecc589fdfd4dd</t>
  </si>
  <si>
    <t>24e623a59b59b478f701cffb599e7456</t>
  </si>
  <si>
    <t>2b45c2ee487ea3dfe9c04b0f2181a7d3</t>
  </si>
  <si>
    <t>4bea1197c6ef57d1d2d171e6bdc3e75f</t>
  </si>
  <si>
    <t>47b65be988e81cbf8e787354bfb3fa73</t>
  </si>
  <si>
    <t>c2bb3426f6bc4338df805dbf46e371c8</t>
  </si>
  <si>
    <t>5fb717d254c63f2884c6c3474a391da7</t>
  </si>
  <si>
    <t>a0697a53abca98d9aaa0133db8b4f567</t>
  </si>
  <si>
    <t>f5f72ba8cb9d027f7e7d8cc1edc04e59</t>
  </si>
  <si>
    <t>954b9339bc49bbe3a032b6b4dd397220</t>
  </si>
  <si>
    <t>e8e2aa826d83f4fa992976e740f9e7bd</t>
  </si>
  <si>
    <t>25b826ee28f8067366b1143b0f715061</t>
  </si>
  <si>
    <t>6fb02f66ee72151d534d6a727a0bb76a</t>
  </si>
  <si>
    <t>542662e245213aeb5832d60340f2f753</t>
  </si>
  <si>
    <t>3b852e8017cc63056665e0c8cf8fa098</t>
  </si>
  <si>
    <t>1e1640aa8f9454ac529e8fbeb27d4c6e</t>
  </si>
  <si>
    <t>73cbf2a777097d4821f4fd70d56268b0</t>
  </si>
  <si>
    <t>f260d835afaf33f33b59524f93b09d92</t>
  </si>
  <si>
    <t>d97384a80c106321917f139c9c933f68</t>
  </si>
  <si>
    <t>0fcbe228db1a3145738d1085dac2b2cd</t>
  </si>
  <si>
    <t>852624aca773edcb427a740870f8052c</t>
  </si>
  <si>
    <t>9e318da8f9d08ea994f948ebe38155a5</t>
  </si>
  <si>
    <t>a832ddc9274bea63ae5d26bbe2867b74</t>
  </si>
  <si>
    <t>df12a2d9e9e55eb7441cb41a9f702188</t>
  </si>
  <si>
    <t>d6e381472b4d218f6b9e65dc25c837c2</t>
  </si>
  <si>
    <t>991bb6d980469b5cb9c62e4bbc5e795a</t>
  </si>
  <si>
    <t>8d5c0c763ada58737fed2558e23bbfc8</t>
  </si>
  <si>
    <t>fd8ee982fcafe698865f4571707d7c83</t>
  </si>
  <si>
    <t>80918665af194492c71c9a7709e367ed</t>
  </si>
  <si>
    <t>ffea5cf907a7366103bda2dc91ae8cdb</t>
  </si>
  <si>
    <t>652e772b508c2d89899fbde336757288</t>
  </si>
  <si>
    <t>66a90d73c999fd70e7700372ea583b89</t>
  </si>
  <si>
    <t>278e95e2e4538740d0aff5263980cb35</t>
  </si>
  <si>
    <t>40f80a3e1ccc08fac312f35c9a06847d</t>
  </si>
  <si>
    <t>18482d9c438602a7794a268345372265</t>
  </si>
  <si>
    <t>93c652dabfa6419c994834b1e06cb30b</t>
  </si>
  <si>
    <t>1c6182f29b4da230c7acb94f0b87ca55</t>
  </si>
  <si>
    <t>f19edcca70ebf67c768793e58f4a7423</t>
  </si>
  <si>
    <t>1006e6dddb4c09f9838597d88ca318a9</t>
  </si>
  <si>
    <t>a218c649ede5ee92c286d2d4714fae45</t>
  </si>
  <si>
    <t>e44140c7f01444e832e4aa46bc8ad640</t>
  </si>
  <si>
    <t>c3c62a63eb3d231f465513b39fafa2cb</t>
  </si>
  <si>
    <t>d9a1ebd5e42a95022cb0c64c64adae4a</t>
  </si>
  <si>
    <t>85f33f3fd7f8842c5343f7e2922b42d0</t>
  </si>
  <si>
    <t>75d854de9b329959356c976279d2055e</t>
  </si>
  <si>
    <t>eefff03403278b1014445ee40222a73e</t>
  </si>
  <si>
    <t>e249ab2f26542b19e9af28f772f920a1</t>
  </si>
  <si>
    <t>28a39513e021e18c25b25cf5614ef3ad</t>
  </si>
  <si>
    <t>22982dc546ab72890937d2409a4adccf</t>
  </si>
  <si>
    <t>c1166e9f4b0b83364ec78f647d2acdff</t>
  </si>
  <si>
    <t>1753bb130ec32ca0826ea0505c9ab053</t>
  </si>
  <si>
    <t>2d7f995dfbb2b4e759a896102a7430ea</t>
  </si>
  <si>
    <t>72e5bf05ce753dba7cf71cb3522cdecc</t>
  </si>
  <si>
    <t>758225755a9472a93c97b8ae564b12ac</t>
  </si>
  <si>
    <t>fe7ffbfc78249888717d4b8fb5cb37d5</t>
  </si>
  <si>
    <t>b26ac7e17192776b6fff41439426af2d</t>
  </si>
  <si>
    <t>46ad30e3147b4e27ad0094689b28fb41</t>
  </si>
  <si>
    <t>e235990421eb37f44b0cf277fc5c5207</t>
  </si>
  <si>
    <t>6cd88598ea922b15b255f6afe6e2ff6a</t>
  </si>
  <si>
    <t>6de01aca27235b275bce95391f91938c</t>
  </si>
  <si>
    <t>da30fa22f3c3a85f6cbd6ccd423145c5</t>
  </si>
  <si>
    <t>07971089af69d7b68ae48c66e71d104c</t>
  </si>
  <si>
    <t>e174b63b474514e457331fa319631df3</t>
  </si>
  <si>
    <t>290a3f9a1b71f0fe729b427a8a4a24c9</t>
  </si>
  <si>
    <t>5d117d903861c49a03b7860e091c553f</t>
  </si>
  <si>
    <t>6158d6d426c5ec5b500d00c1edfb4658</t>
  </si>
  <si>
    <t>33fe9cd1a8e339252d8670222010801a</t>
  </si>
  <si>
    <t>17b18380fb58f3656ab49f1ae27e9178</t>
  </si>
  <si>
    <t>646666113a5c0c1edbe29eac6d16e5ce</t>
  </si>
  <si>
    <t>499ded66075330ed37f1b153487f1c45</t>
  </si>
  <si>
    <t>a9ffa77fbff34b625fa42ea5b4dcfc40</t>
  </si>
  <si>
    <t>2b0b710facfeb43b15a5a6f406fd0825</t>
  </si>
  <si>
    <t>c0a40c0f14a56d5439192681057994e0</t>
  </si>
  <si>
    <t>fada9729695a5c1681aa6e97a4a8f5f5</t>
  </si>
  <si>
    <t>343bbcc7e5ec76705f1bc61f300a7500</t>
  </si>
  <si>
    <t>134de3ae23d45cd045ab0ed6f9fce379</t>
  </si>
  <si>
    <t>4700830bb27895dd35cf8950a1e0297f</t>
  </si>
  <si>
    <t>786ab733c755cbca1e536a32ee6c4666</t>
  </si>
  <si>
    <t>c012d199462ba015a128947fcf6a8e88</t>
  </si>
  <si>
    <t>2615cf2b318af7fcc5c49f4e76789197</t>
  </si>
  <si>
    <t>2a452e94111c1ff2b128d87790066a81</t>
  </si>
  <si>
    <t>3213c4b7c367f771f6c95dc55f852d00</t>
  </si>
  <si>
    <t>ade02c3eeb40afe722cb01c13ba839fc</t>
  </si>
  <si>
    <t>e6766599808121b6925ffc70d8a86965</t>
  </si>
  <si>
    <t>d34441357c48277c50deea80feb6606a</t>
  </si>
  <si>
    <t>83173777f3c0ea5db61f74a398187409</t>
  </si>
  <si>
    <t>d56af35152cea7644ea319881ba14516</t>
  </si>
  <si>
    <t>3815b7c78552ffbf84e0b76f52221408</t>
  </si>
  <si>
    <t>3007504ce8541e4084de207301e2d5c4</t>
  </si>
  <si>
    <t>a4748f22a5d5e6e5e06c1fd8ad802b33</t>
  </si>
  <si>
    <t>b6c050988fc1710ec09d08928c601460</t>
  </si>
  <si>
    <t>53f692d8552677acb87b35c0bf0204b7</t>
  </si>
  <si>
    <t>9a9e2d6b5439148780e142cb2449807e</t>
  </si>
  <si>
    <t>1f23ba2ca66cf825925dec5274b786fb</t>
  </si>
  <si>
    <t>cc4c63fc9849336b4d9810cc8d399810</t>
  </si>
  <si>
    <t>dd0b5292a97154e6df2d0179d057a271</t>
  </si>
  <si>
    <t>c54a58360f8d28b00bf0c081bdaf6f63</t>
  </si>
  <si>
    <t>dd4ea54ee946b3590eeb2b30bec7262c</t>
  </si>
  <si>
    <t>3ca485da0037bf675a932b68330dbe62</t>
  </si>
  <si>
    <t>dbfb335665eaa3a01587e9518d305d9b</t>
  </si>
  <si>
    <t>b89a51371cc8574fa1304cf2fae42b0b</t>
  </si>
  <si>
    <t>5da128fd9b108d7bd5b6203d26198b0f</t>
  </si>
  <si>
    <t>657aaec6b2f86f7bb535973abb624759</t>
  </si>
  <si>
    <t>6865907e00911e8ca1cc5e5e99f0e134</t>
  </si>
  <si>
    <t>decc3ecdb1ff84c1f7112617295a4b14</t>
  </si>
  <si>
    <t>c1f32a8563aa72b0fda571125d41879b</t>
  </si>
  <si>
    <t>b89a9c9a023acf799b6bef719fdac402</t>
  </si>
  <si>
    <t>0f0adac4b476fec14c9b58415de57559</t>
  </si>
  <si>
    <t>2daab9a5ca484bc6456b4967a819c503</t>
  </si>
  <si>
    <t>6314cb918af9bb73becbd1985a8bd4d3</t>
  </si>
  <si>
    <t>5974131d47c19bfb2f85b4d8d3ba102c</t>
  </si>
  <si>
    <t>5db3b185f49746299365c2372976d09a</t>
  </si>
  <si>
    <t>ec67562da25736ee10deb5b8cd2f4da5</t>
  </si>
  <si>
    <t>2030a3d57853af752264408a751b53d8</t>
  </si>
  <si>
    <t>5ddca78b5145a30f1d3e67313eb3a0ba</t>
  </si>
  <si>
    <t>1807dce19d44319b984fe628c9c11df0</t>
  </si>
  <si>
    <t>ba13bd387e1ee44a914216650555ec37</t>
  </si>
  <si>
    <t>ddd401b2d35c1cc51932b46cfd1a4ff8</t>
  </si>
  <si>
    <t>c67704d2d380266b4a72df5a09d6cd11</t>
  </si>
  <si>
    <t>9735c41a36b967a487e8a84a3407facb</t>
  </si>
  <si>
    <t>c045eab495b27ae21b5361a471484831</t>
  </si>
  <si>
    <t>96049bbeaa36ff193115647c5313de5c</t>
  </si>
  <si>
    <t>a4422b7281cb35c24d4e3405f749bf20</t>
  </si>
  <si>
    <t>ea325aaefe069467c68cb5498f4114f3</t>
  </si>
  <si>
    <t>02984f94b9e10e7b58131456b74853ce</t>
  </si>
  <si>
    <t>538c0a2a2618abc23f7d51ef9ede8463</t>
  </si>
  <si>
    <t>cae7a51421678c146b9eed7ca3ff3f81</t>
  </si>
  <si>
    <t>8981976d25122df44024c3e17f161b11</t>
  </si>
  <si>
    <t>00a137a81414e5b824ad25dfe889db22</t>
  </si>
  <si>
    <t>345d06c7e5113d438004a860d1a745e8</t>
  </si>
  <si>
    <t>0fe1a22e3e5b845929e39affdef54e5d</t>
  </si>
  <si>
    <t>2b1dff6aeae4a914b6c0c895752b6ea7</t>
  </si>
  <si>
    <t>0d189b6c3ba725100550477593f9cd72</t>
  </si>
  <si>
    <t>68ab5b68809e030ba8041626cb18dc69</t>
  </si>
  <si>
    <t>83d4ffb23f13b0c9670b0f417ff648a4</t>
  </si>
  <si>
    <t>28c49f6969a7cabfd3f5883c8c9d04ca</t>
  </si>
  <si>
    <t>334ebd7fde3986ee984a7d2b5977b56d</t>
  </si>
  <si>
    <t>b778b1f338a8a83f2bd297eefec80d05</t>
  </si>
  <si>
    <t>07a60f91985d3e8faf540e37e921b5cf</t>
  </si>
  <si>
    <t>1988f3827eae3f3419c024d04cafcbcd</t>
  </si>
  <si>
    <t>71320b51a0cc6ced1e41e9cb27d1faa6</t>
  </si>
  <si>
    <t>a5ed2f1299bb5f3b94649b13f6c27e6f</t>
  </si>
  <si>
    <t>b4fa34cd168daecf48400800177123aa</t>
  </si>
  <si>
    <t>d0f37c6364188b36cb6cb0f1ddfe46ac</t>
  </si>
  <si>
    <t>5e229982ad21af4fb2c6e6b10361292e</t>
  </si>
  <si>
    <t>4f379eed82b54bf5d92e485db1d52ef7</t>
  </si>
  <si>
    <t>36b7e977c0543699bcd39dc085968213</t>
  </si>
  <si>
    <t>9cf360d28dfe0b4469aa5d99cd88d15d</t>
  </si>
  <si>
    <t>e3463f32e479da36f591d09b90de492a</t>
  </si>
  <si>
    <t>aa0c7f7d37d98d837f0ac3734128cc95</t>
  </si>
  <si>
    <t>e4ffec16978ae31b3ace5bd82de27345</t>
  </si>
  <si>
    <t>8a5c36ca91b3f1d9b331a4ac31b99abb</t>
  </si>
  <si>
    <t>ed7c1b2dc6c86e714bdec2d24d574d87</t>
  </si>
  <si>
    <t>4fed988222d01ba05cd099aef65da6dd</t>
  </si>
  <si>
    <t>80fa193b83e286a0148859be580575bd</t>
  </si>
  <si>
    <t>16684a9e1db30c39da6670ac96db18bc</t>
  </si>
  <si>
    <t>388f9c567bb0d5efda181feb79a46fd5</t>
  </si>
  <si>
    <t>009af18f500e9587c8714b70de450f37</t>
  </si>
  <si>
    <t>11bf4ef5bbb46095ac766f9b755b30b3</t>
  </si>
  <si>
    <t>4e42354ed50a03dc3f3c3d0c9fed9946</t>
  </si>
  <si>
    <t>84283224cf7ef5a0aba0e47cf977d61e</t>
  </si>
  <si>
    <t>8bfe39d11fa8672772870723dbc2c8b1</t>
  </si>
  <si>
    <t>da99abd18c646694018ba0332ec1a9c2</t>
  </si>
  <si>
    <t>6b12b0c27bea0bc77a8565b249e0e5c8</t>
  </si>
  <si>
    <t>e6594bf1d87b276cf88cebc689a5fabd</t>
  </si>
  <si>
    <t>984e94d204c1e47aceb02b09f05da68b</t>
  </si>
  <si>
    <t>1690cfee1c77e5ccb410b0188c08a331</t>
  </si>
  <si>
    <t>0ce8b08864ade131dce52f50f8728fb9</t>
  </si>
  <si>
    <t>2d7a4b92833f9873795d63373f9ed3e9</t>
  </si>
  <si>
    <t>d9970a471d96313da6eef63536f97be1</t>
  </si>
  <si>
    <t>b35bfd1c2151e64314253c05090d4771</t>
  </si>
  <si>
    <t>c44eda69d77aad6d37712b52cf044d16</t>
  </si>
  <si>
    <t>f51e1e895f8dfc23eadb7bf72ace0d9c</t>
  </si>
  <si>
    <t>cb23f1720e56e78e11d9f521f9f8f0a8</t>
  </si>
  <si>
    <t>da763cbe739f0fb3246ed5e2c9be8f01</t>
  </si>
  <si>
    <t>7a52975722c90ece89443b1507dce936</t>
  </si>
  <si>
    <t>a8cfa973e46dc7d780334bb0511c1c94</t>
  </si>
  <si>
    <t>eada8c987b099c486b82be428ac2d61c</t>
  </si>
  <si>
    <t>a2ce8a89c6d683d1794a73a3d98c44de</t>
  </si>
  <si>
    <t>da5f48fc162820bfc3be93a2fbd354bd</t>
  </si>
  <si>
    <t>e39dbddffe16e2a603686fb8db5a45fb</t>
  </si>
  <si>
    <t>c9a2b75ab74b9fcb2165a83b35c783b5</t>
  </si>
  <si>
    <t>c55b332574e8c9d7deaff227aebe5f91</t>
  </si>
  <si>
    <t>2b1ef69d69cbb27225cd7b2bb2d05db0</t>
  </si>
  <si>
    <t>6a3fd22c67f53376c7adcf2382183235</t>
  </si>
  <si>
    <t>da7d36f9966f635a5d1b216a3da71c2a</t>
  </si>
  <si>
    <t>931112b82903d93ff12fbc03d498db87</t>
  </si>
  <si>
    <t>446cb057ea21d8ae6da285e14e46b696</t>
  </si>
  <si>
    <t>89dc49e390c9e22927a48b3102d0e606</t>
  </si>
  <si>
    <t>d9ca80cac0bc47fee65bbc65ea44e927</t>
  </si>
  <si>
    <t>a853dd4e186b8e6f0c7e7c9d0dee7b27</t>
  </si>
  <si>
    <t>2ab7785b5564c5b34f41615a2945c688</t>
  </si>
  <si>
    <t>266d317d60b778649a32dc04e818a6a1</t>
  </si>
  <si>
    <t>b251a9ad33b3f0194fc65fce0cf5f4f1</t>
  </si>
  <si>
    <t>10f3f2eb0be62ad1b30bc8715ce4eed5</t>
  </si>
  <si>
    <t>9defc15c51a16cc100ac6cb7c384d32d</t>
  </si>
  <si>
    <t>76f2ee62bb924c893170b65d82a4719c</t>
  </si>
  <si>
    <t>3dbb50735e1c23ae24d1baff0e6190b6</t>
  </si>
  <si>
    <t>38f93b7488dfb9bf4fce553f14603de5</t>
  </si>
  <si>
    <t>a11bce25d1c474f8b9743a89375da627</t>
  </si>
  <si>
    <t>dc1efa375722e7cbb80a9e2fbefc7e4b</t>
  </si>
  <si>
    <t>4935d63cfbc2972daeb24253b39beeaf</t>
  </si>
  <si>
    <t>b876eb74962c7aa806ca88dee555e8db</t>
  </si>
  <si>
    <t>87befeac8558214ace8afd70270c27d9</t>
  </si>
  <si>
    <t>eab970558364323c751159909fd1c097</t>
  </si>
  <si>
    <t>b2a433aa2a0ad8e5c4dca7994918f975</t>
  </si>
  <si>
    <t>0d476ac487048a48b368cca8132e70fb</t>
  </si>
  <si>
    <t>8d73d6aaec825b068453c2bcdc11739f</t>
  </si>
  <si>
    <t>8e56ef4200ed77b4f6248e209e825914</t>
  </si>
  <si>
    <t>b3e93356b2e5c3bb5b2dc65c34438804</t>
  </si>
  <si>
    <t>9b2ba5b0be53d8c9a6b4871b87cb5fd3</t>
  </si>
  <si>
    <t>e80fb3dafa793fcd67e6bd0b96e60ab4</t>
  </si>
  <si>
    <t>186730e955833ed63280af2ff47063e5</t>
  </si>
  <si>
    <t>bb8e584cd6676267e188d0716f4e4792</t>
  </si>
  <si>
    <t>1a1b658063cb4e1f845a7038b440527b</t>
  </si>
  <si>
    <t>d38a14bf2a592332f79ad9732ddbdb01</t>
  </si>
  <si>
    <t>2ad90a599c611802a2b1ab66206a8fa0</t>
  </si>
  <si>
    <t>5286e360ffb8bd2ace8e339d5ab72f7f</t>
  </si>
  <si>
    <t>c8a41ea66bc95ae5de1e6995e953c4d3</t>
  </si>
  <si>
    <t>392879e51dc90e6db65b52d752dd2e0f</t>
  </si>
  <si>
    <t>a9e794d9fd4eafa012c3ad8261cfb091</t>
  </si>
  <si>
    <t>1560a085e8273db2e099257f79063f96</t>
  </si>
  <si>
    <t>f060a03358ad1e6b4ad127974b6ec043</t>
  </si>
  <si>
    <t>b3f8cce7177a96a478c338bc95ae19e8</t>
  </si>
  <si>
    <t>7f38c923a47a2031eb2612502386cc79</t>
  </si>
  <si>
    <t>16cbf1d0daead8b1197285c5e9696f76</t>
  </si>
  <si>
    <t>c076157157c168d42cb708d606460aaa</t>
  </si>
  <si>
    <t>3052c79d9dd0eb12b1641227442de57b</t>
  </si>
  <si>
    <t>6889307c11f1ff94c6171e626bca0c02</t>
  </si>
  <si>
    <t>c839d44a65a0882cfaf8a4a9232788c3</t>
  </si>
  <si>
    <t>50ce741698e73f671f8658d89299c143</t>
  </si>
  <si>
    <t>4b05cd99c7d39410c2dbb94d72adbca3</t>
  </si>
  <si>
    <t>f8a0adee3cf3d0bb6fc09e3f417d0f1e</t>
  </si>
  <si>
    <t>1a3b2a8db709ab7df6271b94ce5ca633</t>
  </si>
  <si>
    <t>b226aeed596b4bf2c5e9b39e34284013</t>
  </si>
  <si>
    <t>49beedf9f5239bc128bc3d6deaca3a32</t>
  </si>
  <si>
    <t>d92b478008d0cdffad26749340597051</t>
  </si>
  <si>
    <t>883c5aed745fac7e5d016f715e7a831f</t>
  </si>
  <si>
    <t>4effc2bc7271a9d387a3677804f2fccc</t>
  </si>
  <si>
    <t>a61f7beb83722b758c1d5c6bf39ba122</t>
  </si>
  <si>
    <t>9b127f0c5fa586a91301094a057585ea</t>
  </si>
  <si>
    <t>d46e81193b4cdae7ceca0e81fe8efaa5</t>
  </si>
  <si>
    <t>419f21f1ebbec252b2187dd21e3fb95b</t>
  </si>
  <si>
    <t>f02adebbd3d7c37bbae9d536712648df</t>
  </si>
  <si>
    <t>334e09302e6d4c1251e2ca182d6074af</t>
  </si>
  <si>
    <t>41361fb5dd745e7c4daa54780b8acfdf</t>
  </si>
  <si>
    <t>b095ce23fdf041dc7345f4898b0c3163</t>
  </si>
  <si>
    <t>100826c9b53bf5058ab1901f24e8fa7d</t>
  </si>
  <si>
    <t>1951e5b9b80fc2bf03894a6d5f8da80f</t>
  </si>
  <si>
    <t>77bf26d753bb1a75d7c135ccff3388dc</t>
  </si>
  <si>
    <t>a127924fca3320c66e4020345ac5f893</t>
  </si>
  <si>
    <t>12bc7dfc8b1393c021eba53764a26e77</t>
  </si>
  <si>
    <t>df6416169216cf679bafdf863097e603</t>
  </si>
  <si>
    <t>40c01f5ea43be7112d75f5ef249c834a</t>
  </si>
  <si>
    <t>87ca3a81a655bd6f3685d2032ccd3727</t>
  </si>
  <si>
    <t>603fec503342eb4b964f31dbf5a30cb1</t>
  </si>
  <si>
    <t>6f1d21d5d50ed5afe310062334fa16a2</t>
  </si>
  <si>
    <t>85950cf114cb3c6206d779f7499e5cf9</t>
  </si>
  <si>
    <t>fe68ea314ebd746fe84ba792085a6a9a</t>
  </si>
  <si>
    <t>02537c048bf8872210e6656ce3efe587</t>
  </si>
  <si>
    <t>3da66bed5077363fd1e53aeea54f01f6</t>
  </si>
  <si>
    <t>2a5b861cbc55539a6ae5430ea83c1aac</t>
  </si>
  <si>
    <t>ab56a9310ac295479c831685a1e27d0f</t>
  </si>
  <si>
    <t>a75efb9330a0357afd741d19b2ecb78f</t>
  </si>
  <si>
    <t>5fb8b46d3aa5e78ddc2a7d7ac05d75e1</t>
  </si>
  <si>
    <t>3dc619f850750d5cb194bd2e8db2fc31</t>
  </si>
  <si>
    <t>b2c6ba6be88f8fba0549af19b39497f6</t>
  </si>
  <si>
    <t>a136449c3a71e2b22f585636bf8c7002</t>
  </si>
  <si>
    <t>4855c0ca2397a68657b360775e5a6bfe</t>
  </si>
  <si>
    <t>12b22a67586436cd1bc47643eb5633eb</t>
  </si>
  <si>
    <t>32b829c5eadcb5d452f3e2d2d6cfe43d</t>
  </si>
  <si>
    <t>93f8085e97a3abe50a516cfba3bbe2f3</t>
  </si>
  <si>
    <t>35faaa17426611295e58c9bd3045e762</t>
  </si>
  <si>
    <t>0cfad987b83c5ef81cfc137ba8d42441</t>
  </si>
  <si>
    <t>1a5af651c5a952fb51f95b5dbdb451eb</t>
  </si>
  <si>
    <t>9745aee6b3046806a7d0b30c9e3b894d</t>
  </si>
  <si>
    <t>10455aae53f9b1f25bd6aa9bb7f21987</t>
  </si>
  <si>
    <t>19fdbc7624edd2e5b67f65ea1a957ede</t>
  </si>
  <si>
    <t>b76f882359b5822768d9289c5326a92f</t>
  </si>
  <si>
    <t>0347ee03750ffb9cfc4a443e9c164888</t>
  </si>
  <si>
    <t>53484d39e18e91e6ff80326c9d29f2cf</t>
  </si>
  <si>
    <t>7ac456e8288c02441d86d926a82dd7e3</t>
  </si>
  <si>
    <t>2de1a1c28c5684fc7ecb6d2e8b68b190</t>
  </si>
  <si>
    <t>1e4b3c281e0307d75b2e542c10185703</t>
  </si>
  <si>
    <t>759e760e4978c78d29e42a5b2a3180e3</t>
  </si>
  <si>
    <t>9755f673ac9d4f0b26f9155a788396bb</t>
  </si>
  <si>
    <t>b8222371dd45f79e01683a3fd3188797</t>
  </si>
  <si>
    <t>f843e9e467acc5a9966a32c635f698b6</t>
  </si>
  <si>
    <t>d4cd6c5c16904a77f2877b42c747ec27</t>
  </si>
  <si>
    <t>afd2a0c5f75bf18c262f84da03f3dc20</t>
  </si>
  <si>
    <t>acc1e34d796f792f0b3bb126239dadb0</t>
  </si>
  <si>
    <t>ab1db2e4c4fbc705a21b464f13a44d40</t>
  </si>
  <si>
    <t>8db5edc063f35c232300ca074c40dc60</t>
  </si>
  <si>
    <t>dbed027ad538dbd0d4544a26ee382123</t>
  </si>
  <si>
    <t>380e07d56c8462812a4e6a639e16f27c</t>
  </si>
  <si>
    <t>f03761b9e7bd6e243fd713fd2197422d</t>
  </si>
  <si>
    <t>aa338bf7a13855b0e4310789ab12cd8c</t>
  </si>
  <si>
    <t>fbd2840c11507aa4d6d99a12f40403ff</t>
  </si>
  <si>
    <t>9ec106bf363c01a2629160471bb3613e</t>
  </si>
  <si>
    <t>85c5dd0cec03c211a7edf08396bc01a4</t>
  </si>
  <si>
    <t>d490d8d4105d385c613329ffa2d53810</t>
  </si>
  <si>
    <t>4a62be969f1c178cdb55d2bb927d8cda</t>
  </si>
  <si>
    <t>750d9353995bb4fe82c3e1a2f3dd422a</t>
  </si>
  <si>
    <t>f9b8068967f601b1e30336beed8b474b</t>
  </si>
  <si>
    <t>be248b339808f163a00c06820ef715d3</t>
  </si>
  <si>
    <t>5f3634235b75e305fb85bbbc53203e9b</t>
  </si>
  <si>
    <t>6cdf92e5649313baf173c911a9bf0931</t>
  </si>
  <si>
    <t>c5e2da77432ebed9ea111a3037d196b4</t>
  </si>
  <si>
    <t>e4470d1f981333925c403d9580276f27</t>
  </si>
  <si>
    <t>710b15e78f7c707a476661fb55b84d1a</t>
  </si>
  <si>
    <t>84ce66bc7085c9e91f3b06824618028a</t>
  </si>
  <si>
    <t>dbdcd2b800509f5043f9d59ecccc254b</t>
  </si>
  <si>
    <t>751d15dc2d3771bca3b29ca4f4752617</t>
  </si>
  <si>
    <t>c2477465dc597126a3208277aae93863</t>
  </si>
  <si>
    <t>543c8bbc412f62b6fb8e49bcf20103be</t>
  </si>
  <si>
    <t>2cdb4e3503bda7b6a1d72c1a31d76d9e</t>
  </si>
  <si>
    <t>62ed238cfffbad8487cf51c09b835bbc</t>
  </si>
  <si>
    <t>9785a7e59027ff8d4db9e39471b5a042</t>
  </si>
  <si>
    <t>48847edbf0a800371ae08f991d096438</t>
  </si>
  <si>
    <t>9ef0faaf162c581b9bf32632ce1eff9a</t>
  </si>
  <si>
    <t>5b181f88c76169dde12da11b2133dfaf</t>
  </si>
  <si>
    <t>e85443b75df864b198504a51b15864a5</t>
  </si>
  <si>
    <t>0f06f37bab55315876792794a232e446</t>
  </si>
  <si>
    <t>30561d0ec2e681465ba3f0c9fbff3fa1</t>
  </si>
  <si>
    <t>8d6f999334092a0ff456c37d8d2e7055</t>
  </si>
  <si>
    <t>68529f2fc3dce9e793719c6dff8d7e25</t>
  </si>
  <si>
    <t>8e22aaf8b77882b3023ddabe49a1e87c</t>
  </si>
  <si>
    <t>a7c104af2d01ac0a8f79023d11c84bfe</t>
  </si>
  <si>
    <t>76fa96b695a6abd1db7e75cf968ae29f</t>
  </si>
  <si>
    <t>1d8e44f549ffe1166f32c18ba74e0878</t>
  </si>
  <si>
    <t>195945cf1fc30d9c68c0bd7847cf4288</t>
  </si>
  <si>
    <t>fe79db1faa8f5ed156f2af467dae2f37</t>
  </si>
  <si>
    <t>a83d1fc10f670f5dac62744515663194</t>
  </si>
  <si>
    <t>e0399a46a2ac1b2e3b7d390b400c14a0</t>
  </si>
  <si>
    <t>0fd65cebe1d3447dbe2ff69736d312e5</t>
  </si>
  <si>
    <t>4a7cde7d85306d1bf2f04bdb5549bde0</t>
  </si>
  <si>
    <t>573dac357618d44b508971354ce84abf</t>
  </si>
  <si>
    <t>fc36dc04c53385eea2e37dd6175f05d3</t>
  </si>
  <si>
    <t>cbea1762f8bcca01609582be90ca2bad</t>
  </si>
  <si>
    <t>3b64f6cacd6afda73de43ab4f6a49145</t>
  </si>
  <si>
    <t>1a84aafd56a0d950579d9418d4c96d3d</t>
  </si>
  <si>
    <t>75fb8acea3ea22024ba484ad3738a186</t>
  </si>
  <si>
    <t>abf49d431ee4e96109d86b072038ee57</t>
  </si>
  <si>
    <t>87d06c6b96e76f0fbd203b3e1ceb4c9d</t>
  </si>
  <si>
    <t>bb16a368efb95e4ea1843f77322e09a8</t>
  </si>
  <si>
    <t>c734ed1ad0efb04de8250553fcbbdb6b</t>
  </si>
  <si>
    <t>b3265c356eaeae0d77fcb7740ac3800f</t>
  </si>
  <si>
    <t>ca9d8368de8c7ab44abc1264ed294a1c</t>
  </si>
  <si>
    <t>b3e0db364cc64adade1ece43bdd52ddb</t>
  </si>
  <si>
    <t>5be2040b990665ab1a670ee93545d0d1</t>
  </si>
  <si>
    <t>31248f3c5cab519d0aa71775443d156a</t>
  </si>
  <si>
    <t>b976f54699df0a8d9d9180f55f41e767</t>
  </si>
  <si>
    <t>35d7693db320bce948c615396177be8b</t>
  </si>
  <si>
    <t>833869a78bb5ac614cadfb168c94fe83</t>
  </si>
  <si>
    <t>5846d81eb592506cfab38979d6813614</t>
  </si>
  <si>
    <t>4605860e3d27942a53f48dc11b78b8be</t>
  </si>
  <si>
    <t>9c79be83561864775d12da9e28bcd301</t>
  </si>
  <si>
    <t>3057a6be8216fefcd98506c84ae482be</t>
  </si>
  <si>
    <t>6d068591ab89f5fddeb12d4442729f96</t>
  </si>
  <si>
    <t>a2fe77639617f6d775e69785c277cfee</t>
  </si>
  <si>
    <t>aba058e0b22e7879d9ff7788e57f42b7</t>
  </si>
  <si>
    <t>04fe5c53e32122ce868deaba4e36937c</t>
  </si>
  <si>
    <t>282b8850c418597d239ac34a5a937330</t>
  </si>
  <si>
    <t>d26076be1baabdcb924ffe478185d336</t>
  </si>
  <si>
    <t>23864f60bddf8beaa9cdea0cf4bf793a</t>
  </si>
  <si>
    <t>16690d113e04fcaea2598d158854e260</t>
  </si>
  <si>
    <t>b311dc008643deb6164c878b08cca4e4</t>
  </si>
  <si>
    <t>d17cb0ac63c189efcf55eab51c8b188b</t>
  </si>
  <si>
    <t>d0d11ace775a740113bb49a552463261</t>
  </si>
  <si>
    <t>0bdfafc3372f8e72961052cc9d09a150</t>
  </si>
  <si>
    <t>1507e5f95d26d0684dbb2be44ef3b6ad</t>
  </si>
  <si>
    <t>9bfdb5743a1072a15005b1ba80726a69</t>
  </si>
  <si>
    <t>419e3c6ef88b06ec90391e9a4283f142</t>
  </si>
  <si>
    <t>9caa149a98dba3917ee9af95fcd005e8</t>
  </si>
  <si>
    <t>bb2e066c6d7f3d791eb151c491de002e</t>
  </si>
  <si>
    <t>285c8f759ca7930a899a73723d01f758</t>
  </si>
  <si>
    <t>064e1212c3126e1eb51f0dfc24fdf1f8</t>
  </si>
  <si>
    <t>cc0f827ab428656632bd5fec4ba4f36c</t>
  </si>
  <si>
    <t>8625de8dfb44115f26e8b69e739d434a</t>
  </si>
  <si>
    <t>8eec8fd0774c20fdb9dcfcd9fb769aeb</t>
  </si>
  <si>
    <t>e541e61b4526afd49d2b7868219e6e84</t>
  </si>
  <si>
    <t>c4f29ef56d9e00ba134d9577f97ed81c</t>
  </si>
  <si>
    <t>96c6fca5e3b90e89cc786e442751b5d6</t>
  </si>
  <si>
    <t>9c71583155352a3bac3d6618f9135f1d</t>
  </si>
  <si>
    <t>afacf41dee056271cb983cf10facd411</t>
  </si>
  <si>
    <t>b8b591fbc9903d60ff3e1d2692d99f1c</t>
  </si>
  <si>
    <t>24eea35616f3fa2c07015175dd7c40b7</t>
  </si>
  <si>
    <t>46a965807aa1156ce35b683beb08a3d7</t>
  </si>
  <si>
    <t>0ebbee97bae0542a487e46f19e22c19e</t>
  </si>
  <si>
    <t>014575e4bba53c1ec12e197ae1394df7</t>
  </si>
  <si>
    <t>8dcede25efa1da71c515b27d85141c2b</t>
  </si>
  <si>
    <t>0a39a26e8ab239268fc17ddeef9f0e6a</t>
  </si>
  <si>
    <t>1747d6eba7ab539fbfe3749c63a05e6b</t>
  </si>
  <si>
    <t>0d62488aeab9710e96cabb4943c02f78</t>
  </si>
  <si>
    <t>44b40c3e5caef3289fd48dd403954860</t>
  </si>
  <si>
    <t>ea13d8bdbcafdd72bee481c0bbb060c9</t>
  </si>
  <si>
    <t>8c67001d9ff72cc18f93a8d86d5bcdff</t>
  </si>
  <si>
    <t>db783c583cb09280988a985944ec02c5</t>
  </si>
  <si>
    <t>9eedf3d289a9519f2926c4a1bce2ddfb</t>
  </si>
  <si>
    <t>6a848fe6163c85c2d6250c264370fc32</t>
  </si>
  <si>
    <t>ae77df01429b2c1af8d14e16016a467d</t>
  </si>
  <si>
    <t>35415a85d5655052d00e7de35ce59352</t>
  </si>
  <si>
    <t>fa71960844cb7472b817e99f5b41366c</t>
  </si>
  <si>
    <t>e5e45c36e8bbc5eee5f682730dc3365a</t>
  </si>
  <si>
    <t>caed03b3c6df180f43550fbd5c1d8b70</t>
  </si>
  <si>
    <t>aec743a6794da84593510d46a1cc2f02</t>
  </si>
  <si>
    <t>a0c6f1aeb000d8e9be7b3a2fe760591a</t>
  </si>
  <si>
    <t>991cd64ae09407390a37969815d56b86</t>
  </si>
  <si>
    <t>b483bbfe71a252d32105b075744a916e</t>
  </si>
  <si>
    <t>2a451b3918315c10e08ed06f3d78248d</t>
  </si>
  <si>
    <t>85933c272adacf9cf87c6553fc4cf922</t>
  </si>
  <si>
    <t>b595b5684736f35bca0ee25f407c7e65</t>
  </si>
  <si>
    <t>2c9beb0e2098ecbf892e9f4ecf860c36</t>
  </si>
  <si>
    <t>b9f6f01a21c78b41a0c9e7d0d7d11dbc</t>
  </si>
  <si>
    <t>d23073e5bdaf03d345314e12a12e0ecd</t>
  </si>
  <si>
    <t>8104a891ede4021cf014dcf788eede9e</t>
  </si>
  <si>
    <t>fc7d3644c52173f45e35b2c8365165bd</t>
  </si>
  <si>
    <t>e638c7511483a57d2cc6e1bdfecc1994</t>
  </si>
  <si>
    <t>eb236732dbae8a6c19353d1d52414c09</t>
  </si>
  <si>
    <t>01d98fa3a70ca2e874e64b1b32362382</t>
  </si>
  <si>
    <t>920589aae1b7b837dc718d1ae335c2c4</t>
  </si>
  <si>
    <t>d30987933ac3f8d2b49394dcd1328705</t>
  </si>
  <si>
    <t>7f81be05a33d7a90d678a2da1d3303be</t>
  </si>
  <si>
    <t>fac68bf5fa2f7b99ff8b97d8b45f45f5</t>
  </si>
  <si>
    <t>4261b785f13a2edf1f441eb77ec1d4b9</t>
  </si>
  <si>
    <t>d1097197ba1b0b15e8398b7eb00d04cd</t>
  </si>
  <si>
    <t>2b4410be2b2ce3573b9f8affb772a933</t>
  </si>
  <si>
    <t>b6dd7bed37cc8572ef629979658776a2</t>
  </si>
  <si>
    <t>55898e805bb7ba9e450037782f0c8b34</t>
  </si>
  <si>
    <t>3e2fb5808799228c7bd62c6f1ea05edd</t>
  </si>
  <si>
    <t>83553ac785aa53f026c92f9fa10dac6c</t>
  </si>
  <si>
    <t>fe49efd30a514bd8cd230e6e566ff280</t>
  </si>
  <si>
    <t>6c4b1c9dc8fb9306c9fcb720d7d270e3</t>
  </si>
  <si>
    <t>24f8b5ca8045971490baacd6cf12f132</t>
  </si>
  <si>
    <t>a814420ed6c409a45f2ec3af6f1d4ee0</t>
  </si>
  <si>
    <t>e57300041462367e0246433398a9401b</t>
  </si>
  <si>
    <t>e7666e8751f0a4baefb463970e1ca4e3</t>
  </si>
  <si>
    <t>322e7f9316e015c7792dee77bd70c065</t>
  </si>
  <si>
    <t>9ca6eef3c9a1f54a84e691904909db2a</t>
  </si>
  <si>
    <t>6a66db3c8752c419737f1d27656b691a</t>
  </si>
  <si>
    <t>6278278b7ac04dfab7771724319a6329</t>
  </si>
  <si>
    <t>abce7c1dcd936cb31dbfa31af21df09c</t>
  </si>
  <si>
    <t>8e2c4f92b54c3a4d8dcf1a163deaf868</t>
  </si>
  <si>
    <t>1c5b8b7777aa24f0519683df11fb7de2</t>
  </si>
  <si>
    <t>b2ec342b5018948e60ea744b53970c8d</t>
  </si>
  <si>
    <t>d122999c74b7698bc3c44c87e8f0934c</t>
  </si>
  <si>
    <t>2b4fad575f9f7f799bb26b1ea1b8eb10</t>
  </si>
  <si>
    <t>a5d5654168ffe22ba5e178cdf3c915f1</t>
  </si>
  <si>
    <t>e037c6c2ea0a436c28cda36fcd259bf5</t>
  </si>
  <si>
    <t>d1f285f30675c560bd703247903f56e5</t>
  </si>
  <si>
    <t>3011037ce7529e59daa32b991aff0ab5</t>
  </si>
  <si>
    <t>474d54249679a269bc83c22133a9aede</t>
  </si>
  <si>
    <t>3a07e03cdc869138de32ef7ffffcf0e1</t>
  </si>
  <si>
    <t>503d909b9a186226f1bf32369890dedc</t>
  </si>
  <si>
    <t>3c9e89e15aa172af50ed5cd155638477</t>
  </si>
  <si>
    <t>2ba329cc1fa858b349ca4f8255e26e4e</t>
  </si>
  <si>
    <t>ad4a5d30a310f1faac3111571106fe1f</t>
  </si>
  <si>
    <t>11c9cfc74575bf59a4beaceefba9c6de</t>
  </si>
  <si>
    <t>fa4c3790c3ce42133f220442158f0ca3</t>
  </si>
  <si>
    <t>7f00bcd7a45ad92c586f7757ff084cb4</t>
  </si>
  <si>
    <t>260d8177e51cf61126e5ea040275c111</t>
  </si>
  <si>
    <t>f01692e951e6f34c2cd62f73b838d39d</t>
  </si>
  <si>
    <t>406f3e9715402e047450a59ea0991e90</t>
  </si>
  <si>
    <t>d33c3784f1dd8d6ecb29272a03a6e39f</t>
  </si>
  <si>
    <t>44177334ba5839414b3b838fc8cdff20</t>
  </si>
  <si>
    <t>b984b533c86666a10969ee13cbe3d602</t>
  </si>
  <si>
    <t>93b3d977ecb45989089b1122b4bd767d</t>
  </si>
  <si>
    <t>e585547dc67859d3bc16f4ba39a34915</t>
  </si>
  <si>
    <t>8cff8baca8bd632ecefdc8c9f27d0985</t>
  </si>
  <si>
    <t>5266fd97c4c2a8ee48f59f89765ab31c</t>
  </si>
  <si>
    <t>8f37e7b091d9e2406b737f5bd54a4cdb</t>
  </si>
  <si>
    <t>d759f726b00f9933d332e4c8b38f694d</t>
  </si>
  <si>
    <t>5c64c4f416e9b13116d3ae6a754fe42a</t>
  </si>
  <si>
    <t>8b1d88ecc49e7b06dd95cbc83be3a070</t>
  </si>
  <si>
    <t>ed31462d921f545b0650c9e8cdef9e89</t>
  </si>
  <si>
    <t>133f819906481cb58d4837c3f069b399</t>
  </si>
  <si>
    <t>f535cc0267a31213f54bb4d5da449cb3</t>
  </si>
  <si>
    <t>d6109fcbf287c184cc5218456918ccbc</t>
  </si>
  <si>
    <t>e980414bc9d3237354cb3a88a0050f25</t>
  </si>
  <si>
    <t>d596d67adb7aad239cf5ad3686c45a66</t>
  </si>
  <si>
    <t>92efdf8056e9c8811719c690be8be620</t>
  </si>
  <si>
    <t>41758e57636e841fdbee491baff7583d</t>
  </si>
  <si>
    <t>6ffea5f8a5e639f6c4a1f9538bc50da6</t>
  </si>
  <si>
    <t>c7c60749a7b053250f11ccf26956e39b</t>
  </si>
  <si>
    <t>6c755d777e847dbd95befeefb8a66322</t>
  </si>
  <si>
    <t>5b9f7d93ff1f47e6b9e75c70b799c8f2</t>
  </si>
  <si>
    <t>3cb83c9248d60e66a7964e7c5877681d</t>
  </si>
  <si>
    <t>c4eda2554b56a90b181366c8df53cb76</t>
  </si>
  <si>
    <t>bc47f63780f18697dbb7d24a465f2d38</t>
  </si>
  <si>
    <t>da18bd5d6b1c4b01f24e2212cc36cd8e</t>
  </si>
  <si>
    <t>052bcd349dddad34dbea4b021a13cc9f</t>
  </si>
  <si>
    <t>c3248040455b7dced96ea038c9760b8e</t>
  </si>
  <si>
    <t>f57eb96edb1d316b79a5d5b3d4bfb841</t>
  </si>
  <si>
    <t>401bfd54d6ce500acc9dfaf71e86a782</t>
  </si>
  <si>
    <t>e83076dbb656a8df3a37f2ed8f5ffd28</t>
  </si>
  <si>
    <t>784c653d675b703a7af80c0c4b39436b</t>
  </si>
  <si>
    <t>d645b1045553c06e8574de1960903d4c</t>
  </si>
  <si>
    <t>52a963a6437a36d2af9f886841cd3098</t>
  </si>
  <si>
    <t>8d1f01bd12fe30b28b950e658ce5c8ec</t>
  </si>
  <si>
    <t>817bd4f8e2e0c5fc4a7cf70181e730a4</t>
  </si>
  <si>
    <t>7374560c2c0f328bf17a079f2081ca17</t>
  </si>
  <si>
    <t>ebd6bd5709b2b02a194a07e27e66db2d</t>
  </si>
  <si>
    <t>62f23cf3b4667d2e29de326328fed64d</t>
  </si>
  <si>
    <t>fd37a5424dc2f81bd84642ae5bc88e7a</t>
  </si>
  <si>
    <t>e478c2ffae9681b2ec8bdac89a89e04c</t>
  </si>
  <si>
    <t>95c0519d11abefbb746def9e970b5560</t>
  </si>
  <si>
    <t>c75423e00096d3263b5a81d6d81a26ad</t>
  </si>
  <si>
    <t>3fa45fe4574415acd06be64ee936a484</t>
  </si>
  <si>
    <t>7345643558a12db18d4c26e7d6c71636</t>
  </si>
  <si>
    <t>b7052cbf20aa9c6765532fe31ee119da</t>
  </si>
  <si>
    <t>461ac13fcd2dd3280cf89c55098ca88a</t>
  </si>
  <si>
    <t>3387dbe1bff439adf023ff85bea3abeb</t>
  </si>
  <si>
    <t>ea54aa70af94dac2d338129e51effdd1</t>
  </si>
  <si>
    <t>266838984aec8cb3927a281567f2d201</t>
  </si>
  <si>
    <t>0bf5cf358152d28284a9a1050dd27029</t>
  </si>
  <si>
    <t>8304b7d905b476e676f859c190185bd2</t>
  </si>
  <si>
    <t>a2078a46e80c0a405d80fe71b3f3eb81</t>
  </si>
  <si>
    <t>1523b7309555b57c8b27f2adde0a9d83</t>
  </si>
  <si>
    <t>85a8a14f7d2d28eb9f4a6f4f9cf6614f</t>
  </si>
  <si>
    <t>2c218faa91fbbf8c59ac8e4e61351c44</t>
  </si>
  <si>
    <t>0ed228d435eded8ed223547ee94a689c</t>
  </si>
  <si>
    <t>3ec4dcc80064f5b847cb12ab9376b5d2</t>
  </si>
  <si>
    <t>0259678a703869144068e270255bbf5d</t>
  </si>
  <si>
    <t>8d5fb18f487caed25203c8837b1b452e</t>
  </si>
  <si>
    <t>368f250fcff093b8bdb394cc7f1d6cce</t>
  </si>
  <si>
    <t>8d797d909b74eb05c0c2c7fa4a7124de</t>
  </si>
  <si>
    <t>91a689e158cc5e4948dc0fa2ab0702cf</t>
  </si>
  <si>
    <t>1402e48b04a24360d5689533fcc61802</t>
  </si>
  <si>
    <t>831ee5e16c16c28a9a71efc5037adbf0</t>
  </si>
  <si>
    <t>55b45ff99d7dc8c549b16ad00e218d2b</t>
  </si>
  <si>
    <t>2084385b9271390d6adec021b49bfb18</t>
  </si>
  <si>
    <t>1f422711d4d537e7d25166faf32e47e2</t>
  </si>
  <si>
    <t>62c80e8b77a57b3beb8c23cec83f338f</t>
  </si>
  <si>
    <t>cd4c442a16378318c62b4b6fbf818664</t>
  </si>
  <si>
    <t>9544c8d4ea031d212884022762daa82a</t>
  </si>
  <si>
    <t>efe66fd1505248a6960dbb0feb1308e5</t>
  </si>
  <si>
    <t>f6b8a4a7d0a27d1f57d9a516cba4b1cc</t>
  </si>
  <si>
    <t>489719931d2c3c16d92e9887da1aece2</t>
  </si>
  <si>
    <t>3449cd914bc428b17831f501247aa13c</t>
  </si>
  <si>
    <t>91e8a565768bb975545ee64b1647b04a</t>
  </si>
  <si>
    <t>b277c46be566b8b9a76553536cdc8b0a</t>
  </si>
  <si>
    <t>4aeb081e0da1c162450b02cdf7e4b4b8</t>
  </si>
  <si>
    <t>1433f8d75d2847a9168eeaac72765b5c</t>
  </si>
  <si>
    <t>08dcd08a246a9f80b95b9ed6034216fe</t>
  </si>
  <si>
    <t>7cb9cd90dc85ef48235ed28aea8bae88</t>
  </si>
  <si>
    <t>0c6995a58abfafd8b468430864ff1ec0</t>
  </si>
  <si>
    <t>a384ca13690ebcda6ae0a7c5ad0093b3</t>
  </si>
  <si>
    <t>0706cea2762e440974fb21e57b81d14d</t>
  </si>
  <si>
    <t>18244477f1f6cabddfee41f849c2812f</t>
  </si>
  <si>
    <t>db1e1f57ef8293df2e12965235f3f746</t>
  </si>
  <si>
    <t>dfa3f414e75532525843b05d89d68195</t>
  </si>
  <si>
    <t>57b8eff48dc111c3f0633c656ed00bd3</t>
  </si>
  <si>
    <t>d3e7d9774df1fbecacf0aae9e145884f</t>
  </si>
  <si>
    <t>3e2b916425653e831f552a0f11982403</t>
  </si>
  <si>
    <t>943f6b52a253c0a88d99e122d3a1d796</t>
  </si>
  <si>
    <t>2e998f0404cf4b487c9aaff5191d6e0d</t>
  </si>
  <si>
    <t>89dd0222781f89886b092ec1504e1b95</t>
  </si>
  <si>
    <t>027a8a37c2977f18129579d4ec8ffa5a</t>
  </si>
  <si>
    <t>272aafc488d38b100afde7293ced41b0</t>
  </si>
  <si>
    <t>2a4711e2c6ba26c27083f3ac4b06fac2</t>
  </si>
  <si>
    <t>aa99fe452db2600b7a5f38116ac5d0a9</t>
  </si>
  <si>
    <t>3d4b93997f5005a66e6875099dce3300</t>
  </si>
  <si>
    <t>dcc555ed3dadaadfa29aec83e530dec3</t>
  </si>
  <si>
    <t>dcc9f84457aa99226898b177375154b0</t>
  </si>
  <si>
    <t>c9cc7ab51a9285a2e1f998025b7f20dd</t>
  </si>
  <si>
    <t>549ca424d5ce757d76aa422fa4996b25</t>
  </si>
  <si>
    <t>4ef2a13bfc2ce68045fe27416ee39f86</t>
  </si>
  <si>
    <t>7519b8e457c1a535ec46e9df16d8cf9c</t>
  </si>
  <si>
    <t>4d6989396c19ad4dd528d115a12a7e3a</t>
  </si>
  <si>
    <t>0a83c5f05c09c0e29e777e1c0eec2b31</t>
  </si>
  <si>
    <t>1a7dc9535885dc609e4249944d2b5d6c</t>
  </si>
  <si>
    <t>770915112d575e9ecadc9077d5996591</t>
  </si>
  <si>
    <t>e2e2b6d707c1daeabeae137ffd2e2e89</t>
  </si>
  <si>
    <t>8a099ad129ebfd71d95a92b9406b3552</t>
  </si>
  <si>
    <t>caf42f5e98b2a89c757dea5cf84a8fad</t>
  </si>
  <si>
    <t>d3bb6965eec4875938809075f135f3ab</t>
  </si>
  <si>
    <t>544da952d7036d86c4d77be94850f128</t>
  </si>
  <si>
    <t>8a13fd972588096039c874cd174b0dde</t>
  </si>
  <si>
    <t>dd4cabc510778825a8b028b89a4692d1</t>
  </si>
  <si>
    <t>e22db2607e5329fd5a65bcdcacf573af</t>
  </si>
  <si>
    <t>82164a4c7c201c8d3109c04277c1a772</t>
  </si>
  <si>
    <t>c549cb6200fa82700512d24e86a7c4ac</t>
  </si>
  <si>
    <t>616b084f403a761a6057df723e356140</t>
  </si>
  <si>
    <t>d6f780593806c85f05bde2187046354e</t>
  </si>
  <si>
    <t>b717355dda3b9df05137a31f626f7244</t>
  </si>
  <si>
    <t>732969099d6702679fc4357e426c5996</t>
  </si>
  <si>
    <t>9e0482d7af04dde3aeef4969636af4ea</t>
  </si>
  <si>
    <t>6125794ddde805f5da67f0389b9eb2ab</t>
  </si>
  <si>
    <t>e5c4ea6a8636dceb7b369e71f665f15d</t>
  </si>
  <si>
    <t>f07446f1ed08e9d20631910af67a672e</t>
  </si>
  <si>
    <t>107dffc3b1b39e9c8c6eaa3232f1091f</t>
  </si>
  <si>
    <t>fc08b4179bd6cc04ffdab598827d95a0</t>
  </si>
  <si>
    <t>5ccd5d882af86a33e5613146c403bc9a</t>
  </si>
  <si>
    <t>020593bce32b869daa068655f19ad109</t>
  </si>
  <si>
    <t>17122294c4ed3993df657d7fe16ca71d</t>
  </si>
  <si>
    <t>655d7cd3bb83b4705b2db57a4a7f38a6</t>
  </si>
  <si>
    <t>6886f9d71d89517f170659fa77f7c9d7</t>
  </si>
  <si>
    <t>71645f35717055ac75d761bf7f2c316c</t>
  </si>
  <si>
    <t>105971a069f0b971c51edfc77013f5f8</t>
  </si>
  <si>
    <t>cf448edfe5d37311600a11ba21e42224</t>
  </si>
  <si>
    <t>c8edede6a45fac9fceb8d36e9c2cc25e</t>
  </si>
  <si>
    <t>9943b23e07a96dcba06a5394de750203</t>
  </si>
  <si>
    <t>9abe9bcdc5ff3444da171eac6badfb23</t>
  </si>
  <si>
    <t>fcf90acd6e3e0b9ab0bd26704271ce49</t>
  </si>
  <si>
    <t>91882ba0fc9f10a53054b5130a988b36</t>
  </si>
  <si>
    <t>a4f563b6d26efbe6f22bacb6831bfa7b</t>
  </si>
  <si>
    <t>988f37be20f79e22b9ca54beb293f7f6</t>
  </si>
  <si>
    <t>ea2d505ccfc797816db8fc52455e00a8</t>
  </si>
  <si>
    <t>f16bd0f429cf136e7d29319b85e161ff</t>
  </si>
  <si>
    <t>a576d2c54a1cdd746dcc9b04bd08f518</t>
  </si>
  <si>
    <t>b935a0cd2a13dfb62ec3ab7587715566</t>
  </si>
  <si>
    <t>8f4073200fdef0f9c00865ad9fbbd3b3</t>
  </si>
  <si>
    <t>7a2e0d63b20b496ba6e66fd1ca433dc5</t>
  </si>
  <si>
    <t>64d1613e0ccceb5f848cc24190798485</t>
  </si>
  <si>
    <t>03f5e1a27452ba9c817cbece5214e527</t>
  </si>
  <si>
    <t>aeb97da7107ad00325155513a6d9bf92</t>
  </si>
  <si>
    <t>f7f73cacbc12c3aa6ea6a45985c97132</t>
  </si>
  <si>
    <t>5ddbb24de7ace5481ef5e2ce56ccced5</t>
  </si>
  <si>
    <t>5bc143c5e208bb42c0924973bd278b5b</t>
  </si>
  <si>
    <t>eb16fe36f4a87257766339c93a22410e</t>
  </si>
  <si>
    <t>5d4d381948c59b0b24697493a5ea1f46</t>
  </si>
  <si>
    <t>572da2fbfebccb714892709e9c7b9381</t>
  </si>
  <si>
    <t>47e90054597571bc493ebc8f6de844a2</t>
  </si>
  <si>
    <t>8db20bed47e3cb635cd7336ba5428b93</t>
  </si>
  <si>
    <t>fe3dbb526b88d82eadb0f1ae2e4e829a</t>
  </si>
  <si>
    <t>753c8eeb8902a211fc1e9c26fc88ab9b</t>
  </si>
  <si>
    <t>b5a195f8cc2a7ab933c201a6e601f4fd</t>
  </si>
  <si>
    <t>b74e6851bd72f636b33511a00ab4630d</t>
  </si>
  <si>
    <t>2a27dc69d1c5262199d6f4bdd7be6f25</t>
  </si>
  <si>
    <t>8b31c504868b36355b1f97619ac9a830</t>
  </si>
  <si>
    <t>1f05f0c514e56befbc251b3c5ec214f7</t>
  </si>
  <si>
    <t>c28acce8707b36e50ab8927913f61244</t>
  </si>
  <si>
    <t>d036ca3cfbf7c41450717dde58d2c856</t>
  </si>
  <si>
    <t>094c6156abc3a1521fc5b00ad6ac7117</t>
  </si>
  <si>
    <t>e170803c73f442eb3c082d15794ddfb8</t>
  </si>
  <si>
    <t>b8d628ef4784413bd25d314ec7e6c531</t>
  </si>
  <si>
    <t>6979083a3a924559c7f5915021cb8017</t>
  </si>
  <si>
    <t>3492816c93b2d3799bfab4427eb08622</t>
  </si>
  <si>
    <t>662dadd129c20e53f5b5dd1ffe0a14f9</t>
  </si>
  <si>
    <t>066681683245e2022015f4421bd1113a</t>
  </si>
  <si>
    <t>c354c4ded4bf3d90ff059d84a291a7d4</t>
  </si>
  <si>
    <t>532098bd02aa645f6d3a9ae09b471009</t>
  </si>
  <si>
    <t>f879a869bbebe10ab8fedf5e5fd2b85e</t>
  </si>
  <si>
    <t>776f82445856848a64da268ea1966c82</t>
  </si>
  <si>
    <t>39c872441ebcc8c31344762497fd26ce</t>
  </si>
  <si>
    <t>26ffaece7c6bb3acac984fee33e6ae7a</t>
  </si>
  <si>
    <t>8760f6cb136c130e312fddfe5f6ac1c8</t>
  </si>
  <si>
    <t>c74d08641f49303e4073262343196dd6</t>
  </si>
  <si>
    <t>55c2ae3647beb940267d821e9dca04ea</t>
  </si>
  <si>
    <t>17fa5547a29402a2c19fd1a287e4659b</t>
  </si>
  <si>
    <t>795f8c218355343d5bcaba461a229910</t>
  </si>
  <si>
    <t>266b53b85414e8f2956836b361e23b69</t>
  </si>
  <si>
    <t>6a2a665d36a6ad290cda0ab8aff9fcc9</t>
  </si>
  <si>
    <t>92bf8223ce4247757323d83bda521040</t>
  </si>
  <si>
    <t>0d47bbf6ad2e9dd8e673214ca6e99806</t>
  </si>
  <si>
    <t>c2e0cf82222888845874820af17c1c6f</t>
  </si>
  <si>
    <t>0ec7b6727fa2d26f2858fce924a090a9</t>
  </si>
  <si>
    <t>d4ba59df9409feef0435f4e0a7349aca</t>
  </si>
  <si>
    <t>af4ce2698926c96c12f775c5792abc05</t>
  </si>
  <si>
    <t>0b9b8599f8f8296983b6306333dfabf3</t>
  </si>
  <si>
    <t>53072312ddc0497d06afbefca9705128</t>
  </si>
  <si>
    <t>eb56309e1f0826f474cfe62d48baf547</t>
  </si>
  <si>
    <t>1e4fb791f3350662a6631e255bf141be</t>
  </si>
  <si>
    <t>80259f8e11f540f3b6c028722f2c5f13</t>
  </si>
  <si>
    <t>f0da541dba407332dd284463d8f369b1</t>
  </si>
  <si>
    <t>394ca8e4cb3666be145ff836317cc981</t>
  </si>
  <si>
    <t>61f920902b6f0ad465abd2c14750a20c</t>
  </si>
  <si>
    <t>5bbfc5524336f561d713846fcd1760bb</t>
  </si>
  <si>
    <t>5c2eb464371dd4902cd34e99e6e30612</t>
  </si>
  <si>
    <t>84b807ae3e3ea71a029d69f937c85312</t>
  </si>
  <si>
    <t>ebc446e44c9a1895ea6e0594e6c5efd3</t>
  </si>
  <si>
    <t>e13fd9c6aaa826aabfe16842e8d2c127</t>
  </si>
  <si>
    <t>afe12829ba07872815ffb6d0f2756eb4</t>
  </si>
  <si>
    <t>0650ec211d8f68eccd332701041a96a4</t>
  </si>
  <si>
    <t>0ec1ed37611343b3341ee6965e2ddb26</t>
  </si>
  <si>
    <t>e731fccbf2b07fb4ee0ee4fd1ac8663f</t>
  </si>
  <si>
    <t>4bec31ddcf86f1513e69e196afc20f76</t>
  </si>
  <si>
    <t>673da9c3d408682e512ca103718d7baf</t>
  </si>
  <si>
    <t>619e7314c5a691d628219d56c255c505</t>
  </si>
  <si>
    <t>8a8841584b82bf9ca077fa12337bcee2</t>
  </si>
  <si>
    <t>0e3dad21aba1f0786f4099c513c15e5c</t>
  </si>
  <si>
    <t>5cf6a99c1a3677ec559c1b6c8a3dac75</t>
  </si>
  <si>
    <t>930483e404e76887ca780883c73db238</t>
  </si>
  <si>
    <t>df61edcaa3dd3880850b34d2fe8ea1c0</t>
  </si>
  <si>
    <t>bc2b708ce1153c44cdab8ace70fdb3ae</t>
  </si>
  <si>
    <t>a09bea644692bbcc4566bbc92354f7e6</t>
  </si>
  <si>
    <t>d6d2acc152b0d91e63d4fb7ec45b7a59</t>
  </si>
  <si>
    <t>c23e950b9dacd267cff86d0576bacc57</t>
  </si>
  <si>
    <t>b85d7580c441eddd55928303fa89740f</t>
  </si>
  <si>
    <t>6af1be9c7bde9c61b2e379d0e9f456e8</t>
  </si>
  <si>
    <t>ae3161921f75ed2b18715dcaaa650b17</t>
  </si>
  <si>
    <t>6fc662abab53525be08fb7dbe14abaf2</t>
  </si>
  <si>
    <t>a440928fc4c0c03497b6998d659bab7f</t>
  </si>
  <si>
    <t>295dd2dbd158f493f704acee25e71669</t>
  </si>
  <si>
    <t>3e5de1c69abd9f6ac4bfb7f896846c9a</t>
  </si>
  <si>
    <t>c2fd397852d56143c1101d104f16f710</t>
  </si>
  <si>
    <t>9e1dea9aafb51aefe5a5c4adc58583e5</t>
  </si>
  <si>
    <t>415c8ae2fc6129dacf9479e58086b69e</t>
  </si>
  <si>
    <t>cb7805748fdb5fd15dd5155a59da508c</t>
  </si>
  <si>
    <t>1d978fd7e01e72290c50410274d6dce1</t>
  </si>
  <si>
    <t>eb9ae5b396294c5d7e965ec36049b408</t>
  </si>
  <si>
    <t>ed37f2fcfad3291ff0fe32093d81d70f</t>
  </si>
  <si>
    <t>dc739179b4e6c76ed8163ca797c5ea04</t>
  </si>
  <si>
    <t>2df67b1ba2a4c25dd42ded933a7d9241</t>
  </si>
  <si>
    <t>3ec4d0e80c8ecd46fb594fd1b899cf71</t>
  </si>
  <si>
    <t>a81d6b9689b5766e4ace8c6ad8ff617d</t>
  </si>
  <si>
    <t>b2254845cf9a54dec2e066e6430dacc7</t>
  </si>
  <si>
    <t>8428e17112c3d218ab1ee50609e27db4</t>
  </si>
  <si>
    <t>5d3c13933d8fbe357a235a0f96027677</t>
  </si>
  <si>
    <t>23f810f4302f181b81b9f35cccb27aef</t>
  </si>
  <si>
    <t>0ae4a455ae4d3901549b5fde1306a229</t>
  </si>
  <si>
    <t>ce9b7bca0d8a4bc1a2ce23c9ac9631c4</t>
  </si>
  <si>
    <t>210237f56809113a1800d1f35b0fc3c0</t>
  </si>
  <si>
    <t>36d0efa97e72d72241f892307c93bcac</t>
  </si>
  <si>
    <t>2f3b78c284ff384d40199a783daf4221</t>
  </si>
  <si>
    <t>1691455ec1cebe344eec39c197706895</t>
  </si>
  <si>
    <t>b15a997aca1d52e21e8d09b3638cb8cd</t>
  </si>
  <si>
    <t>0523faffbffd9b9f3ef604e3c6fb92f7</t>
  </si>
  <si>
    <t>86e77b63bd965de146816bcd1b4f18da</t>
  </si>
  <si>
    <t>8464700ad25b50d13700c9903fa474a5</t>
  </si>
  <si>
    <t>db68e402f4a994040dd5d92bb12bb522</t>
  </si>
  <si>
    <t>38cf519ee7ae56f0e636f6e2f47ce603</t>
  </si>
  <si>
    <t>e35d6ba0e08e61dfadd3f2cf177db7dc</t>
  </si>
  <si>
    <t>d331ceee49f946a33b8c9585ec02cc7c</t>
  </si>
  <si>
    <t>2d611e4f812cfa0c72d15f3d7db723f1</t>
  </si>
  <si>
    <t>0a1d2a6ae0afc144639d555d4677ca6f</t>
  </si>
  <si>
    <t>0fef9b8b20179468937333ac36407c89</t>
  </si>
  <si>
    <t>b062405bb0fdc2eff0d8a6a920d879fb</t>
  </si>
  <si>
    <t>5bea52f7b748d442584e2204e763b11c</t>
  </si>
  <si>
    <t>071dd1e23294e4a00725f8967821f358</t>
  </si>
  <si>
    <t>45256659154c34f3fe727c5e692d7105</t>
  </si>
  <si>
    <t>cad76e16ab79cfcc608d796e6361fd13</t>
  </si>
  <si>
    <t>ad50074cf69f98052b4c6918bd3283a6</t>
  </si>
  <si>
    <t>f0f54b6d7c61fc903c1f2b007e7e2152</t>
  </si>
  <si>
    <t>0e4b63f0d6f389156e441396db06fc33</t>
  </si>
  <si>
    <t>2a2de2dc18800c2453afa5f7abe747e9</t>
  </si>
  <si>
    <t>4246c47e8968792c4ab2a5beb214f31d</t>
  </si>
  <si>
    <t>a2910cd0c590a65b2b81d05bbc853472</t>
  </si>
  <si>
    <t>cd8d214d516ffb4bf5a019684bd9ce3a</t>
  </si>
  <si>
    <t>2d789655e65ee79915ee088b6a1f5847</t>
  </si>
  <si>
    <t>9506402241d57fd4c46d44797dc29cc2</t>
  </si>
  <si>
    <t>6fe24b3bda6caa595ba6b3fd16b39358</t>
  </si>
  <si>
    <t>33522668ffb37a89214ffa4f3416095d</t>
  </si>
  <si>
    <t>430335f152c1508c4cf4e939e9949cc3</t>
  </si>
  <si>
    <t>5f67f9b9bc8be8f26988f8df2b5674c5</t>
  </si>
  <si>
    <t>5c396f5531489f30c9147bfc162e994c</t>
  </si>
  <si>
    <t>3f27ee5ce8360ed2241c0c3a7eaa6b4c</t>
  </si>
  <si>
    <t>104b3f300918327071786077efe56337</t>
  </si>
  <si>
    <t>57a8a761c5149d957d8b800ad9063b9c</t>
  </si>
  <si>
    <t>99173445bf5212b101c113bb51e28d34</t>
  </si>
  <si>
    <t>87efa472904705cff75bded8fcc1dfbd</t>
  </si>
  <si>
    <t>bc8e335e66f5676c0430d1e25d3aeef6</t>
  </si>
  <si>
    <t>00bbb3c5c78a7cae51b92067c36b8cf4</t>
  </si>
  <si>
    <t>7f3ab19009948a5fc66810a4c8765238</t>
  </si>
  <si>
    <t>cbfbca22e885632cec984f2c26b71caa</t>
  </si>
  <si>
    <t>b6aa22fec2317aa365c136124702789b</t>
  </si>
  <si>
    <t>4e3fecd9854878c58f2bc984e6dfb4eb</t>
  </si>
  <si>
    <t>3a3427b5560ac43ae4a7f8e9d1c36ff9</t>
  </si>
  <si>
    <t>16bedfd14147b89ad3210fb9a7bc1cf9</t>
  </si>
  <si>
    <t>52c0d3028fbf33076fdebd3d29a12625</t>
  </si>
  <si>
    <t>4daee7c6ea4880a86a934565d5a9bad6</t>
  </si>
  <si>
    <t>87731819aa133ec4fefb340fa8d924e7</t>
  </si>
  <si>
    <t>c79178a8b91e02a8a0564d55b1c47d3c</t>
  </si>
  <si>
    <t>23d1b1ffb36ba796bd66aa4c1f7db362</t>
  </si>
  <si>
    <t>2e8e4b2b60e7fd164e69e4ed7858bc30</t>
  </si>
  <si>
    <t>4cf696a5685d66a3047e963ab7510fa7</t>
  </si>
  <si>
    <t>ed2d0de9a6885222f6d9d0c413b58d4d</t>
  </si>
  <si>
    <t>e2fbe99d236e096737145c16da3bcd1b</t>
  </si>
  <si>
    <t>f061eb0ab415b0acb6f6e1764659cb1a</t>
  </si>
  <si>
    <t>c395f2b45e1ee6c2fc1d33a6a69eca62</t>
  </si>
  <si>
    <t>7054a37f9675aa98b07d93bda7f3251b</t>
  </si>
  <si>
    <t>9c0c4b9348fdc2533385c61e0481dbf0</t>
  </si>
  <si>
    <t>edc11d932f2322687d71daab2318ea06</t>
  </si>
  <si>
    <t>d4b29a7f5443449c8358595e71cfd514</t>
  </si>
  <si>
    <t>88012d22aa2999a6e1205b8c716cec3c</t>
  </si>
  <si>
    <t>70b81a85c8945431dcc477e98796cd4b</t>
  </si>
  <si>
    <t>65f0e0523609f98e610fcb99a63fa0ac</t>
  </si>
  <si>
    <t>3b2459f42fced93d126daf03ac5197ef</t>
  </si>
  <si>
    <t>98e785e25027ea22a048c91d058788b8</t>
  </si>
  <si>
    <t>95f1def3bd6b9f5fee7e4978cf3c01be</t>
  </si>
  <si>
    <t>61eba99158b569a61664939b4cbd4868</t>
  </si>
  <si>
    <t>bd66b8fae10619b0335d9e4ac2b2aae3</t>
  </si>
  <si>
    <t>8e22d6965109f6414ebad73acdb7496f</t>
  </si>
  <si>
    <t>caaae7b07902de8f9c0a71dbce89c02c</t>
  </si>
  <si>
    <t>eccd37e292c4e54c5adffa3f121ca02b</t>
  </si>
  <si>
    <t>bced1f5866500ecceae644cc5c8ae186</t>
  </si>
  <si>
    <t>f68d514b0dff7be094291916dfc18976</t>
  </si>
  <si>
    <t>5aa810b82c9fcbb04c3e53e11040c8c6</t>
  </si>
  <si>
    <t>e85e7b3541133caac13ca8923994d2b4</t>
  </si>
  <si>
    <t>634541af0bf5b118f55e4346cc48c58b</t>
  </si>
  <si>
    <t>0d2938468e6533bd68b8e19949ee70aa</t>
  </si>
  <si>
    <t>58a9a04ae66e8ae212d5f401ce45b865</t>
  </si>
  <si>
    <t>025b87868f6d0a927d0436513e215566</t>
  </si>
  <si>
    <t>223fbe87e54a6bb6320d6790fac89eaa</t>
  </si>
  <si>
    <t>85ee9a2d730a1c793002cbbde6eed246</t>
  </si>
  <si>
    <t>1e18d5971550073b5ace9ada8626c29b</t>
  </si>
  <si>
    <t>1dd7a1c78b7b0c105ce0c51c2ec95ce6</t>
  </si>
  <si>
    <t>46fff0e0d8a3af1d278ff9e4cc21da84</t>
  </si>
  <si>
    <t>ab3964730bbdd4fcb63b75d9fbd6e877</t>
  </si>
  <si>
    <t>34688bb6b9df00733817bd0d30b285d7</t>
  </si>
  <si>
    <t>cedaf4cdabae45addb885821b151de54</t>
  </si>
  <si>
    <t>3928f2d6f9ee464fb98d6f209571cc46</t>
  </si>
  <si>
    <t>734d4dc71a728a6881abac37fe450fab</t>
  </si>
  <si>
    <t>294fb0f290e10ba25430a558df5fd69e</t>
  </si>
  <si>
    <t>3950e43480f460587fcfbd57e4a69431</t>
  </si>
  <si>
    <t>83d52031f6893ccb5d2435336c8648e9</t>
  </si>
  <si>
    <t>4a262ff0115ce95f9a3a862b15ab0512</t>
  </si>
  <si>
    <t>1ce5f9c42b0dab01dc21b1360588adcf</t>
  </si>
  <si>
    <t>009729e1bdf35863448aa4f6b49fab4e</t>
  </si>
  <si>
    <t>ae443fdf48291d53c6b7e2e5c62f8e6f</t>
  </si>
  <si>
    <t>c203f3e8a9adb15d2d77ea9c23fcdd99</t>
  </si>
  <si>
    <t>7030ec3e2423dec66ca4f8ae298fafbc</t>
  </si>
  <si>
    <t>51a7ef5cf11438661bafe334600f63b0</t>
  </si>
  <si>
    <t>1356b9ebe23efd2bc642d385e3992e28</t>
  </si>
  <si>
    <t>eacbb5aebd36405f871b69fbf5a0ee45</t>
  </si>
  <si>
    <t>70ff595b851ef1837d4c4e78ea0ea164</t>
  </si>
  <si>
    <t>d137f20cc4a4b2f47069da87783a771e</t>
  </si>
  <si>
    <t>b01cdaa9187a95a0a5460416554bed78</t>
  </si>
  <si>
    <t>5ce6e17eceedb3b5e15bc1405ab03f80</t>
  </si>
  <si>
    <t>cc3e89b7861ee7cc370c3f20f93c0a96</t>
  </si>
  <si>
    <t>5890fced33fe5f5d656bcdca008bea49</t>
  </si>
  <si>
    <t>e6a7397c3231beea06bae637f1b4f169</t>
  </si>
  <si>
    <t>de342934e3420643eb441557d7a78b56</t>
  </si>
  <si>
    <t>463c73e8bdc943668529de1be85618ae</t>
  </si>
  <si>
    <t>245e596ba4edfe298fb7a9f00d372fce</t>
  </si>
  <si>
    <t>76f551623b462aac29b8bec95ca27fc1</t>
  </si>
  <si>
    <t>80874d12845c01725b92f30ecb38afb1</t>
  </si>
  <si>
    <t>4114e99d8ff1da226d8bef9feaf4cfd2</t>
  </si>
  <si>
    <t>23bb53fa5d11ffea85fca43ddbc06625</t>
  </si>
  <si>
    <t>d767915af9222e62c33ee1105cca0483</t>
  </si>
  <si>
    <t>af24e2d8a8205809021db1e16dbd1a8e</t>
  </si>
  <si>
    <t>a80508ad232ddb69998185d33b83bb92</t>
  </si>
  <si>
    <t>0ffa732dfa7dd04bdc74f8b3a4153891</t>
  </si>
  <si>
    <t>749c3f0ee4a61e54862fb024fc5fab2f</t>
  </si>
  <si>
    <t>a0552f297f49cb31963a361d3d1dfa0d</t>
  </si>
  <si>
    <t>a253338877d549e4ff301646f81d971c</t>
  </si>
  <si>
    <t>f8ac042bea34ca1a4c2bc6482da9bcd6</t>
  </si>
  <si>
    <t>098c7d75fae53b83f3d1dc0748ef71f4</t>
  </si>
  <si>
    <t>c3827b2b4c5ef738815b42bca7617ba4</t>
  </si>
  <si>
    <t>0d173399364767d9995fece219fc3896</t>
  </si>
  <si>
    <t>bcb610b086baa630c0496d5ff34c7293</t>
  </si>
  <si>
    <t>1335573aab2782eeb77223dbdb4255f4</t>
  </si>
  <si>
    <t>57b3e3ed965d1aed14298f6ccf622a3a</t>
  </si>
  <si>
    <t>edfd8192cbb78e684289c8d1ddf37fa1</t>
  </si>
  <si>
    <t>3fc0aaf04dad14b94459cd59d836cce7</t>
  </si>
  <si>
    <t>ed685e26ba3784a94242225dea6c321d</t>
  </si>
  <si>
    <t>ce3fd434cda191de5a13572f1cedc8b6</t>
  </si>
  <si>
    <t>9dcb330b60deb66cb6974bffac168a24</t>
  </si>
  <si>
    <t>671aaec3709dd35acd47371a51981a09</t>
  </si>
  <si>
    <t>c4abf067a35037f5f6539ddf42190692</t>
  </si>
  <si>
    <t>d9380e2d454f23b3f348dcc2f939e5e2</t>
  </si>
  <si>
    <t>f62bfa171e6fcedc0bfe95fbd2efb471</t>
  </si>
  <si>
    <t>eec4cfb25e279d2cefda393ec258e1f0</t>
  </si>
  <si>
    <t>2612febccaf00dc88afe4d7cdc13bc63</t>
  </si>
  <si>
    <t>2ed31cdcf700192a58f892b9a3a25d88</t>
  </si>
  <si>
    <t>d9bd9387c8037f9ab333de12a17007af</t>
  </si>
  <si>
    <t>bad3537ddbef2965efbb7e9bc90098ab</t>
  </si>
  <si>
    <t>8f234448397bf1e6f15459cfcdfb553d</t>
  </si>
  <si>
    <t>9f72639c61d9af3d31d08da9dcd0fb4e</t>
  </si>
  <si>
    <t>007bae97760b7e4b24ccd82c349733c8</t>
  </si>
  <si>
    <t>4566b0d1cc41d9b3fb52d490323943ae</t>
  </si>
  <si>
    <t>b4fc794bab09c52fbf79c9dbe47376d3</t>
  </si>
  <si>
    <t>83bda0375abd661769f75e62078ae39b</t>
  </si>
  <si>
    <t>8fda91c8d3c09e0eb3ec52fedda4ef2f</t>
  </si>
  <si>
    <t>a0183ffd34ae86308ddfbf2427ba4800</t>
  </si>
  <si>
    <t>8b3d56caa7a4fc7bdb7fbc0b32b9b344</t>
  </si>
  <si>
    <t>993cb56679bdf8a05fe7c83fb5a88e6c</t>
  </si>
  <si>
    <t>1318557d8de7d06595b911c51a7c41ea</t>
  </si>
  <si>
    <t>80111941c03429e6bd86b90d9ed270b9</t>
  </si>
  <si>
    <t>930c3039334b91343572198ef7db838e</t>
  </si>
  <si>
    <t>241a61f8cabe50608e35a0127062c0d7</t>
  </si>
  <si>
    <t>6f0c47f72e8f47f83247563aa0ae8bb8</t>
  </si>
  <si>
    <t>f62dd2b46700d33992a6d8609aaf1966</t>
  </si>
  <si>
    <t>edb0b308d5611851bfaba2bafdc7f2e9</t>
  </si>
  <si>
    <t>b6100acb002a2dc0206a61b25458b9b8</t>
  </si>
  <si>
    <t>c61c16fb64ea4d7456019ab56203cb9d</t>
  </si>
  <si>
    <t>5cf37f95c804897af333d6a54e3f90c4</t>
  </si>
  <si>
    <t>2289e122809b5378d5e42348e0421141</t>
  </si>
  <si>
    <t>88b9feb093bd21d06008dcac9b3c14ec</t>
  </si>
  <si>
    <t>2bc5bb6e3319fa866b37473805e74214</t>
  </si>
  <si>
    <t>1a6d92c42129655217afc686b22aa10d</t>
  </si>
  <si>
    <t>d5b93ff33f9fde1d1d54647a7bb512c7</t>
  </si>
  <si>
    <t>d3658c3d8f8027e50f920935e999d9d7</t>
  </si>
  <si>
    <t>c21c74988e13e5a1aa37347577d42749</t>
  </si>
  <si>
    <t>0aa1ddc07586e244c477ba48d042f325</t>
  </si>
  <si>
    <t>2bccd03e0cca5fdb90d52c6bc7bc0940</t>
  </si>
  <si>
    <t>1ff474ec87e0558bd9376d98fc9b4100</t>
  </si>
  <si>
    <t>3360c1bf0feb96f7e499bb3ad5acd633</t>
  </si>
  <si>
    <t>98070c20adb03217d6438e34dcf45fef</t>
  </si>
  <si>
    <t>b0f5a4d6d6e97a2da05cfb5744aa9035</t>
  </si>
  <si>
    <t>f65e563167fe9827a8f498a396c2e40b</t>
  </si>
  <si>
    <t>d00bdb680aa541d059a8dcfe511656b0</t>
  </si>
  <si>
    <t>5c563b0472e0188b0fe72186490b9600</t>
  </si>
  <si>
    <t>52f8be0cf761a4e13d26f714bdb82d95</t>
  </si>
  <si>
    <t>8d1a0bb57794c837ad3c0f723b0a6f3b</t>
  </si>
  <si>
    <t>1d08c7cf8483122ddec71d776629a737</t>
  </si>
  <si>
    <t>673f1c5e8dcc883278931cab975decca</t>
  </si>
  <si>
    <t>18b5a1dd8a400cf6c952e9ceedf7a431</t>
  </si>
  <si>
    <t>26fd787455a292a1f179b9c8923ee43f</t>
  </si>
  <si>
    <t>721ea39fec37b6f612a22be418071b1c</t>
  </si>
  <si>
    <t>08c2f5d3ecfe63dd8159d15b9033a0bf</t>
  </si>
  <si>
    <t>c4f7fffa785671891788e96c204bdc43</t>
  </si>
  <si>
    <t>534b174935df5117bdf1a92b7a2c21e7</t>
  </si>
  <si>
    <t>29d28bc28c78b89b628cbbc2b21c561a</t>
  </si>
  <si>
    <t>1c602de0cac699af8b96d68fc7485908</t>
  </si>
  <si>
    <t>a7a801f1647efa3d0b44f927fd928ab8</t>
  </si>
  <si>
    <t>029238b92f5f5073a2ba15fc0853e49f</t>
  </si>
  <si>
    <t>10480c6ecb417db4ab606e1f0ac8f4cb</t>
  </si>
  <si>
    <t>e9935fc242d35729552da2cbfb763b2f</t>
  </si>
  <si>
    <t>e04a63f183d5fedeee1186df6b5be8f5</t>
  </si>
  <si>
    <t>20c63d08cce1570807db78a1576eace4</t>
  </si>
  <si>
    <t>d29e4e33876e740c00065eb03d19dc13</t>
  </si>
  <si>
    <t>9179d08157820243dd0da241d96c34ab</t>
  </si>
  <si>
    <t>fb02f7abdda66e1a75c47d67586bd0b2</t>
  </si>
  <si>
    <t>94e333604e416d47049beb50d52be09b</t>
  </si>
  <si>
    <t>59a6aa0b6fcf752a34994918b3f9ac1d</t>
  </si>
  <si>
    <t>99e1267a60c281fa0713783c265dec46</t>
  </si>
  <si>
    <t>d3606a542c24505e85149b25a20d7a24</t>
  </si>
  <si>
    <t>15318a0b50b3c09686992b892f017d46</t>
  </si>
  <si>
    <t>5c9e584d6bae2d9d6f5181e67a0cd34d</t>
  </si>
  <si>
    <t>265dc8c63c9d6ea9a98db063db93175b</t>
  </si>
  <si>
    <t>664656e312da04ad54ce2f9d4193ab82</t>
  </si>
  <si>
    <t>0fd6b306211b6f324bdcb72307da4a04</t>
  </si>
  <si>
    <t>a28f9016b77b8a8bc7012bef783542d7</t>
  </si>
  <si>
    <t>d07093cec28a7f1ed3597e72e24c2c2e</t>
  </si>
  <si>
    <t>4ec0d49991d7ea7e7115404d71995c2d</t>
  </si>
  <si>
    <t>f10b46841b4552c2944b5f8dfdacb343</t>
  </si>
  <si>
    <t>74a645f1fef4fb352246808f73dbc476</t>
  </si>
  <si>
    <t>088dc4afc8a26e3248d9163cba31148c</t>
  </si>
  <si>
    <t>c8cd37acde95768fbedcfd7c2b652a3c</t>
  </si>
  <si>
    <t>5ec5f5087056e39328c2180710947585</t>
  </si>
  <si>
    <t>9c35b400e431c1bfd1ec7c1c93340aa6</t>
  </si>
  <si>
    <t>2e6993242ae7c8d12842dc74fb7eefc0</t>
  </si>
  <si>
    <t>8f65d4bf462dd8da6d9bf372fa9c7426</t>
  </si>
  <si>
    <t>e07bb40c888688dee23f203dc79e53ea</t>
  </si>
  <si>
    <t>5ce34fd0eece2cc6aecb43e6f8402ee9</t>
  </si>
  <si>
    <t>9f0e844525bd009e4430713c5826b368</t>
  </si>
  <si>
    <t>41d7c92ae70333deb084433bfb9d1175</t>
  </si>
  <si>
    <t>3cec2c7e5f3685ba32d974e8252ee319</t>
  </si>
  <si>
    <t>fe9e0e92943eac577c499234fb7cc3e0</t>
  </si>
  <si>
    <t>add3614ceab4bee8d808992316bdb38c</t>
  </si>
  <si>
    <t>595d4b95adc560519c82425aa828c756</t>
  </si>
  <si>
    <t>fdf516edbb00cdc53eee2a0c36d02501</t>
  </si>
  <si>
    <t>28fde507fd3a81671d420acfe289f517</t>
  </si>
  <si>
    <t>ad38bff2b89e2fe96e5972ad8d031c00</t>
  </si>
  <si>
    <t>a70d0513288f053ba096d30af57a2400</t>
  </si>
  <si>
    <t>cd474e5227ae84b9493b56aefaaf342a</t>
  </si>
  <si>
    <t>ce8a30db929798f9307d64af98137a10</t>
  </si>
  <si>
    <t>34aa544f6314b976f2cb2cc09d0539c0</t>
  </si>
  <si>
    <t>e58aaf0c727d0595f6670244159af0ad</t>
  </si>
  <si>
    <t>9515ce7e5aafea2d6d1bd04fec9ea489</t>
  </si>
  <si>
    <t>259a7b04c658d376d08fec038692167e</t>
  </si>
  <si>
    <t>736934841a496456d9c865b00b156417</t>
  </si>
  <si>
    <t>236f097e4e98d7106b71d18b7dba4b7b</t>
  </si>
  <si>
    <t>1d139c450e3b7b22b534ad41182fe82d</t>
  </si>
  <si>
    <t>cbf498928cee8f3548b18df06f4c16a6</t>
  </si>
  <si>
    <t>0fc5b5f2ed6c84ba608f2c268f05f618</t>
  </si>
  <si>
    <t>995c77171ba127136e3a42eb82315f25</t>
  </si>
  <si>
    <t>4009bcca0c2d7d951107d5920fa83be0</t>
  </si>
  <si>
    <t>aad5d6d297b5acf0783e18147cd1aea7</t>
  </si>
  <si>
    <t>8a832ebf8154206e324517e43ddae335</t>
  </si>
  <si>
    <t>2a5ce227c1bd58d43c0c70152a42f63b</t>
  </si>
  <si>
    <t>37b455b7107240cbb3db41cac2e733cc</t>
  </si>
  <si>
    <t>14235758e366d3dd3fe5aa28a2d69a56</t>
  </si>
  <si>
    <t>17529ad5ed850de53705f354612f6ca3</t>
  </si>
  <si>
    <t>9a85941cc8df196a7dd7b217a28af9fa</t>
  </si>
  <si>
    <t>f83a72ac7bac0f03c9ad7efc209d1e2e</t>
  </si>
  <si>
    <t>a7618a8151c367b0e7ec6c4dca73ad36</t>
  </si>
  <si>
    <t>5824e6e562fdf9c97e808c247a3acf7c</t>
  </si>
  <si>
    <t>be73339c228d83b5992a8b172f7feac0</t>
  </si>
  <si>
    <t>a8d61fc8bf128561de42315940feb61b</t>
  </si>
  <si>
    <t>74cd150c63866c4995ba6a2af55b0682</t>
  </si>
  <si>
    <t>04e8798b706b87b6e127bbaf999edbcc</t>
  </si>
  <si>
    <t>73eba53688f7f5a9814e4def671a9dd1</t>
  </si>
  <si>
    <t>fbf1b376f4ad493b08feba1ef445c38c</t>
  </si>
  <si>
    <t>6842196bb0e40cb5753eca780976de81</t>
  </si>
  <si>
    <t>579de7e7eba6a133d3b55dcba4929430</t>
  </si>
  <si>
    <t>c30437eb8c27176584b6546d74b32953</t>
  </si>
  <si>
    <t>516c7850a983742e38134dfaa2eafac2</t>
  </si>
  <si>
    <t>eef8cb4d07ef6592964818aba7ab72c7</t>
  </si>
  <si>
    <t>a45e57c2087a772db96d13daa87daeb4</t>
  </si>
  <si>
    <t>ee4250f31d0c334ab89673de289196a2</t>
  </si>
  <si>
    <t>5b85e1204aacf737f7b57db81ed9e618</t>
  </si>
  <si>
    <t>1fc2a61cd6881ccbd2a195e322cadbbc</t>
  </si>
  <si>
    <t>e01106cd1d63057cbe7f94cf8d83f155</t>
  </si>
  <si>
    <t>bc210fb55954c80acd6826cd1d90b3fa</t>
  </si>
  <si>
    <t>0c74551d9f85a67de7af12eabea6867e</t>
  </si>
  <si>
    <t>5bd49a45049a63ed388dea68ce0aff1f</t>
  </si>
  <si>
    <t>cf2f6fa704646fdaf4d4ca275d149e6b</t>
  </si>
  <si>
    <t>51340fe209544edec4bdf2441c01d3cf</t>
  </si>
  <si>
    <t>51a9520ed929e78260c3ce0bc489464a</t>
  </si>
  <si>
    <t>29a1896d735432cbf27d7cfab392d3d1</t>
  </si>
  <si>
    <t>3a7eb7885ea3733b3b288cbde3b7c11f</t>
  </si>
  <si>
    <t>6022cb9812ddda93c054f3d5c13ed2ed</t>
  </si>
  <si>
    <t>766fdf998fff468c777b70b612ff78b9</t>
  </si>
  <si>
    <t>98e508fa167468906dfa4fa9c87a0223</t>
  </si>
  <si>
    <t>be13a252b98e1ba0754210023d1d20d1</t>
  </si>
  <si>
    <t>420cea4618d31147a429456b3f2ac503</t>
  </si>
  <si>
    <t>49b67b92c98963e76fcfc8ec627635f5</t>
  </si>
  <si>
    <t>c9e5a9f054536d18725201615bea34de</t>
  </si>
  <si>
    <t>876ebd3640c528154cd89bca968a2db6</t>
  </si>
  <si>
    <t>4ba4f7f574b495cb629859d813f01655</t>
  </si>
  <si>
    <t>d1d0bdaab11107d4bbcd18e9b9070ea2</t>
  </si>
  <si>
    <t>69d5f3957d5fa96649cc79426f81b99b</t>
  </si>
  <si>
    <t>de43028ae8ff146dbff198a359047cee</t>
  </si>
  <si>
    <t>a185d190047142eee350327b2511ca18</t>
  </si>
  <si>
    <t>04e36cd4a4c08ee06bae0ef8e8ed0ed7</t>
  </si>
  <si>
    <t>4575d2c5a2258601949637a508c73bff</t>
  </si>
  <si>
    <t>53702aa0595cc1db3adc9a8690f371f3</t>
  </si>
  <si>
    <t>5be42f9af9a9643b6e49e68052080cc3</t>
  </si>
  <si>
    <t>15bcf00416fbcf4c4ca7ba7ec00791ee</t>
  </si>
  <si>
    <t>ca39e196e32ae74e741b838a2b5ada42</t>
  </si>
  <si>
    <t>9d3f8bb6e04f5a32c7af0ba25a01ddd6</t>
  </si>
  <si>
    <t>2e5b22756e1ecde92d4f195b66b9018d</t>
  </si>
  <si>
    <t>33478f4697fcb274c716b7c02b89cade</t>
  </si>
  <si>
    <t>fc9f3b8359ffc59c6db645b024c655dc</t>
  </si>
  <si>
    <t>fa390155d0544b544207741a19328417</t>
  </si>
  <si>
    <t>8f23dd05f99a5515e19e48f1a1540b8d</t>
  </si>
  <si>
    <t>174628b05740f213eaf512869d1168f1</t>
  </si>
  <si>
    <t>f68fa66efb8398fe724cc6b9bda8aaf4</t>
  </si>
  <si>
    <t>21d990265367d77224ad44e48488b82f</t>
  </si>
  <si>
    <t>29df5b205b19c4156905de7753a1e7a7</t>
  </si>
  <si>
    <t>3ec76fa4b703a07e6948d0973acab10e</t>
  </si>
  <si>
    <t>5a95be64a81462d47660986db9cd522b</t>
  </si>
  <si>
    <t>b40836c35b104ce0ef12721034970d57</t>
  </si>
  <si>
    <t>fd6fe3c0efb2f1c60dada14b27984288</t>
  </si>
  <si>
    <t>3896647f1b1aa176c5284d53db3372ab</t>
  </si>
  <si>
    <t>86b7076e9bf8b7b84cd7fb790c4f941b</t>
  </si>
  <si>
    <t>af663d1dac41c378238fdcac45ecb806</t>
  </si>
  <si>
    <t>88c318441085e9e4b0da28e95c3bfcc9</t>
  </si>
  <si>
    <t>24ad40c9fad01eb3d2a036eed79bf6a6</t>
  </si>
  <si>
    <t>f36bb852bb3faa9cb080f13357f65b7f</t>
  </si>
  <si>
    <t>2c5ced776514a6d771c9475ff6afcc6b</t>
  </si>
  <si>
    <t>d47ed31c74cb56461d4440ed31ae133f</t>
  </si>
  <si>
    <t>fb863cb8aea671ea6241ea6cb21f6328</t>
  </si>
  <si>
    <t>3909a89e4b3fe083f2bbcd73d726478c</t>
  </si>
  <si>
    <t>cdd684238ad31979a3a5e9d1cb80f867</t>
  </si>
  <si>
    <t>9ce803571e12c3e5abf7bf0b5f3c2d49</t>
  </si>
  <si>
    <t>da120835ee3c9bb7f96b01257af88879</t>
  </si>
  <si>
    <t>7172587403c874fdb0627550ef492a8c</t>
  </si>
  <si>
    <t>64f5e7093d4b9cc7e46bc3948ec814da</t>
  </si>
  <si>
    <t>bd16d178913982ed1075bb61facae351</t>
  </si>
  <si>
    <t>399df8459eae110f7481193532032bce</t>
  </si>
  <si>
    <t>520126c35278225ff38497b04530f130</t>
  </si>
  <si>
    <t>a8fe8457cb4c4b31aacb8a8f38bc9a94</t>
  </si>
  <si>
    <t>41b91deb8f0cba38357491f29c0aa409</t>
  </si>
  <si>
    <t>d44a966236568a285d81dca78668e7e5</t>
  </si>
  <si>
    <t>c29628f984f31f97d07b51f38de4d2e7</t>
  </si>
  <si>
    <t>c3939caf05fb5753b32010a58263bcaa</t>
  </si>
  <si>
    <t>63635b85eb574571e1c6b91e1b21e0ec</t>
  </si>
  <si>
    <t>a2cdc86b1b4501f838d7c2e6646d23ed</t>
  </si>
  <si>
    <t>c1ce1c78b41bca37dfc5ac0e13705fae</t>
  </si>
  <si>
    <t>11d9196b28876acbe481d4da689ee9e1</t>
  </si>
  <si>
    <t>c5cfc1fb25a76cf594d044c77d583c05</t>
  </si>
  <si>
    <t>e72bf61d1502f472da9bad14c8a25c6d</t>
  </si>
  <si>
    <t>8585d1d367cce4ed3a5798cfdb8018c3</t>
  </si>
  <si>
    <t>99019b32bc5eeb534ce389dc57c03c70</t>
  </si>
  <si>
    <t>31f79021e322f37d6b391bed5bdc0a33</t>
  </si>
  <si>
    <t>502867361708908d6f846c0e3c283657</t>
  </si>
  <si>
    <t>1167b092c2a222318a4d772dd939648f</t>
  </si>
  <si>
    <t>a01e49c1ea65c4fc57f6b714e517834d</t>
  </si>
  <si>
    <t>862dfcc10595a1f29adb215b45a52227</t>
  </si>
  <si>
    <t>ab29d76d557ca564af304c35e120a57a</t>
  </si>
  <si>
    <t>0f9b577d8fe60ae13f70546628464bc4</t>
  </si>
  <si>
    <t>50c2153ce861152286e3c4e83f13e6ff</t>
  </si>
  <si>
    <t>b55c07b880e380ee7f9944989e77b2d8</t>
  </si>
  <si>
    <t>e2b129d3ae5bf0f403bda653043d9394</t>
  </si>
  <si>
    <t>5329bc271892c521dea7171cfe3fbcc8</t>
  </si>
  <si>
    <t>7e4d5cb23c1ede75248ae83f8d15f1eb</t>
  </si>
  <si>
    <t>5619f7b7b5b73a0c7b54db7f2939273c</t>
  </si>
  <si>
    <t>6f822391cc4130a62372a6e011f467ae</t>
  </si>
  <si>
    <t>4cc30efb70af9e41e611cf815a0ca400</t>
  </si>
  <si>
    <t>69be9cbf89c89055d2180cc98fbdf76e</t>
  </si>
  <si>
    <t>24c6bfba0c78b35c35472ae7e98ff7c3</t>
  </si>
  <si>
    <t>37c33a84874873842d6cf9d964ed8f36</t>
  </si>
  <si>
    <t>ec6637fb1b205279d3ce548084cd5b5c</t>
  </si>
  <si>
    <t>60402faedba621c3b5d360a568a1196e</t>
  </si>
  <si>
    <t>9f6b8e7d87550821b64352677f7adf65</t>
  </si>
  <si>
    <t>4213ef4a507a110621231b06006eb847</t>
  </si>
  <si>
    <t>8ed7296a9204a0349d9094a3644d0f93</t>
  </si>
  <si>
    <t>f5625833123709eed59705a94547e799</t>
  </si>
  <si>
    <t>4b5d1162ff4ad6afabc26e454aa10d9b</t>
  </si>
  <si>
    <t>e1859be8dd48bda89438b759fc676165</t>
  </si>
  <si>
    <t>5446c8ff5de9bc59e073f9ab3d43617d</t>
  </si>
  <si>
    <t>76ad98d4219a4ce8db2439dfdaccec3f</t>
  </si>
  <si>
    <t>044c2f83f4be173cc74364cc6f87628b</t>
  </si>
  <si>
    <t>d0f5a64c5eb70a38a54bbb6843172071</t>
  </si>
  <si>
    <t>6a4a5fa196fe7a77a4bbc0f30cb7be5e</t>
  </si>
  <si>
    <t>5787db8bc23162e1a1171dacd070eded</t>
  </si>
  <si>
    <t>fab1d6ebc0c64cf9c348e82129f4fd10</t>
  </si>
  <si>
    <t>7e1c0451adb267801bdd49639b42e11d</t>
  </si>
  <si>
    <t>8de4a604b4f05ddfcc5cd61f9f2a31fb</t>
  </si>
  <si>
    <t>fa0333cc0a4c5d0903053262b5ebf4db</t>
  </si>
  <si>
    <t>6beca6407a5131650ee0b72ee7d122b8</t>
  </si>
  <si>
    <t>efe9135a3ff61a86571272e3d36edca7</t>
  </si>
  <si>
    <t>20ca4d376f95a1f9228a60fb6926a73c</t>
  </si>
  <si>
    <t>fcf20beea61008a87a9a21b55b4a565f</t>
  </si>
  <si>
    <t>1790c59a6efdba30026665430cbc5566</t>
  </si>
  <si>
    <t>996cfa1dea762e015e423f5981c0056c</t>
  </si>
  <si>
    <t>3f23291ea7aba73a52bfc6a157931f9e</t>
  </si>
  <si>
    <t>581bdb579149fd6cf11d401fbdb1eecd</t>
  </si>
  <si>
    <t>e93f4fdfbb9ce467f2bc2af67e83e989</t>
  </si>
  <si>
    <t>5daee8fa94969b13e5eedb6a5dfbaefc</t>
  </si>
  <si>
    <t>10409217c28ad82f061a9469e3256a2c</t>
  </si>
  <si>
    <t>b94c1cbd45c396c877de3a24d51762b6</t>
  </si>
  <si>
    <t>afd98d368b79c2758dce93a009621546</t>
  </si>
  <si>
    <t>c66498aaae63c468ca2156b846b83aed</t>
  </si>
  <si>
    <t>2cd57c7ad133024902bc0f1dbb45cebe</t>
  </si>
  <si>
    <t>2bb519ebb2085da44ab16906b2f39b7d</t>
  </si>
  <si>
    <t>c51170179509e41ee278d50ab64e720c</t>
  </si>
  <si>
    <t>42b4ce79cd52ff62593852a85bf2a892</t>
  </si>
  <si>
    <t>16cc72fb6cccd925c4fde048d48ab9ab</t>
  </si>
  <si>
    <t>cc978e814f6c0c6b0cd9bf063c74e629</t>
  </si>
  <si>
    <t>930e34cc233ecab4a240312464d5f1db</t>
  </si>
  <si>
    <t>80be06454916c0692591f7b2b9abd3cd</t>
  </si>
  <si>
    <t>3552b44accbe2a477349ee7814e5fbe2</t>
  </si>
  <si>
    <t>c293a9d1fa2f1df77cc93aec5d4af961</t>
  </si>
  <si>
    <t>8971686004483b5a43704d57b99d3b07</t>
  </si>
  <si>
    <t>b4b944fe10f440980373bf6c583e90d5</t>
  </si>
  <si>
    <t>950de11d77807756689955ce6c3d2516</t>
  </si>
  <si>
    <t>546fb952dfe675a8ed7b68ec48f5d296</t>
  </si>
  <si>
    <t>f72fd10db5673de63984375a0a0a1ba8</t>
  </si>
  <si>
    <t>d914f17f7213c35af85ee3cfd79225f2</t>
  </si>
  <si>
    <t>e53fc6c443316cf8b23ce49e038f14ac</t>
  </si>
  <si>
    <t>4b7e960fc497f470ce1089b388bb43cd</t>
  </si>
  <si>
    <t>1c2e6dc1ac9ad30489240423616f0c09</t>
  </si>
  <si>
    <t>e9e30c18f519803c5407b138a7acaad8</t>
  </si>
  <si>
    <t>bcca06f664629f29037d57bf559b219e</t>
  </si>
  <si>
    <t>fa9ead44f30a3f92397f1af4dbf22063</t>
  </si>
  <si>
    <t>1e5bd366a70a615fd0a2db859edd2062</t>
  </si>
  <si>
    <t>2773aa48d2714214b27d1e450be84af0</t>
  </si>
  <si>
    <t>7195bb7d3d6d3fd660cfa4feaa8bc4ed</t>
  </si>
  <si>
    <t>aff708187e20b7b89f86a016357f0f15</t>
  </si>
  <si>
    <t>37d463f9a5beb966b16f49868545f825</t>
  </si>
  <si>
    <t>e4e4869a67b331454fe9eb529e3c7e7a</t>
  </si>
  <si>
    <t>665de40ca99243489f5d0c6f0cdfbdfb</t>
  </si>
  <si>
    <t>5d476c534ca3062f7994d53fb071f4bd</t>
  </si>
  <si>
    <t>231495a884952e3ffd314fe8c135f612</t>
  </si>
  <si>
    <t>4fc89fce45864644515dd927a0b0aa57</t>
  </si>
  <si>
    <t>5a4c316e487bbf264be628b2f97b8b89</t>
  </si>
  <si>
    <t>df6def6a59f7052851fad28ca5c7f74b</t>
  </si>
  <si>
    <t>b2771880899be8a8c42857c17ce04dbe</t>
  </si>
  <si>
    <t>3b3869f023323ba416c7a4a6f4eff13e</t>
  </si>
  <si>
    <t>6595761f809f798a0e71af1d0f43d89f</t>
  </si>
  <si>
    <t>db6a0053f6fa331036589a2e929cf028</t>
  </si>
  <si>
    <t>58f712bf9bd0be535cec81f2aaa8c53f</t>
  </si>
  <si>
    <t>f5967e27098027c928a1a8737724afc9</t>
  </si>
  <si>
    <t>067efc0f4bb033ab631c46742527a28a</t>
  </si>
  <si>
    <t>173c0d963e0ae43607e174ec712d18db</t>
  </si>
  <si>
    <t>177a6300331574daedb720457fcdff35</t>
  </si>
  <si>
    <t>86cea84be7374957f82d9bfa0f491f17</t>
  </si>
  <si>
    <t>9ad1c2ffb90a6c6e460dbe5af9eb1e0c</t>
  </si>
  <si>
    <t>ed3341852826eab0d3a1ebe27b86762d</t>
  </si>
  <si>
    <t>d7a81a6f19bbe57d965ccb5d41446183</t>
  </si>
  <si>
    <t>91899f66e9f88db63d9caf721a464477</t>
  </si>
  <si>
    <t>0ca19a15c791e06285f546974942a8c3</t>
  </si>
  <si>
    <t>95fa209e0f5f4c86fe956f24f2710f11</t>
  </si>
  <si>
    <t>464f019ff94a4678e8159067e5890202</t>
  </si>
  <si>
    <t>1af8f02f3a11bd10d571c2a40e23c182</t>
  </si>
  <si>
    <t>8794d6a01657bc65ec0c1c40490ee57f</t>
  </si>
  <si>
    <t>9dcdd831a68dd9698557fc73a791ddb6</t>
  </si>
  <si>
    <t>96a8a5f94b8ad990501605af3cf0e676</t>
  </si>
  <si>
    <t>e53ca088f495321e3db0a4ed2ee07943</t>
  </si>
  <si>
    <t>1d32a60e48623b75576039ced9d848a4</t>
  </si>
  <si>
    <t>7907449a969bc921c4c2384870104062</t>
  </si>
  <si>
    <t>cd515ff69502b6b37b400a85fdb49cfb</t>
  </si>
  <si>
    <t>52916be29f038ed66f62df92b315544a</t>
  </si>
  <si>
    <t>f946272b6b8ea3bd039734499ef16488</t>
  </si>
  <si>
    <t>a7977aac05ef035445ef87e5a139d2d2</t>
  </si>
  <si>
    <t>ce85de92995812066c2605490b46f329</t>
  </si>
  <si>
    <t>f30908f7349f74cef793d81bd5cd0097</t>
  </si>
  <si>
    <t>d8fb69242b6f0470e17d1c64695709b4</t>
  </si>
  <si>
    <t>a8086634d6ffb9352134f1e9df7dd63c</t>
  </si>
  <si>
    <t>269bec05bc0ca6fea9c6f0f08e69429b</t>
  </si>
  <si>
    <t>74b73e0bf5eb4991eaed2a3b6bf9ca9a</t>
  </si>
  <si>
    <t>3c82cbb7f748f263c0222412b77cdb4f</t>
  </si>
  <si>
    <t>ee228911b90467a5aa686488328a5597</t>
  </si>
  <si>
    <t>199c7717ff5058a3bbe2ea958fbd8304</t>
  </si>
  <si>
    <t>17582770d77213a62d4e6bd9c8d25fb9</t>
  </si>
  <si>
    <t>39c513e65792ad2cb0237f3d23fdf834</t>
  </si>
  <si>
    <t>4bc80134cca373543a0af28d1b749e4d</t>
  </si>
  <si>
    <t>5ce5b82efd473649a20682b6b78f00f1</t>
  </si>
  <si>
    <t>414691c1486647b76e1a975512c03e01</t>
  </si>
  <si>
    <t>013e9bea68f3f9f565b166074c0a519d</t>
  </si>
  <si>
    <t>91075c2837a7d78bf7288e79a9311004</t>
  </si>
  <si>
    <t>e485733f0c62d8653a0ee872768e7635</t>
  </si>
  <si>
    <t>4ba903cd29fcb901125b1a4f1260c620</t>
  </si>
  <si>
    <t>7f944ece9a8eaa31800cbdafb6ea787b</t>
  </si>
  <si>
    <t>a3587dff1bc3c1b28ffd77d80738f809</t>
  </si>
  <si>
    <t>c76f3c826430e35031fb15a703d77cd4</t>
  </si>
  <si>
    <t>402abbd280acc8f3064ce83ddf7b4cd1</t>
  </si>
  <si>
    <t>edf71ea386a7eca8b172b58f4e918374</t>
  </si>
  <si>
    <t>79ee2ac5f343085de71ebefdd46d02b4</t>
  </si>
  <si>
    <t>b7e456437c04759fb051921b98683c79</t>
  </si>
  <si>
    <t>4fd4915365a7a894eec94d20d6e4f413</t>
  </si>
  <si>
    <t>f04c09d698a2b9ed6e4fff6a4c1910f3</t>
  </si>
  <si>
    <t>f59bebed7ab138219cf8c423e849c9ac</t>
  </si>
  <si>
    <t>f078c9e0b08b6e3259155a05c026d0dd</t>
  </si>
  <si>
    <t>fb3a9498e73feaa31d6c9ad0d1476829</t>
  </si>
  <si>
    <t>f230809646db4a525949439863876960</t>
  </si>
  <si>
    <t>869fe8122f1b2cba1390ed94b24a7b67</t>
  </si>
  <si>
    <t>ef40b20f92b6d3613cffdfb582774662</t>
  </si>
  <si>
    <t>f3a74e6fbe8eafb413f875574a74e825</t>
  </si>
  <si>
    <t>7a3b3f1793eddc94200842839c9d6435</t>
  </si>
  <si>
    <t>a92cc91eec7a56c6403313b7f2556020</t>
  </si>
  <si>
    <t>f3235d335a9060ebde7a36c0718370c1</t>
  </si>
  <si>
    <t>c6a5cb7519541e0e885541ff69791013</t>
  </si>
  <si>
    <t>4d1f0a4f87ce121eeb97b29225aaf86b</t>
  </si>
  <si>
    <t>2bc11f425a2b290b0d721b3bb248965e</t>
  </si>
  <si>
    <t>271991b4eb153d6019a95f4f309cd7c9</t>
  </si>
  <si>
    <t>4f6c5353986fd575df604979a0f1ac45</t>
  </si>
  <si>
    <t>412b090e0745da2d1302767d9cb2a025</t>
  </si>
  <si>
    <t>8ccf28fd7a5a2a070aba78d782675b94</t>
  </si>
  <si>
    <t>7cef1c2a02aa457f495ae059f571c976</t>
  </si>
  <si>
    <t>d68b4da73283ff930fddb652fc08326b</t>
  </si>
  <si>
    <t>42ba4839e06afdc834febba4a7df5a2e</t>
  </si>
  <si>
    <t>4de625683b3e48f98d7c9cacf9b122d5</t>
  </si>
  <si>
    <t>ca6e604dc8651a048fe40d3177b97cd1</t>
  </si>
  <si>
    <t>b7f1d19324b1154e3bd85ff408c20144</t>
  </si>
  <si>
    <t>5896d072cd69f975bc08bbde69274258</t>
  </si>
  <si>
    <t>ce4e6ac847adc045606f83f98a589243</t>
  </si>
  <si>
    <t>dc6b17ce7eab0e83366ca21fdc610a06</t>
  </si>
  <si>
    <t>32cb14827e3110428c79a57e6db0ed28</t>
  </si>
  <si>
    <t>9b4af9ecca3f0f45e0e59ae1ee71fae1</t>
  </si>
  <si>
    <t>c267f651595160ef57325f4a04f98064</t>
  </si>
  <si>
    <t>a9dfd612d64c14ae9bd4fc99bcdddcdf</t>
  </si>
  <si>
    <t>2f7dde00a7e7aa278cf0d3a321c3aab9</t>
  </si>
  <si>
    <t>39357807d4de77118fd2149345add0f3</t>
  </si>
  <si>
    <t>fb3fff44d891b24a1f843da6a9d3a7b7</t>
  </si>
  <si>
    <t>13aaad5c921de785a6f66941c3c0ec85</t>
  </si>
  <si>
    <t>87bb7ab19cd0e6695ba975a26dda6cba</t>
  </si>
  <si>
    <t>3cc67f9548471be3e126e5f565e0c6d1</t>
  </si>
  <si>
    <t>cb0b65c0e56908c6bea383a485a225ee</t>
  </si>
  <si>
    <t>3de8c9bb269812d4965035288472331a</t>
  </si>
  <si>
    <t>7f546a8e6a50d6f30feb141d78e63459</t>
  </si>
  <si>
    <t>8356ecb7a62d683f2c8f4bbfcbd5bf45</t>
  </si>
  <si>
    <t>61584b85c395c112d4232f7ff84522b2</t>
  </si>
  <si>
    <t>32634910c96abda12788fa47e13cce61</t>
  </si>
  <si>
    <t>a5cd40995246ae77dbccd334c0458f42</t>
  </si>
  <si>
    <t>3526fb873f3b90196fad02af27752dfc</t>
  </si>
  <si>
    <t>d759bbb90ab6fc81de02aa62dafbe054</t>
  </si>
  <si>
    <t>2efeab7c0803ac41b353ad6510d56f22</t>
  </si>
  <si>
    <t>9899dfb02e372ab5b23182639028bba1</t>
  </si>
  <si>
    <t>bd28657df65c9163a1fad847c2294657</t>
  </si>
  <si>
    <t>4fff36e68b48e8355b8c0ebdce8c7d0b</t>
  </si>
  <si>
    <t>67377f3eeb29495bdf105d9271b39d07</t>
  </si>
  <si>
    <t>9bdc8ef8e1c732a02f82e79a68949f7f</t>
  </si>
  <si>
    <t>38b0135d122b733f51bbee84ed668f89</t>
  </si>
  <si>
    <t>748adffe836d1d9424cdaf9819f7c41c</t>
  </si>
  <si>
    <t>1d19e377529a8b60d95deb2bedbec419</t>
  </si>
  <si>
    <t>096c3ef6effd31db59ee7b7b11df167f</t>
  </si>
  <si>
    <t>65e9f7357274fd1ade81903e8f30a31d</t>
  </si>
  <si>
    <t>a6161d68c347fdc73e384fabe8cd0c1e</t>
  </si>
  <si>
    <t>3be269d6f1d1f8f74b354df934d01be6</t>
  </si>
  <si>
    <t>c4d2c492b425b97677423b910a4f41d7</t>
  </si>
  <si>
    <t>396e74176dd7a4c8f4d59af534c9f8bc</t>
  </si>
  <si>
    <t>e81dd56a364012a577b9ec4d705a6a26</t>
  </si>
  <si>
    <t>9cff40bb711928dcba474d99aa39692d</t>
  </si>
  <si>
    <t>50dc577c26248316dc930de77d52cb35</t>
  </si>
  <si>
    <t>a01add4ddf793d1ae833c0553ef1c256</t>
  </si>
  <si>
    <t>8a1c7f39ea935a625c73e6801b4df2f7</t>
  </si>
  <si>
    <t>eeeea0a1b35f515e7c6db8926bcb04ab</t>
  </si>
  <si>
    <t>43a845ce6e9c493d0e21f4daea6662c3</t>
  </si>
  <si>
    <t>a4d3fe3c7c42a5f7c53b7697cc017191</t>
  </si>
  <si>
    <t>982ac9f22cd23d1d24d3c9545dcc0677</t>
  </si>
  <si>
    <t>821231134b60c58d7d206541bdec1c07</t>
  </si>
  <si>
    <t>53cf25b79ad34a6c5b17f27328731777</t>
  </si>
  <si>
    <t>c26e3f5bb8f5ce793b5bbe56a568be1e</t>
  </si>
  <si>
    <t>3432be489c7a088a221672fe329bb436</t>
  </si>
  <si>
    <t>39af95c893b51bcd5c44efa1507324d2</t>
  </si>
  <si>
    <t>81ce1248bfa766608e9b4585ef632879</t>
  </si>
  <si>
    <t>30b53f6b9806d817c0635dd55cb74dec</t>
  </si>
  <si>
    <t>a5047f998460b554a727c72d125c4726</t>
  </si>
  <si>
    <t>ca4ceab426dd8768135b0047431cab51</t>
  </si>
  <si>
    <t>0bc65b1c45c498551c9322c462b7ebb6</t>
  </si>
  <si>
    <t>d8000098d03fdc1a6a318ad7a4a3bc43</t>
  </si>
  <si>
    <t>604d6fc41ec0f88ad4d50c7499b7b289</t>
  </si>
  <si>
    <t>09620934f7347f24cbd9c224b1c88276</t>
  </si>
  <si>
    <t>bedb03af48b6e03fc9acb9b2657641e6</t>
  </si>
  <si>
    <t>8d4f50425875b21b7628d6a75e45fa18</t>
  </si>
  <si>
    <t>2614fb7b88b3eabe55b1d1ca01e63f37</t>
  </si>
  <si>
    <t>c9573eb0bf7bec8e403c7d12d5ee87ce</t>
  </si>
  <si>
    <t>615e2d156948ced82620ce2f765732bc</t>
  </si>
  <si>
    <t>cf9de0c77eda79f10c675469f9c3c536</t>
  </si>
  <si>
    <t>0d9c5bcb5039d546466969389db11d64</t>
  </si>
  <si>
    <t>47ef25548b3e2275bd9327665fa776d7</t>
  </si>
  <si>
    <t>54679f366501d306e31e43cc6012adae</t>
  </si>
  <si>
    <t>fa21ca3ef37f19df5c16ff34811a33cd</t>
  </si>
  <si>
    <t>4bc34c3957896c85618dafd52bbcda4b</t>
  </si>
  <si>
    <t>a5c3b657521c159863fe3225f5194653</t>
  </si>
  <si>
    <t>d3e8e2883bd9aff4714ee2a2fc9c5f81</t>
  </si>
  <si>
    <t>31857691fdeaef18293cd7afeaa952b0</t>
  </si>
  <si>
    <t>bf04e4eb7f7546efe12ba81c90dd5d5a</t>
  </si>
  <si>
    <t>daab685ee13e43aed20fe51c00861732</t>
  </si>
  <si>
    <t>0ecf945f6d4780b1cb19639cbd92df6a</t>
  </si>
  <si>
    <t>b3fe06f6ea4a592c5821de595eadd308</t>
  </si>
  <si>
    <t>9e4f47ecb483059cd2fb48f414fb8ba4</t>
  </si>
  <si>
    <t>89430e213949826b4efa45adb5f4fb94</t>
  </si>
  <si>
    <t>c5c32c26c9328706b36d46b2871a4ef7</t>
  </si>
  <si>
    <t>2cdffc7810df1a9f966a1041f56a99cf</t>
  </si>
  <si>
    <t>02c58e421c834472042301f4d3ba6356</t>
  </si>
  <si>
    <t>08d98bfdcd12016f52373c649c6766ba</t>
  </si>
  <si>
    <t>8918a6fd8dc5d37066c41e8f4b82d3ae</t>
  </si>
  <si>
    <t>c990dff3e9816a917b0979ba180d5ee9</t>
  </si>
  <si>
    <t>fbc9ddc74138692107154c77d30cdee2</t>
  </si>
  <si>
    <t>15278622aac78ae5c524bf760dfc7a0b</t>
  </si>
  <si>
    <t>670593785d0ac89812591de665869516</t>
  </si>
  <si>
    <t>7654e51eb2b0d7ceb986beadbeb54781</t>
  </si>
  <si>
    <t>ab23c60066c03f3d506224e4b86a0404</t>
  </si>
  <si>
    <t>a9ea4104a2a06b7aad089d6988b4db6c</t>
  </si>
  <si>
    <t>67ce08ecfe6af02fef633ed36108f3ee</t>
  </si>
  <si>
    <t>0704fe3cfc5b8534c2c8a4c28bf5b2ae</t>
  </si>
  <si>
    <t>54a069cdaa3bf3958c918b987376cbe3</t>
  </si>
  <si>
    <t>2c334b87e80285b0f87a85e9f3aebdcd</t>
  </si>
  <si>
    <t>258b13cc671a3da4f4fd5e0191ed33cc</t>
  </si>
  <si>
    <t>287f63f29d24b27f772a139b285d7f90</t>
  </si>
  <si>
    <t>89de3d1f75c3769c6c627742fafbc8da</t>
  </si>
  <si>
    <t>9f5f03a057cef5f082515b9bc3fd2b83</t>
  </si>
  <si>
    <t>3f18724d1193346054a055398cb37d28</t>
  </si>
  <si>
    <t>3cd5be70631a2b9df15e19ed6e160542</t>
  </si>
  <si>
    <t>8a96224a001436bb3eb05591723f5587</t>
  </si>
  <si>
    <t>9bd8e9a354e36d70900e60df123aaab3</t>
  </si>
  <si>
    <t>423750b8d16bcc85de21f8250227ee9d</t>
  </si>
  <si>
    <t>83899601a1c2692cd929391be5f6a794</t>
  </si>
  <si>
    <t>e1a7b6afc90efaa4282548a2fd92cb49</t>
  </si>
  <si>
    <t>14dc65cfb0ca87e879b1eb66a2f36daa</t>
  </si>
  <si>
    <t>79c0087c7a337485d62190b5d5597ec8</t>
  </si>
  <si>
    <t>c1d553fd9b8ecb88e1f11a4874f9e727</t>
  </si>
  <si>
    <t>7a5e9345ce342f8acb2a3bad7c7431be</t>
  </si>
  <si>
    <t>cade305e49e0bc569e5b72b85417ad7e</t>
  </si>
  <si>
    <t>7b47a5da412ffedb6df1d6ce3c204efe</t>
  </si>
  <si>
    <t>841e043647e5e4cc480a9b58bc5e23fb</t>
  </si>
  <si>
    <t>e0bb2fbd41c95a6ca15543220a107050</t>
  </si>
  <si>
    <t>2f4d3285531719ec17985a54a72fe1b0</t>
  </si>
  <si>
    <t>ebbab43900baf1d35a39b15000543366</t>
  </si>
  <si>
    <t>5872355a898e0326b7936cae3c2d3a3a</t>
  </si>
  <si>
    <t>5666a661649ef97de0f070edf3cee48f</t>
  </si>
  <si>
    <t>3dcaf803dd11dbd2344ca9611586f81a</t>
  </si>
  <si>
    <t>bd548eba39e3b26140bb89c71b49d4fe</t>
  </si>
  <si>
    <t>9e7ac86530f5fe2db7187aeb5d1e0657</t>
  </si>
  <si>
    <t>70defef301094a3163ae84c62b1dbd88</t>
  </si>
  <si>
    <t>9eea5704bff5b6af3d8fb7eb9ca05594</t>
  </si>
  <si>
    <t>5dfdf16e2fd160d84054215f4d435f0d</t>
  </si>
  <si>
    <t>4afd3b3e36d0172c3770d3a0c0fda12b</t>
  </si>
  <si>
    <t>569bdee647cfaefdb915449d7d2356c5</t>
  </si>
  <si>
    <t>d716dfbb2748040e99368d1324abd594</t>
  </si>
  <si>
    <t>bd9f59e2012f383c21dcf17ce959bf2c</t>
  </si>
  <si>
    <t>5f642e61728b9573122eae177d2f618a</t>
  </si>
  <si>
    <t>c0aa5f4256529bc21e7d45263c761200</t>
  </si>
  <si>
    <t>87ffe53e6a63eb829cc03a7392903337</t>
  </si>
  <si>
    <t>9f6c12225919b5a4b628b35f92ad2b6b</t>
  </si>
  <si>
    <t>6ea6b7599859afc8d814d2034cbcfee6</t>
  </si>
  <si>
    <t>9261d200aaa24957e3177ee4760c14ba</t>
  </si>
  <si>
    <t>6d805471f6f94a30751813ece0e4a473</t>
  </si>
  <si>
    <t>402a89452f47689b1df7591f3c46d862</t>
  </si>
  <si>
    <t>39042bd534eb9109024c8892d49988a5</t>
  </si>
  <si>
    <t>c4e51db78aa6f5937cd9c184408a69dc</t>
  </si>
  <si>
    <t>b09c52662a749b77452512df55e28944</t>
  </si>
  <si>
    <t>0f301d94e6580b22d88d3103f0a8b250</t>
  </si>
  <si>
    <t>5ef6fa8074b8baf0f787302e3c6a02fe</t>
  </si>
  <si>
    <t>7db32348db34640e218af098ba2826df</t>
  </si>
  <si>
    <t>c2ce709dd83d929e9a1e2ce6999fa2ca</t>
  </si>
  <si>
    <t>557d8cde21e606b6dba37c5fe81c25e0</t>
  </si>
  <si>
    <t>842e3fa212c2c58f29187f4f7078abeb</t>
  </si>
  <si>
    <t>14e11ea2212a5181d294cd8f4e058680</t>
  </si>
  <si>
    <t>be4d0330d6b369b84d33ee050c3196e6</t>
  </si>
  <si>
    <t>55571ad6a36fc1851fb7c9302821f39b</t>
  </si>
  <si>
    <t>cc43598ab26069b754ccb7bcb4ea1d36</t>
  </si>
  <si>
    <t>eb5f738e2186754837b942bbb6a4c928</t>
  </si>
  <si>
    <t>c7dc95cb8559e4b0fc045f34e25b26c8</t>
  </si>
  <si>
    <t>b3b81b3939eba6b54ad322e04e62204a</t>
  </si>
  <si>
    <t>22de6ae83a7b0f7de6a83e9645200086</t>
  </si>
  <si>
    <t>7415e2acab8ee540a899758ee74602a4</t>
  </si>
  <si>
    <t>d61a10a04617c7380e8f4d49e2070557</t>
  </si>
  <si>
    <t>25705b5373de1b46b25acf1e38d066f6</t>
  </si>
  <si>
    <t>6eca8dbe7441d4e82f9435adda4c21ec</t>
  </si>
  <si>
    <t>9eb1f79950a17d5f704c1e9ca0274d3b</t>
  </si>
  <si>
    <t>23b446d4ee2c12040caa3bad6aceab92</t>
  </si>
  <si>
    <t>b81a37b7f1e5f445b151b8c786fa58e8</t>
  </si>
  <si>
    <t>8df6a38a2929005652d13ab468aa46b8</t>
  </si>
  <si>
    <t>e89de8708425189cfe59dc7d044323db</t>
  </si>
  <si>
    <t>2b7d21833409ef8c052f43dda1d136d4</t>
  </si>
  <si>
    <t>f86ca76c126001c8bfa9e88a2cc5a4bb</t>
  </si>
  <si>
    <t>fb9c01eadf59da67538bbe008452c68a</t>
  </si>
  <si>
    <t>49610cf6e1925b63935a1986e55fec07</t>
  </si>
  <si>
    <t>4a90cedb024098054b230cee7a2e777f</t>
  </si>
  <si>
    <t>30597f1f8ae93c2632d9a89809b59522</t>
  </si>
  <si>
    <t>c29fea49e5b3b6f72dd5d16b66424531</t>
  </si>
  <si>
    <t>1b2c6b821b21ad22a785fbe4c8813fc8</t>
  </si>
  <si>
    <t>0467d21194e717567aa58b1f9efef85c</t>
  </si>
  <si>
    <t>1c950ee9713ffea306a9af113e63d064</t>
  </si>
  <si>
    <t>377003fc510fc4672a92dababdcbefd5</t>
  </si>
  <si>
    <t>cd9512e28647d2611298b75e67f98580</t>
  </si>
  <si>
    <t>d571ec83ff0547541882d05a9aff81dc</t>
  </si>
  <si>
    <t>d5e7e69d290df2f86702f6cacc37a74c</t>
  </si>
  <si>
    <t>0cf96739a0329dda334c1e0fbb334dd4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</si>
</sst>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>
      <color theme="1"/>
      <name val="Arial"/>
      <scheme val="minor"/>
    </font>
    <font>
      <u/>
      <sz val="11.0"/>
      <color rgb="FF0000FF"/>
    </font>
    <font>
      <sz val="11.0"/>
      <color rgb="FF000000"/>
      <name val="Arial"/>
      <scheme val="minor"/>
    </font>
    <font>
      <u/>
      <sz val="11.0"/>
      <color rgb="FF000000"/>
    </font>
    <font>
      <u/>
      <sz val="11.0"/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bottom" wrapText="0"/>
    </xf>
    <xf borderId="1" fillId="2" fontId="2" numFmtId="0" xfId="0" applyAlignment="1" applyBorder="1" applyFont="1">
      <alignment shrinkToFit="0" vertical="bottom" wrapText="0"/>
    </xf>
    <xf borderId="0" fillId="0" fontId="3" numFmtId="0" xfId="0" applyAlignment="1" applyFont="1">
      <alignment shrinkToFit="0" wrapText="0"/>
    </xf>
    <xf borderId="0" fillId="0" fontId="1" numFmtId="0" xfId="0" applyAlignment="1" applyFont="1">
      <alignment horizontal="right" shrinkToFit="0" vertical="bottom" wrapText="0"/>
    </xf>
    <xf borderId="1" fillId="2" fontId="4" numFmtId="0" xfId="0" applyAlignment="1" applyBorder="1" applyFont="1">
      <alignment shrinkToFit="0" vertical="bottom" wrapText="0"/>
    </xf>
    <xf borderId="1" fillId="2" fontId="1" numFmtId="0" xfId="0" applyAlignment="1" applyBorder="1" applyFont="1">
      <alignment shrinkToFit="0" vertical="bottom" wrapText="0"/>
    </xf>
    <xf borderId="1" fillId="2" fontId="1" numFmtId="11" xfId="0" applyAlignment="1" applyBorder="1" applyFont="1" applyNumberFormat="1">
      <alignment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2" fontId="5" numFmtId="0" xfId="0" applyAlignment="1" applyFont="1">
      <alignment horizontal="right" readingOrder="0" shrinkToFit="0" vertical="bottom" wrapText="0"/>
    </xf>
    <xf borderId="0" fillId="2" fontId="7" numFmtId="0" xfId="0" applyAlignment="1" applyFont="1">
      <alignment readingOrder="0" shrinkToFit="0" vertical="bottom" wrapText="0"/>
    </xf>
    <xf borderId="0" fillId="2" fontId="5" numFmtId="0" xfId="0" applyAlignment="1" applyFont="1">
      <alignment readingOrder="0" shrinkToFit="0" vertical="bottom" wrapText="0"/>
    </xf>
    <xf borderId="0" fillId="2" fontId="3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13"/>
    <col customWidth="1" min="3" max="3" width="33.63"/>
  </cols>
  <sheetData>
    <row r="1">
      <c r="A1" s="1"/>
      <c r="B1" s="2" t="s">
        <v>0</v>
      </c>
      <c r="C1" s="2" t="s">
        <v>1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>
        <v>210.0</v>
      </c>
      <c r="B2" s="5" t="str">
        <f>HYPERLINK("https://www.lazada.vn/products/nuoc-tang-luc-eastroc-vitamin-bo-sung-nang-luong-500mlchai-i2982279335.html", "https://www.lazada.vn/products/nuoc-tang-luc-eastroc-vitamin-bo-sung-nang-luong-500mlchai-i2982279335.html")</f>
        <v>https://www.lazada.vn/products/nuoc-tang-luc-eastroc-vitamin-bo-sung-nang-luong-500mlchai-i2982279335.html</v>
      </c>
      <c r="C2" s="6" t="s">
        <v>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>
        <v>544.0</v>
      </c>
      <c r="B3" s="5" t="str">
        <f>HYPERLINK("https://www.lazada.vn/products/khoai-tay-loc-xoay-bich-1kg-giao-tphcm-i3028774901.html", "https://www.lazada.vn/products/khoai-tay-loc-xoay-bich-1kg-giao-tphcm-i3028774901.html")</f>
        <v>https://www.lazada.vn/products/khoai-tay-loc-xoay-bich-1kg-giao-tphcm-i3028774901.html</v>
      </c>
      <c r="C3" s="6" t="s">
        <v>3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>
        <v>591.0</v>
      </c>
      <c r="B4" s="5" t="str">
        <f>HYPERLINK("https://www.lazada.vn/products/1-hop-socola-don-tie-vang-chocola-dong-xu-vang-duc-anh-hop-210gr-thom-ngon-do-an-vat-i3045076399.html", "https://www.lazada.vn/products/1-hop-socola-don-tie-vang-chocola-dong-xu-vang-duc-anh-hop-210gr-thom-ngon-do-an-vat-i3045076399.html")</f>
        <v>https://www.lazada.vn/products/1-hop-socola-don-tie-vang-chocola-dong-xu-vang-duc-anh-hop-210gr-thom-ngon-do-an-vat-i3045076399.html</v>
      </c>
      <c r="C4" s="6" t="s">
        <v>4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>
        <v>660.0</v>
      </c>
      <c r="B5" s="5" t="str">
        <f>HYPERLINK("https://www.lazada.vn/products/10-goi-vo-bo-bia-banh-da-nem-dau-xanh-cuon-cha-gio-i2146509082.html", "https://www.lazada.vn/products/10-goi-vo-bo-bia-banh-da-nem-dau-xanh-cuon-cha-gio-i2146509082.html")</f>
        <v>https://www.lazada.vn/products/10-goi-vo-bo-bia-banh-da-nem-dau-xanh-cuon-cha-gio-i2146509082.html</v>
      </c>
      <c r="C5" s="6" t="s">
        <v>5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>
        <v>734.0</v>
      </c>
      <c r="B6" s="5" t="str">
        <f>HYPERLINK("https://www.lazada.vn/products/banh-tai-heo-lon-i3047163629.html", "https://www.lazada.vn/products/banh-tai-heo-lon-i3047163629.html")</f>
        <v>https://www.lazada.vn/products/banh-tai-heo-lon-i3047163629.html</v>
      </c>
      <c r="C6" s="6" t="s">
        <v>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">
        <v>1014.0</v>
      </c>
      <c r="B7" s="5" t="str">
        <f>HYPERLINK("https://www.lazada.vn/products/thung-12-chai-black-lao700ml-i2904122547.html", "https://www.lazada.vn/products/thung-12-chai-black-lao700ml-i2904122547.html")</f>
        <v>https://www.lazada.vn/products/thung-12-chai-black-lao700ml-i2904122547.html</v>
      </c>
      <c r="C7" s="6" t="s">
        <v>7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>
        <v>1032.0</v>
      </c>
      <c r="B8" s="5" t="str">
        <f>HYPERLINK("https://www.lazada.vn/products/banh-quy-bo-gpr-340g-dam-vi-cao-cap-cong-thuc-malaysia-mau-phuong-dong-do-an-vat-lam-qua-tang-hop-ngau-nhien-i2932422603.html", "https://www.lazada.vn/products/banh-quy-bo-gpr-340g-dam-vi-cao-cap-cong-thuc-malaysia-mau-phuong-dong-do-an-vat-lam-qua-tang-hop-ngau-nhien-i2932422603.html")</f>
        <v>https://www.lazada.vn/products/banh-quy-bo-gpr-340g-dam-vi-cao-cap-cong-thuc-malaysia-mau-phuong-dong-do-an-vat-lam-qua-tang-hop-ngau-nhien-i2932422603.html</v>
      </c>
      <c r="C8" s="6" t="s">
        <v>8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>
        <v>1066.0</v>
      </c>
      <c r="B9" s="5" t="str">
        <f>HYPERLINK("https://www.lazada.vn/products/banh-trang-ria-deo-mong-tron-mo-hanh-hanh-phi-muoi-nhuyen-tom-top-mo-gion-sieu-ngon-i3060437858.html", "https://www.lazada.vn/products/banh-trang-ria-deo-mong-tron-mo-hanh-hanh-phi-muoi-nhuyen-tom-top-mo-gion-sieu-ngon-i3060437858.html")</f>
        <v>https://www.lazada.vn/products/banh-trang-ria-deo-mong-tron-mo-hanh-hanh-phi-muoi-nhuyen-tom-top-mo-gion-sieu-ngon-i3060437858.html</v>
      </c>
      <c r="C9" s="7" t="s">
        <v>9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>
        <v>1072.0</v>
      </c>
      <c r="B10" s="5" t="str">
        <f>HYPERLINK("https://www.lazada.vn/products/banh-mi-nguyen-cam-khong-duong-450g-sugar-free-whole-wheat-bread-450g-i1596624176.html", "https://www.lazada.vn/products/banh-mi-nguyen-cam-khong-duong-450g-sugar-free-whole-wheat-bread-450g-i1596624176.html")</f>
        <v>https://www.lazada.vn/products/banh-mi-nguyen-cam-khong-duong-450g-sugar-free-whole-wheat-bread-450g-i1596624176.html</v>
      </c>
      <c r="C10" s="6" t="s">
        <v>10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">
        <v>1079.0</v>
      </c>
      <c r="B11" s="5" t="str">
        <f>HYPERLINK("https://www.lazada.vn/products/10-goi-anh-em-song-sinh-i2064266307.html", "https://www.lazada.vn/products/10-goi-anh-em-song-sinh-i2064266307.html")</f>
        <v>https://www.lazada.vn/products/10-goi-anh-em-song-sinh-i2064266307.html</v>
      </c>
      <c r="C11" s="6" t="s">
        <v>11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">
        <v>1081.0</v>
      </c>
      <c r="B12" s="5" t="str">
        <f>HYPERLINK("https://www.lazada.vn/products/1-hop-nuoc-dua-tac-vinamilk-hop-giay-1l-i2983750202.html", "https://www.lazada.vn/products/1-hop-nuoc-dua-tac-vinamilk-hop-giay-1l-i2983750202.html")</f>
        <v>https://www.lazada.vn/products/1-hop-nuoc-dua-tac-vinamilk-hop-giay-1l-i2983750202.html</v>
      </c>
      <c r="C12" s="6" t="s">
        <v>12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>
        <v>1082.0</v>
      </c>
      <c r="B13" s="5" t="str">
        <f>HYPERLINK("https://www.lazada.vn/products/20k-nuoc-co-ga-khong-duong-xs-away-i2893684913.html", "https://www.lazada.vn/products/20k-nuoc-co-ga-khong-duong-xs-away-i2893684913.html")</f>
        <v>https://www.lazada.vn/products/20k-nuoc-co-ga-khong-duong-xs-away-i2893684913.html</v>
      </c>
      <c r="C13" s="6" t="s">
        <v>13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>
        <v>1122.0</v>
      </c>
      <c r="B14" s="5" t="str">
        <f>HYPERLINK("https://www.lazada.vn/products/limited-stock-starbucks-x-stnley-quencher-rose-sliver-1180ml-i2976683889.html", "https://www.lazada.vn/products/limited-stock-starbucks-x-stnley-quencher-rose-sliver-1180ml-i2976683889.html")</f>
        <v>https://www.lazada.vn/products/limited-stock-starbucks-x-stnley-quencher-rose-sliver-1180ml-i2976683889.html</v>
      </c>
      <c r="C14" s="6" t="s">
        <v>14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>
        <v>1171.0</v>
      </c>
      <c r="B15" s="5" t="str">
        <f>HYPERLINK("https://www.lazada.vn/products/date-t92025-thung-24-lon-nuoc-ngot-xa-xi-co-ga-heysong-sarsaparilla-dai-loan-330ml-i2900650371.html", "https://www.lazada.vn/products/date-t92025-thung-24-lon-nuoc-ngot-xa-xi-co-ga-heysong-sarsaparilla-dai-loan-330ml-i2900650371.html")</f>
        <v>https://www.lazada.vn/products/date-t92025-thung-24-lon-nuoc-ngot-xa-xi-co-ga-heysong-sarsaparilla-dai-loan-330ml-i2900650371.html</v>
      </c>
      <c r="C15" s="6" t="s">
        <v>15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">
        <v>1181.0</v>
      </c>
      <c r="B16" s="5" t="str">
        <f>HYPERLINK("https://www.lazada.vn/products/nuoc-ep-trai-cay-co-thach-playmore-vi-oi-150g-tu-4-tuoi-i2972250006.html", "https://www.lazada.vn/products/nuoc-ep-trai-cay-co-thach-playmore-vi-oi-150g-tu-4-tuoi-i2972250006.html")</f>
        <v>https://www.lazada.vn/products/nuoc-ep-trai-cay-co-thach-playmore-vi-oi-150g-tu-4-tuoi-i2972250006.html</v>
      </c>
      <c r="C16" s="6" t="s">
        <v>16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4">
        <v>1194.0</v>
      </c>
      <c r="B17" s="5" t="str">
        <f>HYPERLINK("https://www.lazada.vn/products/nuoc-ep-trai-cay-pororo-vi-tao-235-ml-tu-3-tuoi-i2972216127.html", "https://www.lazada.vn/products/nuoc-ep-trai-cay-pororo-vi-tao-235-ml-tu-3-tuoi-i2972216127.html")</f>
        <v>https://www.lazada.vn/products/nuoc-ep-trai-cay-pororo-vi-tao-235-ml-tu-3-tuoi-i2972216127.html</v>
      </c>
      <c r="C17" s="6" t="s">
        <v>17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4">
        <v>1203.0</v>
      </c>
      <c r="B18" s="5" t="str">
        <f>HYPERLINK("https://www.lazada.vn/products/cao-la-xa-den-chinh-hieu-hoa-binh-i2943284655.html", "https://www.lazada.vn/products/cao-la-xa-den-chinh-hieu-hoa-binh-i2943284655.html")</f>
        <v>https://www.lazada.vn/products/cao-la-xa-den-chinh-hieu-hoa-binh-i2943284655.html</v>
      </c>
      <c r="C18" s="6" t="s">
        <v>18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4">
        <v>1204.0</v>
      </c>
      <c r="B19" s="5" t="str">
        <f>HYPERLINK("https://www.lazada.vn/products/banh-my-say-kho-tam-vi-bo-toi-banh-my-bo-toi-thom-ngon-dam-da-do-an-vat-tui-500gr-i3024676850.html", "https://www.lazada.vn/products/banh-my-say-kho-tam-vi-bo-toi-banh-my-bo-toi-thom-ngon-dam-da-do-an-vat-tui-500gr-i3024676850.html")</f>
        <v>https://www.lazada.vn/products/banh-my-say-kho-tam-vi-bo-toi-banh-my-bo-toi-thom-ngon-dam-da-do-an-vat-tui-500gr-i3024676850.html</v>
      </c>
      <c r="C19" s="6" t="s">
        <v>19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4">
        <v>1211.0</v>
      </c>
      <c r="B20" s="5" t="str">
        <f>HYPERLINK("https://www.lazada.vn/products/nuoc-ep-trai-cay-pororo-vi-sua-235-ml-tu-3-tuoi-i2972153476.html", "https://www.lazada.vn/products/nuoc-ep-trai-cay-pororo-vi-sua-235-ml-tu-3-tuoi-i2972153476.html")</f>
        <v>https://www.lazada.vn/products/nuoc-ep-trai-cay-pororo-vi-sua-235-ml-tu-3-tuoi-i2972153476.html</v>
      </c>
      <c r="C20" s="6" t="s">
        <v>20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4">
        <v>1237.0</v>
      </c>
      <c r="B21" s="5" t="str">
        <f>HYPERLINK("https://www.lazada.vn/products/nuoc-ep-trai-cay-pororo-vi-chuoi-235-ml-tu-3-tuoi-i2972133600.html", "https://www.lazada.vn/products/nuoc-ep-trai-cay-pororo-vi-chuoi-235-ml-tu-3-tuoi-i2972133600.html")</f>
        <v>https://www.lazada.vn/products/nuoc-ep-trai-cay-pororo-vi-chuoi-235-ml-tu-3-tuoi-i2972133600.html</v>
      </c>
      <c r="C21" s="6" t="s">
        <v>21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4">
        <v>1254.0</v>
      </c>
      <c r="B22" s="5" t="str">
        <f>HYPERLINK("https://www.lazada.vn/products/keo-chanh-muoi-thai-lan-i3031654518.html", "https://www.lazada.vn/products/keo-chanh-muoi-thai-lan-i3031654518.html")</f>
        <v>https://www.lazada.vn/products/keo-chanh-muoi-thai-lan-i3031654518.html</v>
      </c>
      <c r="C22" s="6" t="s">
        <v>22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4">
        <v>1261.0</v>
      </c>
      <c r="B23" s="5" t="str">
        <f>HYPERLINK("https://www.lazada.vn/products/nuoc-ep-trai-cay-pororo-vi-dau-235-ml-tu-3-tuoi-i2972066943.html", "https://www.lazada.vn/products/nuoc-ep-trai-cay-pororo-vi-dau-235-ml-tu-3-tuoi-i2972066943.html")</f>
        <v>https://www.lazada.vn/products/nuoc-ep-trai-cay-pororo-vi-dau-235-ml-tu-3-tuoi-i2972066943.html</v>
      </c>
      <c r="C23" s="6" t="s">
        <v>23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4">
        <v>1286.0</v>
      </c>
      <c r="B24" s="5" t="str">
        <f>HYPERLINK("https://www.lazada.vn/products/gia-si-_-combo-2-hop-keo-rockett-1-h-nhat-thai-chinh-hang-che-ten-san-pham-_-bao-tac-dung-i3009482267.html", "https://www.lazada.vn/products/gia-si-_-combo-2-hop-keo-rockett-1-h-nhat-thai-chinh-hang-che-ten-san-pham-_-bao-tac-dung-i3009482267.html")</f>
        <v>https://www.lazada.vn/products/gia-si-_-combo-2-hop-keo-rockett-1-h-nhat-thai-chinh-hang-che-ten-san-pham-_-bao-tac-dung-i3009482267.html</v>
      </c>
      <c r="C24" s="6" t="s">
        <v>24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4">
        <v>1287.0</v>
      </c>
      <c r="B25" s="5" t="str">
        <f>HYPERLINK("https://www.lazada.vn/products/hop-16v-keo-thao-moc-nhat-tot-cho-suc-khoe-i3009429458.html", "https://www.lazada.vn/products/hop-16v-keo-thao-moc-nhat-tot-cho-suc-khoe-i3009429458.html")</f>
        <v>https://www.lazada.vn/products/hop-16v-keo-thao-moc-nhat-tot-cho-suc-khoe-i3009429458.html</v>
      </c>
      <c r="C25" s="6" t="s">
        <v>25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4">
        <v>1308.0</v>
      </c>
      <c r="B26" s="5" t="str">
        <f>HYPERLINK("https://www.lazada.vn/products/date-moi-combo-5-vien-keo-hong-sam-xtreme-candy-chinh-hang-2025-i2966385329.html", "https://www.lazada.vn/products/date-moi-combo-5-vien-keo-hong-sam-xtreme-candy-chinh-hang-2025-i2966385329.html")</f>
        <v>https://www.lazada.vn/products/date-moi-combo-5-vien-keo-hong-sam-xtreme-candy-chinh-hang-2025-i2966385329.html</v>
      </c>
      <c r="C26" s="6" t="s">
        <v>26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4">
        <v>1312.0</v>
      </c>
      <c r="B27" s="5" t="str">
        <f>HYPERLINK("https://www.lazada.vn/products/nuoc-ep-trai-cay-pororo-vi-trai-cay-235-ml-tu-3-tuoi-i2972032967.html", "https://www.lazada.vn/products/nuoc-ep-trai-cay-pororo-vi-trai-cay-235-ml-tu-3-tuoi-i2972032967.html")</f>
        <v>https://www.lazada.vn/products/nuoc-ep-trai-cay-pororo-vi-trai-cay-235-ml-tu-3-tuoi-i2972032967.html</v>
      </c>
      <c r="C27" s="6" t="s">
        <v>27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4">
        <v>1327.0</v>
      </c>
      <c r="B28" s="5" t="str">
        <f>HYPERLINK("https://www.lazada.vn/products/nuoc-giai-khat-co-ga-fentimans-anh-quoc-275ml-nuoc-thao-moc-nuoc-tonic-co-ga-i2953103024.html", "https://www.lazada.vn/products/nuoc-giai-khat-co-ga-fentimans-anh-quoc-275ml-nuoc-thao-moc-nuoc-tonic-co-ga-i2953103024.html")</f>
        <v>https://www.lazada.vn/products/nuoc-giai-khat-co-ga-fentimans-anh-quoc-275ml-nuoc-thao-moc-nuoc-tonic-co-ga-i2953103024.html</v>
      </c>
      <c r="C28" s="6" t="s">
        <v>28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4">
        <v>1346.0</v>
      </c>
      <c r="B29" s="5" t="str">
        <f>HYPERLINK("https://www.lazada.vn/products/qua-tang-combo-3-thanh-so-co-la-sua-va-caramen-twix-25g-i3017523244.html", "https://www.lazada.vn/products/qua-tang-combo-3-thanh-so-co-la-sua-va-caramen-twix-25g-i3017523244.html")</f>
        <v>https://www.lazada.vn/products/qua-tang-combo-3-thanh-so-co-la-sua-va-caramen-twix-25g-i3017523244.html</v>
      </c>
      <c r="C29" s="6" t="s">
        <v>29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4">
        <v>1353.0</v>
      </c>
      <c r="B30" s="5" t="str">
        <f>HYPERLINK("https://www.lazada.vn/products/1kg-snack-ca-gion-cay-i2054349072.html", "https://www.lazada.vn/products/1kg-snack-ca-gion-cay-i2054349072.html")</f>
        <v>https://www.lazada.vn/products/1kg-snack-ca-gion-cay-i2054349072.html</v>
      </c>
      <c r="C30" s="6" t="s">
        <v>30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">
        <v>1355.0</v>
      </c>
      <c r="B31" s="5" t="str">
        <f>HYPERLINK("https://www.lazada.vn/products/1kg-banh-sua-mix-4-vi-it-duong-dau-do-so-co-la-mat-cha-2-goi-dac-san-ba-vi-hieu-con-bo-vang-khoang-70-thanh-i2919131743.html", "https://www.lazada.vn/products/1kg-banh-sua-mix-4-vi-it-duong-dau-do-so-co-la-mat-cha-2-goi-dac-san-ba-vi-hieu-con-bo-vang-khoang-70-thanh-i2919131743.html")</f>
        <v>https://www.lazada.vn/products/1kg-banh-sua-mix-4-vi-it-duong-dau-do-so-co-la-mat-cha-2-goi-dac-san-ba-vi-hieu-con-bo-vang-khoang-70-thanh-i2919131743.html</v>
      </c>
      <c r="C31" s="6" t="s">
        <v>31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4">
        <v>1356.0</v>
      </c>
      <c r="B32" s="5" t="str">
        <f>HYPERLINK("https://www.lazada.vn/products/thung-24-lon-nuoc-tang-luc-rockstar-250mllon-i2852218935.html", "https://www.lazada.vn/products/thung-24-lon-nuoc-tang-luc-rockstar-250mllon-i2852218935.html")</f>
        <v>https://www.lazada.vn/products/thung-24-lon-nuoc-tang-luc-rockstar-250mllon-i2852218935.html</v>
      </c>
      <c r="C32" s="6" t="s">
        <v>32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4">
        <v>1418.0</v>
      </c>
      <c r="B33" s="5" t="str">
        <f>HYPERLINK("https://www.lazada.vn/products/bot-matcha-novia-tui-100g-i2928379644.html", "https://www.lazada.vn/products/bot-matcha-novia-tui-100g-i2928379644.html")</f>
        <v>https://www.lazada.vn/products/bot-matcha-novia-tui-100g-i2928379644.html</v>
      </c>
      <c r="C33" s="6" t="s">
        <v>33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4">
        <v>1430.0</v>
      </c>
      <c r="B34" s="5" t="str">
        <f>HYPERLINK("https://www.lazada.vn/products/thuc-pham-kho-mien-khoai-lang-bich-chi-200gr-74126-i3055972629.html", "https://www.lazada.vn/products/thuc-pham-kho-mien-khoai-lang-bich-chi-200gr-74126-i3055972629.html")</f>
        <v>https://www.lazada.vn/products/thuc-pham-kho-mien-khoai-lang-bich-chi-200gr-74126-i3055972629.html</v>
      </c>
      <c r="C34" s="6" t="s">
        <v>34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4">
        <v>1500.0</v>
      </c>
      <c r="B35" s="5" t="str">
        <f>HYPERLINK("https://www.lazada.vn/products/tot-cho-suc-khoe-combo-2-hop-keo-sam-xanh-la-i2953734832.html", "https://www.lazada.vn/products/tot-cho-suc-khoe-combo-2-hop-keo-sam-xanh-la-i2953734832.html")</f>
        <v>https://www.lazada.vn/products/tot-cho-suc-khoe-combo-2-hop-keo-sam-xanh-la-i2953734832.html</v>
      </c>
      <c r="C35" s="6" t="s">
        <v>35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4">
        <v>1505.0</v>
      </c>
      <c r="B36" s="5" t="str">
        <f>HYPERLINK("https://www.lazada.vn/products/thach-siro-trai-cay-thom-ngon-bo-duong-hop-7-cai-7-vi-i2933612366.html", "https://www.lazada.vn/products/thach-siro-trai-cay-thom-ngon-bo-duong-hop-7-cai-7-vi-i2933612366.html")</f>
        <v>https://www.lazada.vn/products/thach-siro-trai-cay-thom-ngon-bo-duong-hop-7-cai-7-vi-i2933612366.html</v>
      </c>
      <c r="C36" s="6" t="s">
        <v>36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4">
        <v>1514.0</v>
      </c>
      <c r="B37" s="5" t="str">
        <f>HYPERLINK("https://www.lazada.vn/products/keo-dua-khong-duong-ben-tre-keo-dua-thanh-long-thap-cam-nhieu-vi-tui-400g-i2952026411.html", "https://www.lazada.vn/products/keo-dua-khong-duong-ben-tre-keo-dua-thanh-long-thap-cam-nhieu-vi-tui-400g-i2952026411.html")</f>
        <v>https://www.lazada.vn/products/keo-dua-khong-duong-ben-tre-keo-dua-thanh-long-thap-cam-nhieu-vi-tui-400g-i2952026411.html</v>
      </c>
      <c r="C37" s="6" t="s">
        <v>37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4">
        <v>1517.0</v>
      </c>
      <c r="B38" s="5" t="str">
        <f>HYPERLINK("https://www.lazada.vn/products/keo-thoi-hop-100g-minion-bean-boozled-harri-potter-keo-thui-noi-tieng-mua-50-i2948582100.html", "https://www.lazada.vn/products/keo-thoi-hop-100g-minion-bean-boozled-harri-potter-keo-thui-noi-tieng-mua-50-i2948582100.html")</f>
        <v>https://www.lazada.vn/products/keo-thoi-hop-100g-minion-bean-boozled-harri-potter-keo-thui-noi-tieng-mua-50-i2948582100.html</v>
      </c>
      <c r="C38" s="6" t="s">
        <v>38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4">
        <v>1528.0</v>
      </c>
      <c r="B39" s="5" t="str">
        <f>HYPERLINK("https://www.lazada.vn/products/3-vien-keo-hong-sam-a7-anpha-vi-chanh-usa-cao-cap-cuc-manh-date-moi-nhat-i2944738643.html", "https://www.lazada.vn/products/3-vien-keo-hong-sam-a7-anpha-vi-chanh-usa-cao-cap-cuc-manh-date-moi-nhat-i2944738643.html")</f>
        <v>https://www.lazada.vn/products/3-vien-keo-hong-sam-a7-anpha-vi-chanh-usa-cao-cap-cuc-manh-date-moi-nhat-i2944738643.html</v>
      </c>
      <c r="C39" s="6" t="s">
        <v>39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4">
        <v>1534.0</v>
      </c>
      <c r="B40" s="5" t="str">
        <f>HYPERLINK("https://www.lazada.vn/products/hop-10-vien-keo-hong-sam-a7-anpha-vi-chanh-usa-cao-cap-cuc-manh-date-moi-nhat-i2944111013.html", "https://www.lazada.vn/products/hop-10-vien-keo-hong-sam-a7-anpha-vi-chanh-usa-cao-cap-cuc-manh-date-moi-nhat-i2944111013.html")</f>
        <v>https://www.lazada.vn/products/hop-10-vien-keo-hong-sam-a7-anpha-vi-chanh-usa-cao-cap-cuc-manh-date-moi-nhat-i2944111013.html</v>
      </c>
      <c r="C40" s="6" t="s">
        <v>40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4">
        <v>1537.0</v>
      </c>
      <c r="B41" s="5" t="str">
        <f>HYPERLINK("https://www.lazada.vn/products/hop-30-vien-keo-sam-xtreme-chinh-hang-malay-date-moi-nhat-i2943968488.html", "https://www.lazada.vn/products/hop-30-vien-keo-sam-xtreme-chinh-hang-malay-date-moi-nhat-i2943968488.html")</f>
        <v>https://www.lazada.vn/products/hop-30-vien-keo-sam-xtreme-chinh-hang-malay-date-moi-nhat-i2943968488.html</v>
      </c>
      <c r="C41" s="6" t="s">
        <v>41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4">
        <v>1539.0</v>
      </c>
      <c r="B42" s="5" t="str">
        <f>HYPERLINK("https://www.lazada.vn/products/1-vien-keo-sam-mentalk-chinh-hang-malay-date-moi-nhat-2027-i2943878607.html", "https://www.lazada.vn/products/1-vien-keo-sam-mentalk-chinh-hang-malay-date-moi-nhat-2027-i2943878607.html")</f>
        <v>https://www.lazada.vn/products/1-vien-keo-sam-mentalk-chinh-hang-malay-date-moi-nhat-2027-i2943878607.html</v>
      </c>
      <c r="C42" s="6" t="s">
        <v>42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4">
        <v>1541.0</v>
      </c>
      <c r="B43" s="5" t="str">
        <f>HYPERLINK("https://www.lazada.vn/products/combo-2-cafe-den-da-viet-nescafe-560g-35-goi-i3027923773.html", "https://www.lazada.vn/products/combo-2-cafe-den-da-viet-nescafe-560g-35-goi-i3027923773.html")</f>
        <v>https://www.lazada.vn/products/combo-2-cafe-den-da-viet-nescafe-560g-35-goi-i3027923773.html</v>
      </c>
      <c r="C43" s="6" t="s">
        <v>43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4">
        <v>1549.0</v>
      </c>
      <c r="B44" s="5" t="str">
        <f>HYPERLINK("https://www.lazada.vn/products/vi-nen-10-vien-thai-lan-i3026816521.html", "https://www.lazada.vn/products/vi-nen-10-vien-thai-lan-i3026816521.html")</f>
        <v>https://www.lazada.vn/products/vi-nen-10-vien-thai-lan-i3026816521.html</v>
      </c>
      <c r="C44" s="6" t="s">
        <v>44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4">
        <v>1554.0</v>
      </c>
      <c r="B45" s="5" t="str">
        <f>HYPERLINK("https://www.lazada.vn/products/guylian-gio-qua-tang-chocolate-hazelnut-keo-trang-mieng-hat-de-gion-ben-trong-shells-chat-lieu-so-co-la-bi-250g-i3015686961.html", "https://www.lazada.vn/products/guylian-gio-qua-tang-chocolate-hazelnut-keo-trang-mieng-hat-de-gion-ben-trong-shells-chat-lieu-so-co-la-bi-250g-i3015686961.html")</f>
        <v>https://www.lazada.vn/products/guylian-gio-qua-tang-chocolate-hazelnut-keo-trang-mieng-hat-de-gion-ben-trong-shells-chat-lieu-so-co-la-bi-250g-i3015686961.html</v>
      </c>
      <c r="C45" s="6" t="s">
        <v>45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4">
        <v>1560.0</v>
      </c>
      <c r="B46" s="5" t="str">
        <f>HYPERLINK("https://www.lazada.vn/products/si-bich-30-goi-snack-bim-bim-qq-gion-gion-zon-zon-an-vat-tao-be-i3010948823.html", "https://www.lazada.vn/products/si-bich-30-goi-snack-bim-bim-qq-gion-gion-zon-zon-an-vat-tao-be-i3010948823.html")</f>
        <v>https://www.lazada.vn/products/si-bich-30-goi-snack-bim-bim-qq-gion-gion-zon-zon-an-vat-tao-be-i3010948823.html</v>
      </c>
      <c r="C46" s="6" t="s">
        <v>46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">
        <v>1564.0</v>
      </c>
      <c r="B47" s="5" t="str">
        <f>HYPERLINK("https://www.lazada.vn/products/ca-phe-gung-den-giam-can-black-ginger-honey-coffee-chinh-hang-i3024796248.html", "https://www.lazada.vn/products/ca-phe-gung-den-giam-can-black-ginger-honey-coffee-chinh-hang-i3024796248.html")</f>
        <v>https://www.lazada.vn/products/ca-phe-gung-den-giam-can-black-ginger-honey-coffee-chinh-hang-i3024796248.html</v>
      </c>
      <c r="C47" s="6" t="s">
        <v>47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4">
        <v>1570.0</v>
      </c>
      <c r="B48" s="5" t="str">
        <f>HYPERLINK("https://www.lazada.vn/products/ca-phe-nescafe-latte-chocolate-10-goi-x-24gr-c-i3023462808.html", "https://www.lazada.vn/products/ca-phe-nescafe-latte-chocolate-10-goi-x-24gr-c-i3023462808.html")</f>
        <v>https://www.lazada.vn/products/ca-phe-nescafe-latte-chocolate-10-goi-x-24gr-c-i3023462808.html</v>
      </c>
      <c r="C48" s="6" t="s">
        <v>48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4">
        <v>1582.0</v>
      </c>
      <c r="B49" s="5" t="str">
        <f>HYPERLINK("https://www.lazada.vn/products/bot-nhau-noni-green-500g-nguyen-chat-i3019714154.html", "https://www.lazada.vn/products/bot-nhau-noni-green-500g-nguyen-chat-i3019714154.html")</f>
        <v>https://www.lazada.vn/products/bot-nhau-noni-green-500g-nguyen-chat-i3019714154.html</v>
      </c>
      <c r="C49" s="6" t="s">
        <v>49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4">
        <v>1620.0</v>
      </c>
      <c r="B50" s="5" t="str">
        <f>HYPERLINK("https://www.lazada.vn/products/coop-online-soda-schweppes-lon-320ml-i2860320370.html", "https://www.lazada.vn/products/coop-online-soda-schweppes-lon-320ml-i2860320370.html")</f>
        <v>https://www.lazada.vn/products/coop-online-soda-schweppes-lon-320ml-i2860320370.html</v>
      </c>
      <c r="C50" s="6" t="s">
        <v>50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4">
        <v>1635.0</v>
      </c>
      <c r="B51" s="5" t="str">
        <f>HYPERLINK("https://www.lazada.vn/products/ca-phe-di-linh-500g-i2999598390.html", "https://www.lazada.vn/products/ca-phe-di-linh-500g-i2999598390.html")</f>
        <v>https://www.lazada.vn/products/ca-phe-di-linh-500g-i2999598390.html</v>
      </c>
      <c r="C51" s="6" t="s">
        <v>51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4">
        <v>1646.0</v>
      </c>
      <c r="B52" s="5" t="str">
        <f>HYPERLINK("https://www.lazada.vn/products/nuoc-ngot-coca-chai-390-ml-thung-24-chai-nuoc-ngot-co-ga-coca-vi-nguyen-ban-i2804702292.html", "https://www.lazada.vn/products/nuoc-ngot-coca-chai-390-ml-thung-24-chai-nuoc-ngot-co-ga-coca-vi-nguyen-ban-i2804702292.html")</f>
        <v>https://www.lazada.vn/products/nuoc-ngot-coca-chai-390-ml-thung-24-chai-nuoc-ngot-co-ga-coca-vi-nguyen-ban-i2804702292.html</v>
      </c>
      <c r="C52" s="6" t="s">
        <v>52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4">
        <v>1651.0</v>
      </c>
      <c r="B53" s="5" t="str">
        <f>HYPERLINK("https://www.lazada.vn/products/5-don-banh-tet-mini-nhan-dau-mo-i3011778372.html", "https://www.lazada.vn/products/5-don-banh-tet-mini-nhan-dau-mo-i3011778372.html")</f>
        <v>https://www.lazada.vn/products/5-don-banh-tet-mini-nhan-dau-mo-i3011778372.html</v>
      </c>
      <c r="C53" s="6" t="s">
        <v>53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4">
        <v>1662.0</v>
      </c>
      <c r="B54" s="5" t="str">
        <f>HYPERLINK("https://www.lazada.vn/products/banh-tuyet-thien-su-hop-10-cai-giao-hoa-toc-tphcm-i3005455346.html", "https://www.lazada.vn/products/banh-tuyet-thien-su-hop-10-cai-giao-hoa-toc-tphcm-i3005455346.html")</f>
        <v>https://www.lazada.vn/products/banh-tuyet-thien-su-hop-10-cai-giao-hoa-toc-tphcm-i3005455346.html</v>
      </c>
      <c r="C54" s="6" t="s">
        <v>54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4">
        <v>1666.0</v>
      </c>
      <c r="B55" s="5" t="str">
        <f>HYPERLINK("https://www.lazada.vn/products/siro-hat-de-cuoi-pistaschio-syrup-thuong-hieu-dripp-760ml-i2911902368.html", "https://www.lazada.vn/products/siro-hat-de-cuoi-pistaschio-syrup-thuong-hieu-dripp-760ml-i2911902368.html")</f>
        <v>https://www.lazada.vn/products/siro-hat-de-cuoi-pistaschio-syrup-thuong-hieu-dripp-760ml-i2911902368.html</v>
      </c>
      <c r="C55" s="6" t="s">
        <v>55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4">
        <v>1668.0</v>
      </c>
      <c r="B56" s="5" t="str">
        <f>HYPERLINK("https://www.lazada.vn/products/banh-magic-tha-lan-gion-tan-sieu-ngon-i3031528695.html", "https://www.lazada.vn/products/banh-magic-tha-lan-gion-tan-sieu-ngon-i3031528695.html")</f>
        <v>https://www.lazada.vn/products/banh-magic-tha-lan-gion-tan-sieu-ngon-i3031528695.html</v>
      </c>
      <c r="C56" s="6" t="s">
        <v>56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4">
        <v>1671.0</v>
      </c>
      <c r="B57" s="5" t="str">
        <f>HYPERLINK("https://www.lazada.vn/products/banh-bong-lan-tam-giac-obalab-nhieu-vi-100g-i3000032332.html", "https://www.lazada.vn/products/banh-bong-lan-tam-giac-obalab-nhieu-vi-100g-i3000032332.html")</f>
        <v>https://www.lazada.vn/products/banh-bong-lan-tam-giac-obalab-nhieu-vi-100g-i3000032332.html</v>
      </c>
      <c r="C57" s="6" t="s">
        <v>57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4">
        <v>1696.0</v>
      </c>
      <c r="B58" s="5" t="str">
        <f>HYPERLINK("https://www.lazada.vn/products/banh-keo-si-combo-24-bich-banh-mi-hoa-cuc-mini-otto-otto-mini-brioche-tressee-80g-i2952647127.html", "https://www.lazada.vn/products/banh-keo-si-combo-24-bich-banh-mi-hoa-cuc-mini-otto-otto-mini-brioche-tressee-80g-i2952647127.html")</f>
        <v>https://www.lazada.vn/products/banh-keo-si-combo-24-bich-banh-mi-hoa-cuc-mini-otto-otto-mini-brioche-tressee-80g-i2952647127.html</v>
      </c>
      <c r="C58" s="6" t="s">
        <v>58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4">
        <v>1705.0</v>
      </c>
      <c r="B59" s="5" t="str">
        <f>HYPERLINK("https://www.lazada.vn/products/combo-3-goi-banh-mi-phu-cha-bong-xot-mayonnaise-otto-floss-boss-55g-banh-an-sang-tien-loi-banh-mi-tuoi-do-an-vat-i2952603250.html", "https://www.lazada.vn/products/combo-3-goi-banh-mi-phu-cha-bong-xot-mayonnaise-otto-floss-boss-55g-banh-an-sang-tien-loi-banh-mi-tuoi-do-an-vat-i2952603250.html")</f>
        <v>https://www.lazada.vn/products/combo-3-goi-banh-mi-phu-cha-bong-xot-mayonnaise-otto-floss-boss-55g-banh-an-sang-tien-loi-banh-mi-tuoi-do-an-vat-i2952603250.html</v>
      </c>
      <c r="C59" s="6" t="s">
        <v>59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4">
        <v>1742.0</v>
      </c>
      <c r="B60" s="5" t="str">
        <f>HYPERLINK("https://www.lazada.vn/products/kho-si-banh-thuyen-mix-hat-dinh-duong-hang-loai-1-i2860789832.html", "https://www.lazada.vn/products/kho-si-banh-thuyen-mix-hat-dinh-duong-hang-loai-1-i2860789832.html")</f>
        <v>https://www.lazada.vn/products/kho-si-banh-thuyen-mix-hat-dinh-duong-hang-loai-1-i2860789832.html</v>
      </c>
      <c r="C60" s="6" t="s">
        <v>60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4">
        <v>1745.0</v>
      </c>
      <c r="B61" s="5" t="str">
        <f>HYPERLINK("https://www.lazada.vn/products/siro-xoai-nghien-harum-manis-fruit-pulp-thuong-hieu-dripp-760ml-i2911546184.html", "https://www.lazada.vn/products/siro-xoai-nghien-harum-manis-fruit-pulp-thuong-hieu-dripp-760ml-i2911546184.html")</f>
        <v>https://www.lazada.vn/products/siro-xoai-nghien-harum-manis-fruit-pulp-thuong-hieu-dripp-760ml-i2911546184.html</v>
      </c>
      <c r="C61" s="6" t="s">
        <v>61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4">
        <v>1746.0</v>
      </c>
      <c r="B62" s="5" t="str">
        <f>HYPERLINK("https://www.lazada.vn/products/5kg-khoai-lang-lim-thanh-nua-dien-bien-bo-ngot-com-bo-5kg-i3000761165.html", "https://www.lazada.vn/products/5kg-khoai-lang-lim-thanh-nua-dien-bien-bo-ngot-com-bo-5kg-i3000761165.html")</f>
        <v>https://www.lazada.vn/products/5kg-khoai-lang-lim-thanh-nua-dien-bien-bo-ngot-com-bo-5kg-i3000761165.html</v>
      </c>
      <c r="C62" s="6" t="s">
        <v>62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4">
        <v>1759.0</v>
      </c>
      <c r="B63" s="5" t="str">
        <f>HYPERLINK("https://www.lazada.vn/products/thuc-pham-kho-banh-da-vifon-300gr-11140-mi-thuong-i3054085585.html", "https://www.lazada.vn/products/thuc-pham-kho-banh-da-vifon-300gr-11140-mi-thuong-i3054085585.html")</f>
        <v>https://www.lazada.vn/products/thuc-pham-kho-banh-da-vifon-300gr-11140-mi-thuong-i3054085585.html</v>
      </c>
      <c r="C63" s="6" t="s">
        <v>63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4">
        <v>1769.0</v>
      </c>
      <c r="B64" s="5" t="str">
        <f>HYPERLINK("https://www.lazada.vn/products/bun-oc-lieu-chau-ly-tu-that-goi-vang-335gr-i3050535102.html", "https://www.lazada.vn/products/bun-oc-lieu-chau-ly-tu-that-goi-vang-335gr-i3050535102.html")</f>
        <v>https://www.lazada.vn/products/bun-oc-lieu-chau-ly-tu-that-goi-vang-335gr-i3050535102.html</v>
      </c>
      <c r="C64" s="6" t="s">
        <v>64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4">
        <v>1773.0</v>
      </c>
      <c r="B65" s="5" t="str">
        <f>HYPERLINK("https://www.lazada.vn/products/bun-tuoi-gao-lut-huu-co-hoa-sua-tui-250g-i3050410819.html", "https://www.lazada.vn/products/bun-tuoi-gao-lut-huu-co-hoa-sua-tui-250g-i3050410819.html")</f>
        <v>https://www.lazada.vn/products/bun-tuoi-gao-lut-huu-co-hoa-sua-tui-250g-i3050410819.html</v>
      </c>
      <c r="C65" s="6" t="s">
        <v>65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4">
        <v>1812.0</v>
      </c>
      <c r="B66" s="5" t="str">
        <f>HYPERLINK("https://www.lazada.vn/products/thung-24-chai-pororo-vi-tao-xanh-235ml-i2967522023.html", "https://www.lazada.vn/products/thung-24-chai-pororo-vi-tao-xanh-235ml-i2967522023.html")</f>
        <v>https://www.lazada.vn/products/thung-24-chai-pororo-vi-tao-xanh-235ml-i2967522023.html</v>
      </c>
      <c r="C66" s="6" t="s">
        <v>66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4">
        <v>1822.0</v>
      </c>
      <c r="B67" s="5" t="str">
        <f>HYPERLINK("https://www.lazada.vn/products/banh-tuyet-thien-su-tra-xanh-dau-do-hovans-food-i2798980534.html", "https://www.lazada.vn/products/banh-tuyet-thien-su-tra-xanh-dau-do-hovans-food-i2798980534.html")</f>
        <v>https://www.lazada.vn/products/banh-tuyet-thien-su-tra-xanh-dau-do-hovans-food-i2798980534.html</v>
      </c>
      <c r="C67" s="6" t="s">
        <v>67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4">
        <v>1827.0</v>
      </c>
      <c r="B68" s="5" t="str">
        <f>HYPERLINK("https://www.lazada.vn/products/mien-dong-dau-den-binh-lu-soi-nho-soi-rut-ocop-lai-chau-mien-dong-tay-bac-mien-rong-mien-giong-mieng-dong-ngon-i3050181834.html", "https://www.lazada.vn/products/mien-dong-dau-den-binh-lu-soi-nho-soi-rut-ocop-lai-chau-mien-dong-tay-bac-mien-rong-mien-giong-mieng-dong-ngon-i3050181834.html")</f>
        <v>https://www.lazada.vn/products/mien-dong-dau-den-binh-lu-soi-nho-soi-rut-ocop-lai-chau-mien-dong-tay-bac-mien-rong-mien-giong-mieng-dong-ngon-i3050181834.html</v>
      </c>
      <c r="C68" s="6" t="s">
        <v>68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4">
        <v>1839.0</v>
      </c>
      <c r="B69" s="5" t="str">
        <f>HYPERLINK("https://www.lazada.vn/products/thach-zai-zai-duc-hanh-thanh-dai-tui-700g-i2858160127.html", "https://www.lazada.vn/products/thach-zai-zai-duc-hanh-thanh-dai-tui-700g-i2858160127.html")</f>
        <v>https://www.lazada.vn/products/thach-zai-zai-duc-hanh-thanh-dai-tui-700g-i2858160127.html</v>
      </c>
      <c r="C69" s="6" t="s">
        <v>69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4">
        <v>1849.0</v>
      </c>
      <c r="B70" s="5" t="str">
        <f>HYPERLINK("https://www.lazada.vn/products/thach-rau-cau-long-hai-tui-910g-i2848207416.html", "https://www.lazada.vn/products/thach-rau-cau-long-hai-tui-910g-i2848207416.html")</f>
        <v>https://www.lazada.vn/products/thach-rau-cau-long-hai-tui-910g-i2848207416.html</v>
      </c>
      <c r="C70" s="6" t="s">
        <v>70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4">
        <v>1883.0</v>
      </c>
      <c r="B71" s="5" t="str">
        <f>HYPERLINK("https://www.lazada.vn/products/kiwi-say-lanh-1kg-kiwi-xanh-say-gion-khong-duong-giu-nguyen-huong-vi-an-vat-pha-tra-lam-banh-i3023311876.html", "https://www.lazada.vn/products/kiwi-say-lanh-1kg-kiwi-xanh-say-gion-khong-duong-giu-nguyen-huong-vi-an-vat-pha-tra-lam-banh-i3023311876.html")</f>
        <v>https://www.lazada.vn/products/kiwi-say-lanh-1kg-kiwi-xanh-say-gion-khong-duong-giu-nguyen-huong-vi-an-vat-pha-tra-lam-banh-i3023311876.html</v>
      </c>
      <c r="C71" s="6" t="s">
        <v>71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4">
        <v>1889.0</v>
      </c>
      <c r="B72" s="5" t="str">
        <f>HYPERLINK("https://www.lazada.vn/products/co-tui-giay-banh-quy-cosy-marie-tet-hop-qua-tet-528g-i3030108837.html", "https://www.lazada.vn/products/co-tui-giay-banh-quy-cosy-marie-tet-hop-qua-tet-528g-i3030108837.html")</f>
        <v>https://www.lazada.vn/products/co-tui-giay-banh-quy-cosy-marie-tet-hop-qua-tet-528g-i3030108837.html</v>
      </c>
      <c r="C72" s="6" t="s">
        <v>72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4">
        <v>1926.0</v>
      </c>
      <c r="B73" s="5" t="str">
        <f>HYPERLINK("https://www.lazada.vn/products/date-2026-nuoc-uong-tang-luc-monster-super-cola-nhat-ban-lon-355ml-i2842071751.html", "https://www.lazada.vn/products/date-2026-nuoc-uong-tang-luc-monster-super-cola-nhat-ban-lon-355ml-i2842071751.html")</f>
        <v>https://www.lazada.vn/products/date-2026-nuoc-uong-tang-luc-monster-super-cola-nhat-ban-lon-355ml-i2842071751.html</v>
      </c>
      <c r="C73" s="6" t="s">
        <v>73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>
        <v>1946.0</v>
      </c>
      <c r="B74" s="5" t="str">
        <f>HYPERLINK("https://www.lazada.vn/products/may-rot-sua-chua-tu-dong-chat-luong-cao-gia-re-i2731313855.html", "https://www.lazada.vn/products/may-rot-sua-chua-tu-dong-chat-luong-cao-gia-re-i2731313855.html")</f>
        <v>https://www.lazada.vn/products/may-rot-sua-chua-tu-dong-chat-luong-cao-gia-re-i2731313855.html</v>
      </c>
      <c r="C74" s="6" t="s">
        <v>74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>
        <v>1953.0</v>
      </c>
      <c r="B75" s="5" t="str">
        <f>HYPERLINK("https://www.lazada.vn/products/keo-scl-co-nhan-ferrero-rocher-16-vien-200g-20-i3024003849.html", "https://www.lazada.vn/products/keo-scl-co-nhan-ferrero-rocher-16-vien-200g-20-i3024003849.html")</f>
        <v>https://www.lazada.vn/products/keo-scl-co-nhan-ferrero-rocher-16-vien-200g-20-i3024003849.html</v>
      </c>
      <c r="C75" s="6" t="s">
        <v>75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>
        <v>1957.0</v>
      </c>
      <c r="B76" s="5" t="str">
        <f>HYPERLINK("https://www.lazada.vn/products/gia-si-banh-sam-panh-500g-i2723205978.html", "https://www.lazada.vn/products/gia-si-banh-sam-panh-500g-i2723205978.html")</f>
        <v>https://www.lazada.vn/products/gia-si-banh-sam-panh-500g-i2723205978.html</v>
      </c>
      <c r="C76" s="6" t="s">
        <v>76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4">
        <v>1964.0</v>
      </c>
      <c r="B77" s="5" t="str">
        <f>HYPERLINK("https://www.lazada.vn/products/hang-cong-ty-nhap-khau-nui-hinh-no-la-sicilia-500gr-i1243271873.html", "https://www.lazada.vn/products/hang-cong-ty-nhap-khau-nui-hinh-no-la-sicilia-500gr-i1243271873.html")</f>
        <v>https://www.lazada.vn/products/hang-cong-ty-nhap-khau-nui-hinh-no-la-sicilia-500gr-i1243271873.html</v>
      </c>
      <c r="C77" s="6" t="s">
        <v>77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4">
        <v>1971.0</v>
      </c>
      <c r="B78" s="5" t="str">
        <f>HYPERLINK("https://www.lazada.vn/products/nui-hinh-chu-cai-va-so-cho-be-bartolini-250g-i1659749440.html", "https://www.lazada.vn/products/nui-hinh-chu-cai-va-so-cho-be-bartolini-250g-i1659749440.html")</f>
        <v>https://www.lazada.vn/products/nui-hinh-chu-cai-va-so-cho-be-bartolini-250g-i1659749440.html</v>
      </c>
      <c r="C78" s="6" t="s">
        <v>78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>
        <v>1975.0</v>
      </c>
      <c r="B79" s="5" t="str">
        <f>HYPERLINK("https://www.lazada.vn/products/hang-cong-ty-nhap-khau-nui-rau-cu-huu-co-hinh-tau-xe-dalla-costa-organic-vegetable-travel-pasta-250g-i1485979716.html", "https://www.lazada.vn/products/hang-cong-ty-nhap-khau-nui-rau-cu-huu-co-hinh-tau-xe-dalla-costa-organic-vegetable-travel-pasta-250g-i1485979716.html")</f>
        <v>https://www.lazada.vn/products/hang-cong-ty-nhap-khau-nui-rau-cu-huu-co-hinh-tau-xe-dalla-costa-organic-vegetable-travel-pasta-250g-i1485979716.html</v>
      </c>
      <c r="C79" s="6" t="s">
        <v>79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>
        <v>1991.0</v>
      </c>
      <c r="B80" s="5" t="str">
        <f>HYPERLINK("https://www.lazada.vn/products/bot-tra-sua-king-khoai-mon-king-socola-king-nguyen-lieu-pha-che-tra-sua-khoai-mon-i2908775706.html", "https://www.lazada.vn/products/bot-tra-sua-king-khoai-mon-king-socola-king-nguyen-lieu-pha-che-tra-sua-khoai-mon-i2908775706.html")</f>
        <v>https://www.lazada.vn/products/bot-tra-sua-king-khoai-mon-king-socola-king-nguyen-lieu-pha-che-tra-sua-khoai-mon-i2908775706.html</v>
      </c>
      <c r="C80" s="6" t="s">
        <v>80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>
        <v>2061.0</v>
      </c>
      <c r="B81" s="5" t="str">
        <f>HYPERLINK("https://www.lazada.vn/products/pizza-ristorante-margherita-dr-oetker-295g-duc-i2435030691.html", "https://www.lazada.vn/products/pizza-ristorante-margherita-dr-oetker-295g-duc-i2435030691.html")</f>
        <v>https://www.lazada.vn/products/pizza-ristorante-margherita-dr-oetker-295g-duc-i2435030691.html</v>
      </c>
      <c r="C81" s="6" t="s">
        <v>81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>
        <v>2068.0</v>
      </c>
      <c r="B82" s="5" t="str">
        <f>HYPERLINK("https://www.lazada.vn/products/snack-vi-cua-sot-chua-ngot-oishi-crab-me-35g-tu-3-tuoi-i2972445078.html", "https://www.lazada.vn/products/snack-vi-cua-sot-chua-ngot-oishi-crab-me-35g-tu-3-tuoi-i2972445078.html")</f>
        <v>https://www.lazada.vn/products/snack-vi-cua-sot-chua-ngot-oishi-crab-me-35g-tu-3-tuoi-i2972445078.html</v>
      </c>
      <c r="C82" s="6" t="s">
        <v>82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>
        <v>2110.0</v>
      </c>
      <c r="B83" s="5" t="str">
        <f>HYPERLINK("https://www.lazada.vn/products/chuoi-say-muoi-ot-vi-nha-lam-tui-500g-bao-bao-food-i3011991514.html", "https://www.lazada.vn/products/chuoi-say-muoi-ot-vi-nha-lam-tui-500g-bao-bao-food-i3011991514.html")</f>
        <v>https://www.lazada.vn/products/chuoi-say-muoi-ot-vi-nha-lam-tui-500g-bao-bao-food-i3011991514.html</v>
      </c>
      <c r="C83" s="6" t="s">
        <v>83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>
        <v>2113.0</v>
      </c>
      <c r="B84" s="5" t="str">
        <f>HYPERLINK("https://www.lazada.vn/products/chuoi-say-muoi-ot-mix-voi-chuoi-sap-ngot-tui-500g-bao-bao-food-an-vat-snack-bim-bim-i3010532229.html", "https://www.lazada.vn/products/chuoi-say-muoi-ot-mix-voi-chuoi-sap-ngot-tui-500g-bao-bao-food-an-vat-snack-bim-bim-i3010532229.html")</f>
        <v>https://www.lazada.vn/products/chuoi-say-muoi-ot-mix-voi-chuoi-sap-ngot-tui-500g-bao-bao-food-an-vat-snack-bim-bim-i3010532229.html</v>
      </c>
      <c r="C84" s="6" t="s">
        <v>84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>
        <v>2124.0</v>
      </c>
      <c r="B85" s="5" t="str">
        <f>HYPERLINK("https://www.lazada.vn/products/snack-vi-pho-mat-oishi-35g-tu-3-tuoi-i2972444073.html", "https://www.lazada.vn/products/snack-vi-pho-mat-oishi-35g-tu-3-tuoi-i2972444073.html")</f>
        <v>https://www.lazada.vn/products/snack-vi-pho-mat-oishi-35g-tu-3-tuoi-i2972444073.html</v>
      </c>
      <c r="C85" s="7" t="s">
        <v>85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>
        <v>2169.0</v>
      </c>
      <c r="B86" s="5" t="str">
        <f>HYPERLINK("https://www.lazada.vn/products/dubai-style-chocolate-wafer-thread-black-chocolate-heart-shaped-snack-with-pistachio-paste-filling-made-in-mainland-china-i3005604489.html", "https://www.lazada.vn/products/dubai-style-chocolate-wafer-thread-black-chocolate-heart-shaped-snack-with-pistachio-paste-filling-made-in-mainland-china-i3005604489.html")</f>
        <v>https://www.lazada.vn/products/dubai-style-chocolate-wafer-thread-black-chocolate-heart-shaped-snack-with-pistachio-paste-filling-made-in-mainland-china-i3005604489.html</v>
      </c>
      <c r="C86" s="6" t="s">
        <v>86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>
        <v>2170.0</v>
      </c>
      <c r="B87" s="5" t="str">
        <f>HYPERLINK("https://www.lazada.vn/products/snack-vi-banh-phong-muc-oishi-indo-chips-35g-tu-3-tuoi-i2972433084.html", "https://www.lazada.vn/products/snack-vi-banh-phong-muc-oishi-indo-chips-35g-tu-3-tuoi-i2972433084.html")</f>
        <v>https://www.lazada.vn/products/snack-vi-banh-phong-muc-oishi-indo-chips-35g-tu-3-tuoi-i2972433084.html</v>
      </c>
      <c r="C87" s="6" t="s">
        <v>87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4">
        <v>2219.0</v>
      </c>
      <c r="B88" s="5" t="str">
        <f>HYPERLINK("https://www.lazada.vn/products/tui-300g-keo-nuoc-ngot-mix-nhieu-vi-cocasodastingbo-hucchanh-muoicafe-sieu-ngon-i2928623496.html", "https://www.lazada.vn/products/tui-300g-keo-nuoc-ngot-mix-nhieu-vi-cocasodastingbo-hucchanh-muoicafe-sieu-ngon-i2928623496.html")</f>
        <v>https://www.lazada.vn/products/tui-300g-keo-nuoc-ngot-mix-nhieu-vi-cocasodastingbo-hucchanh-muoicafe-sieu-ngon-i2928623496.html</v>
      </c>
      <c r="C88" s="6" t="s">
        <v>88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4">
        <v>2227.0</v>
      </c>
      <c r="B89" s="5" t="str">
        <f>HYPERLINK("https://www.lazada.vn/products/tui-500g-keo-nuoc-ngot-mix-nhieu-vi-cocasodastingbo-hucchanh-muoicafe-sieu-ngon-i2928548690.html", "https://www.lazada.vn/products/tui-500g-keo-nuoc-ngot-mix-nhieu-vi-cocasodastingbo-hucchanh-muoicafe-sieu-ngon-i2928548690.html")</f>
        <v>https://www.lazada.vn/products/tui-500g-keo-nuoc-ngot-mix-nhieu-vi-cocasodastingbo-hucchanh-muoicafe-sieu-ngon-i2928548690.html</v>
      </c>
      <c r="C89" s="6" t="s">
        <v>89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4">
        <v>2232.0</v>
      </c>
      <c r="B90" s="5" t="str">
        <f>HYPERLINK("https://www.lazada.vn/products/chocolate-keo-dua-hat-hanh-phuc-dubai-phong-cach-thu-cong-deo-day-duong-mo-cacao-duong-mo-de-thong-san-pham-chocolat-hat-hanh-phuc-i3005433918.html", "https://www.lazada.vn/products/chocolate-keo-dua-hat-hanh-phuc-dubai-phong-cach-thu-cong-deo-day-duong-mo-cacao-duong-mo-de-thong-san-pham-chocolat-hat-hanh-phuc-i3005433918.html")</f>
        <v>https://www.lazada.vn/products/chocolate-keo-dua-hat-hanh-phuc-dubai-phong-cach-thu-cong-deo-day-duong-mo-cacao-duong-mo-de-thong-san-pham-chocolat-hat-hanh-phuc-i3005433918.html</v>
      </c>
      <c r="C90" s="6" t="s">
        <v>90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4">
        <v>2254.0</v>
      </c>
      <c r="B91" s="5" t="str">
        <f>HYPERLINK("https://www.lazada.vn/products/snack-vi-bap-pho-mai-oishi-35g-tu-3-tuoi-i2972400284.html", "https://www.lazada.vn/products/snack-vi-bap-pho-mai-oishi-35g-tu-3-tuoi-i2972400284.html")</f>
        <v>https://www.lazada.vn/products/snack-vi-bap-pho-mai-oishi-35g-tu-3-tuoi-i2972400284.html</v>
      </c>
      <c r="C91" s="6" t="s">
        <v>91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4">
        <v>2259.0</v>
      </c>
      <c r="B92" s="5" t="str">
        <f>HYPERLINK("https://www.lazada.vn/products/hcm-keo-deo-haribo-gold-bears-hang-my-i2927737880.html", "https://www.lazada.vn/products/hcm-keo-deo-haribo-gold-bears-hang-my-i2927737880.html")</f>
        <v>https://www.lazada.vn/products/hcm-keo-deo-haribo-gold-bears-hang-my-i2927737880.html</v>
      </c>
      <c r="C92" s="6" t="s">
        <v>92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4">
        <v>2285.0</v>
      </c>
      <c r="B93" s="5" t="str">
        <f>HYPERLINK("https://www.lazada.vn/products/keo-sua-lac-da-kep-tao-do-tan-cuong-mix-hat-dieu-keo-tao-do-kep-hat-dieu-an-vat-492-i2924126224.html", "https://www.lazada.vn/products/keo-sua-lac-da-kep-tao-do-tan-cuong-mix-hat-dieu-keo-tao-do-kep-hat-dieu-an-vat-492-i2924126224.html")</f>
        <v>https://www.lazada.vn/products/keo-sua-lac-da-kep-tao-do-tan-cuong-mix-hat-dieu-keo-tao-do-kep-hat-dieu-an-vat-492-i2924126224.html</v>
      </c>
      <c r="C93" s="6" t="s">
        <v>93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4">
        <v>2318.0</v>
      </c>
      <c r="B94" s="5" t="str">
        <f>HYPERLINK("https://www.lazada.vn/products/snack-vi-bap-ngot-oishi-35g-tu-3-tuoi-i2972353414.html", "https://www.lazada.vn/products/snack-vi-bap-ngot-oishi-35g-tu-3-tuoi-i2972353414.html")</f>
        <v>https://www.lazada.vn/products/snack-vi-bap-ngot-oishi-35g-tu-3-tuoi-i2972353414.html</v>
      </c>
      <c r="C94" s="6" t="s">
        <v>94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4">
        <v>2325.0</v>
      </c>
      <c r="B95" s="5" t="str">
        <f>HYPERLINK("https://www.lazada.vn/products/bun-gao-lut-do-ly-tuong-500g-thuc-pham-dinh-duong-healthy-eatclean-an-kieng-giam-can-i3043096988.html", "https://www.lazada.vn/products/bun-gao-lut-do-ly-tuong-500g-thuc-pham-dinh-duong-healthy-eatclean-an-kieng-giam-can-i3043096988.html")</f>
        <v>https://www.lazada.vn/products/bun-gao-lut-do-ly-tuong-500g-thuc-pham-dinh-duong-healthy-eatclean-an-kieng-giam-can-i3043096988.html</v>
      </c>
      <c r="C95" s="6" t="s">
        <v>95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4">
        <v>2612.0</v>
      </c>
      <c r="B96" s="5" t="str">
        <f>HYPERLINK("https://www.lazada.vn/products/tui-500gr-suon-non-chay-tu-dau-nanh-cao-cap-dai-gion-thom-i2806036554.html", "https://www.lazada.vn/products/tui-500gr-suon-non-chay-tu-dau-nanh-cao-cap-dai-gion-thom-i2806036554.html")</f>
        <v>https://www.lazada.vn/products/tui-500gr-suon-non-chay-tu-dau-nanh-cao-cap-dai-gion-thom-i2806036554.html</v>
      </c>
      <c r="C96" s="6" t="s">
        <v>96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4">
        <v>2737.0</v>
      </c>
      <c r="B97" s="5" t="str">
        <f>HYPERLINK("https://www.lazada.vn/products/banh-nep-hotteok-nhan-pho-mai-mozzarella-pulmuone-600g-chi-giao-hcm-i2328082659.html", "https://www.lazada.vn/products/banh-nep-hotteok-nhan-pho-mai-mozzarella-pulmuone-600g-chi-giao-hcm-i2328082659.html")</f>
        <v>https://www.lazada.vn/products/banh-nep-hotteok-nhan-pho-mai-mozzarella-pulmuone-600g-chi-giao-hcm-i2328082659.html</v>
      </c>
      <c r="C97" s="6" t="s">
        <v>97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4">
        <v>2872.0</v>
      </c>
      <c r="B98" s="5" t="str">
        <f>HYPERLINK("https://www.lazada.vn/products/ruou-vang-trang-phap-domaine-de-la-clapiere-figuerette-nong-do-135-alc-750ml-nhap-khau-chinh-hang-i3020950730.html", "https://www.lazada.vn/products/ruou-vang-trang-phap-domaine-de-la-clapiere-figuerette-nong-do-135-alc-750ml-nhap-khau-chinh-hang-i3020950730.html")</f>
        <v>https://www.lazada.vn/products/ruou-vang-trang-phap-domaine-de-la-clapiere-figuerette-nong-do-135-alc-750ml-nhap-khau-chinh-hang-i3020950730.html</v>
      </c>
      <c r="C98" s="6" t="s">
        <v>98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4">
        <v>2946.0</v>
      </c>
      <c r="B99" s="5" t="str">
        <f>HYPERLINK("https://www.lazada.vn/products/banh-mi-sanwich-cha-bong-pho-mai-vela-combo-2-bich-i2910513672.html", "https://www.lazada.vn/products/banh-mi-sanwich-cha-bong-pho-mai-vela-combo-2-bich-i2910513672.html")</f>
        <v>https://www.lazada.vn/products/banh-mi-sanwich-cha-bong-pho-mai-vela-combo-2-bich-i2910513672.html</v>
      </c>
      <c r="C99" s="6" t="s">
        <v>99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4">
        <v>2987.0</v>
      </c>
      <c r="B100" s="5" t="str">
        <f>HYPERLINK("https://www.lazada.vn/products/cp-banh-bao-nhan-trung-sua-270g-i1538200124.html", "https://www.lazada.vn/products/cp-banh-bao-nhan-trung-sua-270g-i1538200124.html")</f>
        <v>https://www.lazada.vn/products/cp-banh-bao-nhan-trung-sua-270g-i1538200124.html</v>
      </c>
      <c r="C100" s="6" t="s">
        <v>100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4">
        <v>3039.0</v>
      </c>
      <c r="B101" s="5" t="str">
        <f>HYPERLINK("https://www.lazada.vn/products/tui-500g-keo-nuoc-ngot-mix-nhieu-vi-cocasodabo-hucstingcafechanh-muoi-sieu-ngon-i2928528531.html", "https://www.lazada.vn/products/tui-500g-keo-nuoc-ngot-mix-nhieu-vi-cocasodabo-hucstingcafechanh-muoi-sieu-ngon-i2928528531.html")</f>
        <v>https://www.lazada.vn/products/tui-500g-keo-nuoc-ngot-mix-nhieu-vi-cocasodabo-hucstingcafechanh-muoi-sieu-ngon-i2928528531.html</v>
      </c>
      <c r="C101" s="6" t="s">
        <v>101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4">
        <v>3064.0</v>
      </c>
      <c r="B102" s="5" t="str">
        <f>HYPERLINK("https://www.lazada.vn/products/remy-martin-xo-700ml_excellence-i2650383386.html", "https://www.lazada.vn/products/remy-martin-xo-700ml_excellence-i2650383386.html")</f>
        <v>https://www.lazada.vn/products/remy-martin-xo-700ml_excellence-i2650383386.html</v>
      </c>
      <c r="C102" s="6" t="s">
        <v>102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4">
        <v>3067.0</v>
      </c>
      <c r="B103" s="5" t="str">
        <f>HYPERLINK("https://www.lazada.vn/products/vang-trang-chile-g7-sauvignon-blanc-13-750ml-i2734051999.html", "https://www.lazada.vn/products/vang-trang-chile-g7-sauvignon-blanc-13-750ml-i2734051999.html")</f>
        <v>https://www.lazada.vn/products/vang-trang-chile-g7-sauvignon-blanc-13-750ml-i2734051999.html</v>
      </c>
      <c r="C103" s="6" t="s">
        <v>103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4">
        <v>3133.0</v>
      </c>
      <c r="B104" s="5" t="str">
        <f>HYPERLINK("https://www.lazada.vn/products/banh-phong-nep-nuoc-cot-dua-to-va-beo-50-cai-chua-nuong-i2239267362.html", "https://www.lazada.vn/products/banh-phong-nep-nuoc-cot-dua-to-va-beo-50-cai-chua-nuong-i2239267362.html")</f>
        <v>https://www.lazada.vn/products/banh-phong-nep-nuoc-cot-dua-to-va-beo-50-cai-chua-nuong-i2239267362.html</v>
      </c>
      <c r="C104" s="6" t="s">
        <v>104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4">
        <v>3141.0</v>
      </c>
      <c r="B105" s="5" t="str">
        <f>HYPERLINK("https://www.lazada.vn/products/special-pricesingg-poy-1-thung-bia-corny-khoa-khilong-ngat-ket-noi-cho-bia-nha-kieu-cornelius-i3059530048.html", "https://www.lazada.vn/products/special-pricesingg-poy-1-thung-bia-corny-khoa-khilong-ngat-ket-noi-cho-bia-nha-kieu-cornelius-i3059530048.html")</f>
        <v>https://www.lazada.vn/products/special-pricesingg-poy-1-thung-bia-corny-khoa-khilong-ngat-ket-noi-cho-bia-nha-kieu-cornelius-i3059530048.html</v>
      </c>
      <c r="C105" s="6" t="s">
        <v>105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4">
        <v>3221.0</v>
      </c>
      <c r="B106" s="5" t="str">
        <f>HYPERLINK("https://www.lazada.vn/products/bia-sanwald-hefe-weizen-49-duc-500ml-i3054769620.html", "https://www.lazada.vn/products/bia-sanwald-hefe-weizen-49-duc-500ml-i3054769620.html")</f>
        <v>https://www.lazada.vn/products/bia-sanwald-hefe-weizen-49-duc-500ml-i3054769620.html</v>
      </c>
      <c r="C106" s="6" t="s">
        <v>106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4">
        <v>3226.0</v>
      </c>
      <c r="B107" s="5" t="str">
        <f>HYPERLINK("https://www.lazada.vn/products/thung-bia-carlsberg-pilsner-24-lon-330ml-nong-do-48-i3054577004.html", "https://www.lazada.vn/products/thung-bia-carlsberg-pilsner-24-lon-330ml-nong-do-48-i3054577004.html")</f>
        <v>https://www.lazada.vn/products/thung-bia-carlsberg-pilsner-24-lon-330ml-nong-do-48-i3054577004.html</v>
      </c>
      <c r="C107" s="6" t="s">
        <v>107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4">
        <v>3265.0</v>
      </c>
      <c r="B108" s="5" t="str">
        <f>HYPERLINK("https://www.lazada.vn/products/trai-nhau-ngam-ruou-tri-dau-lung-gia-1-lit-i2314457888.html", "https://www.lazada.vn/products/trai-nhau-ngam-ruou-tri-dau-lung-gia-1-lit-i2314457888.html")</f>
        <v>https://www.lazada.vn/products/trai-nhau-ngam-ruou-tri-dau-lung-gia-1-lit-i2314457888.html</v>
      </c>
      <c r="C108" s="6" t="s">
        <v>108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4">
        <v>3409.0</v>
      </c>
      <c r="B109" s="5" t="str">
        <f>HYPERLINK("https://www.lazada.vn/products/so-chu-soju-han-quoc-jinro-grapefruit-13-360ml-vi-buoi-i2397222577.html", "https://www.lazada.vn/products/so-chu-soju-han-quoc-jinro-grapefruit-13-360ml-vi-buoi-i2397222577.html")</f>
        <v>https://www.lazada.vn/products/so-chu-soju-han-quoc-jinro-grapefruit-13-360ml-vi-buoi-i2397222577.html</v>
      </c>
      <c r="C109" s="6" t="s">
        <v>109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4">
        <v>3450.0</v>
      </c>
      <c r="B110" s="5" t="str">
        <f>HYPERLINK("https://www.lazada.vn/products/nong-do-43-thung-bia-lac-viet-330ml-x-24-lon-i3045670740.html", "https://www.lazada.vn/products/nong-do-43-thung-bia-lac-viet-330ml-x-24-lon-i3045670740.html")</f>
        <v>https://www.lazada.vn/products/nong-do-43-thung-bia-lac-viet-330ml-x-24-lon-i3045670740.html</v>
      </c>
      <c r="C110" s="6" t="s">
        <v>110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4">
        <v>3493.0</v>
      </c>
      <c r="B111" s="5" t="str">
        <f>HYPERLINK("https://www.lazada.vn/products/keo-kim-cuongkeo-dieu-uoc-vi-trai-cay-mix-i2908897682.html", "https://www.lazada.vn/products/keo-kim-cuongkeo-dieu-uoc-vi-trai-cay-mix-i2908897682.html")</f>
        <v>https://www.lazada.vn/products/keo-kim-cuongkeo-dieu-uoc-vi-trai-cay-mix-i2908897682.html</v>
      </c>
      <c r="C111" s="6" t="s">
        <v>111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4">
        <v>4404.0</v>
      </c>
      <c r="B112" s="5" t="str">
        <f>HYPERLINK("https://www.lazada.vn/products/bot-khoai-mon-king-bkb-gtp-chiet-le-100gram-i2819219081.html", "https://www.lazada.vn/products/bot-khoai-mon-king-bkb-gtp-chiet-le-100gram-i2819219081.html")</f>
        <v>https://www.lazada.vn/products/bot-khoai-mon-king-bkb-gtp-chiet-le-100gram-i2819219081.html</v>
      </c>
      <c r="C112" s="6" t="s">
        <v>112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4">
        <v>4524.0</v>
      </c>
      <c r="B113" s="5" t="str">
        <f>HYPERLINK("https://www.lazada.vn/products/cb-20-goi-mi-kokomi-mix-4-vi-canh-chua-bo-tomsuon-cay-40848-i3015752723.html", "https://www.lazada.vn/products/cb-20-goi-mi-kokomi-mix-4-vi-canh-chua-bo-tomsuon-cay-40848-i3015752723.html")</f>
        <v>https://www.lazada.vn/products/cb-20-goi-mi-kokomi-mix-4-vi-canh-chua-bo-tomsuon-cay-40848-i3015752723.html</v>
      </c>
      <c r="C113" s="6" t="s">
        <v>113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4">
        <v>4558.0</v>
      </c>
      <c r="B114" s="5" t="str">
        <f>HYPERLINK("https://www.lazada.vn/products/ledan-95sp-hoat-chat-cartap-goi-100gr-i2812225715.html", "https://www.lazada.vn/products/ledan-95sp-hoat-chat-cartap-goi-100gr-i2812225715.html")</f>
        <v>https://www.lazada.vn/products/ledan-95sp-hoat-chat-cartap-goi-100gr-i2812225715.html</v>
      </c>
      <c r="C114" s="6" t="s">
        <v>114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4">
        <v>4565.0</v>
      </c>
      <c r="B115" s="5" t="str">
        <f>HYPERLINK("https://www.lazada.vn/products/ga-rutin-chuan-f1-bao-no-10trung-tang-2-trung-i3060460471.html", "https://www.lazada.vn/products/ga-rutin-chuan-f1-bao-no-10trung-tang-2-trung-i3060460471.html")</f>
        <v>https://www.lazada.vn/products/ga-rutin-chuan-f1-bao-no-10trung-tang-2-trung-i3060460471.html</v>
      </c>
      <c r="C115" s="6" t="s">
        <v>115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4">
        <v>4568.0</v>
      </c>
      <c r="B116" s="5" t="str">
        <f>HYPERLINK("https://www.lazada.vn/products/ruou-vang-nhap-khau-vang-no-ruou-vang-y-bepin-de-eto-vaiss-extra-dry-750ml-11-i2480922689.html", "https://www.lazada.vn/products/ruou-vang-nhap-khau-vang-no-ruou-vang-y-bepin-de-eto-vaiss-extra-dry-750ml-11-i2480922689.html")</f>
        <v>https://www.lazada.vn/products/ruou-vang-nhap-khau-vang-no-ruou-vang-y-bepin-de-eto-vaiss-extra-dry-750ml-11-i2480922689.html</v>
      </c>
      <c r="C116" s="6" t="s">
        <v>116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4">
        <v>4579.0</v>
      </c>
      <c r="B117" s="5" t="str">
        <f>HYPERLINK("https://www.lazada.vn/products/nem-chua-hoang-viet-i2329367225.html", "https://www.lazada.vn/products/nem-chua-hoang-viet-i2329367225.html")</f>
        <v>https://www.lazada.vn/products/nem-chua-hoang-viet-i2329367225.html</v>
      </c>
      <c r="C117" s="6" t="s">
        <v>117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4">
        <v>4587.0</v>
      </c>
      <c r="B118" s="5" t="str">
        <f>HYPERLINK("https://www.lazada.vn/products/thach-no-cu-nang-vi-dau-1kg-i2784894353.html", "https://www.lazada.vn/products/thach-no-cu-nang-vi-dau-1kg-i2784894353.html")</f>
        <v>https://www.lazada.vn/products/thach-no-cu-nang-vi-dau-1kg-i2784894353.html</v>
      </c>
      <c r="C118" s="6" t="s">
        <v>118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4">
        <v>4591.0</v>
      </c>
      <c r="B119" s="5" t="str">
        <f>HYPERLINK("https://www.lazada.vn/products/200gr-tinh-bot-gung-gio-khong-duong-tuan-anh-dak-lak-chinh-hang-danh-cho-nguoi-kieng-duong-i2812165623.html", "https://www.lazada.vn/products/200gr-tinh-bot-gung-gio-khong-duong-tuan-anh-dak-lak-chinh-hang-danh-cho-nguoi-kieng-duong-i2812165623.html")</f>
        <v>https://www.lazada.vn/products/200gr-tinh-bot-gung-gio-khong-duong-tuan-anh-dak-lak-chinh-hang-danh-cho-nguoi-kieng-duong-i2812165623.html</v>
      </c>
      <c r="C119" s="6" t="s">
        <v>119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4">
        <v>4592.0</v>
      </c>
      <c r="B120" s="5" t="str">
        <f>HYPERLINK("https://www.lazada.vn/products/1kg-banh-sua-hao-hang-cao-capvi-truyen-thong-dac-san-ba-vi-hieu-con-bo-vangan-vat-an-lien-snack-food-i2897687207.html", "https://www.lazada.vn/products/1kg-banh-sua-hao-hang-cao-capvi-truyen-thong-dac-san-ba-vi-hieu-con-bo-vangan-vat-an-lien-snack-food-i2897687207.html")</f>
        <v>https://www.lazada.vn/products/1kg-banh-sua-hao-hang-cao-capvi-truyen-thong-dac-san-ba-vi-hieu-con-bo-vangan-vat-an-lien-snack-food-i2897687207.html</v>
      </c>
      <c r="C120" s="6" t="s">
        <v>120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4">
        <v>4598.0</v>
      </c>
      <c r="B121" s="5" t="str">
        <f>HYPERLINK("https://www.lazada.vn/products/thuc-pham-bo-sung-meiji-meibalance-125mlhop-i2587659367.html", "https://www.lazada.vn/products/thuc-pham-bo-sung-meiji-meibalance-125mlhop-i2587659367.html")</f>
        <v>https://www.lazada.vn/products/thuc-pham-bo-sung-meiji-meibalance-125mlhop-i2587659367.html</v>
      </c>
      <c r="C121" s="6" t="s">
        <v>121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4">
        <v>4608.0</v>
      </c>
      <c r="B122" s="5" t="str">
        <f>HYPERLINK("https://www.lazada.vn/products/buon-si-re-banh-in-nhan-dua-nondau-xanh-la-dua-ngon-re-i2862222996.html", "https://www.lazada.vn/products/buon-si-re-banh-in-nhan-dua-nondau-xanh-la-dua-ngon-re-i2862222996.html")</f>
        <v>https://www.lazada.vn/products/buon-si-re-banh-in-nhan-dua-nondau-xanh-la-dua-ngon-re-i2862222996.html</v>
      </c>
      <c r="C122" s="6" t="s">
        <v>122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4">
        <v>4609.0</v>
      </c>
      <c r="B123" s="5" t="str">
        <f>HYPERLINK("https://www.lazada.vn/products/top-ruou-vn-ruou-tequila-two-fingers-gold-silver-700ml-chinh-hang-i2428129966.html", "https://www.lazada.vn/products/top-ruou-vn-ruou-tequila-two-fingers-gold-silver-700ml-chinh-hang-i2428129966.html")</f>
        <v>https://www.lazada.vn/products/top-ruou-vn-ruou-tequila-two-fingers-gold-silver-700ml-chinh-hang-i2428129966.html</v>
      </c>
      <c r="C123" s="6" t="s">
        <v>123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4">
        <v>4610.0</v>
      </c>
      <c r="B124" s="5" t="str">
        <f>HYPERLINK("https://www.lazada.vn/products/qua-tang-khong-ban-trung-nguyen-legend-ca-phe-g7-hoa-tan-den-khong-duong-hop-15-goi-2gr-i2858225001.html", "https://www.lazada.vn/products/qua-tang-khong-ban-trung-nguyen-legend-ca-phe-g7-hoa-tan-den-khong-duong-hop-15-goi-2gr-i2858225001.html")</f>
        <v>https://www.lazada.vn/products/qua-tang-khong-ban-trung-nguyen-legend-ca-phe-g7-hoa-tan-den-khong-duong-hop-15-goi-2gr-i2858225001.html</v>
      </c>
      <c r="C124" s="6" t="s">
        <v>124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4">
        <v>4613.0</v>
      </c>
      <c r="B125" s="5" t="str">
        <f>HYPERLINK("https://www.lazada.vn/products/special-pricehitn-1-thung-bia-corny-khoa-khilong-ngat-ket-noi-cho-bia-nha-kieu-cornelius-i3042209980.html", "https://www.lazada.vn/products/special-pricehitn-1-thung-bia-corny-khoa-khilong-ngat-ket-noi-cho-bia-nha-kieu-cornelius-i3042209980.html")</f>
        <v>https://www.lazada.vn/products/special-pricehitn-1-thung-bia-corny-khoa-khilong-ngat-ket-noi-cho-bia-nha-kieu-cornelius-i3042209980.html</v>
      </c>
      <c r="C125" s="6" t="s">
        <v>125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4">
        <v>4621.0</v>
      </c>
      <c r="B126" s="5" t="str">
        <f>HYPERLINK("https://www.lazada.vn/products/1kg-banh-sua-hao-hang-cao-capmix-vi-dac-san-ba-vi-hieu-con-bo-vangan-vat-an-lien-snack-food-i2897643311.html", "https://www.lazada.vn/products/1kg-banh-sua-hao-hang-cao-capmix-vi-dac-san-ba-vi-hieu-con-bo-vangan-vat-an-lien-snack-food-i2897643311.html")</f>
        <v>https://www.lazada.vn/products/1kg-banh-sua-hao-hang-cao-capmix-vi-dac-san-ba-vi-hieu-con-bo-vangan-vat-an-lien-snack-food-i2897643311.html</v>
      </c>
      <c r="C126" s="7" t="s">
        <v>126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4">
        <v>4628.0</v>
      </c>
      <c r="B127" s="5" t="str">
        <f>HYPERLINK("https://www.lazada.vn/products/nestle-milo-nguyen-chat-dang-bot-hop-giay-285g-i2580194110.html", "https://www.lazada.vn/products/nestle-milo-nguyen-chat-dang-bot-hop-giay-285g-i2580194110.html")</f>
        <v>https://www.lazada.vn/products/nestle-milo-nguyen-chat-dang-bot-hop-giay-285g-i2580194110.html</v>
      </c>
      <c r="C127" s="6" t="s">
        <v>127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4">
        <v>4635.0</v>
      </c>
      <c r="B128" s="5" t="str">
        <f>HYPERLINK("https://www.lazada.vn/products/so-co-la-tiramisu-queenam-phu-hanh-nhan-hat-dieu-macca-i3000444455.html", "https://www.lazada.vn/products/so-co-la-tiramisu-queenam-phu-hanh-nhan-hat-dieu-macca-i3000444455.html")</f>
        <v>https://www.lazada.vn/products/so-co-la-tiramisu-queenam-phu-hanh-nhan-hat-dieu-macca-i3000444455.html</v>
      </c>
      <c r="C128" s="6" t="s">
        <v>128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4">
        <v>4640.0</v>
      </c>
      <c r="B129" s="5" t="str">
        <f>HYPERLINK("https://www.lazada.vn/products/muc-rim-me-05-kg-i2299045822.html", "https://www.lazada.vn/products/muc-rim-me-05-kg-i2299045822.html")</f>
        <v>https://www.lazada.vn/products/muc-rim-me-05-kg-i2299045822.html</v>
      </c>
      <c r="C129" s="6" t="s">
        <v>129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4">
        <v>4650.0</v>
      </c>
      <c r="B130" s="5" t="str">
        <f>HYPERLINK("https://www.lazada.vn/products/top-ruou-vn-ruou-rum-bacardi-700ml-chinh-hang-i2318062910.html", "https://www.lazada.vn/products/top-ruou-vn-ruou-rum-bacardi-700ml-chinh-hang-i2318062910.html")</f>
        <v>https://www.lazada.vn/products/top-ruou-vn-ruou-rum-bacardi-700ml-chinh-hang-i2318062910.html</v>
      </c>
      <c r="C130" s="6" t="s">
        <v>130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4">
        <v>4651.0</v>
      </c>
      <c r="B131" s="5" t="str">
        <f>HYPERLINK("https://www.lazada.vn/products/10-goi-ho-kaka-i1703170389.html", "https://www.lazada.vn/products/10-goi-ho-kaka-i1703170389.html")</f>
        <v>https://www.lazada.vn/products/10-goi-ho-kaka-i1703170389.html</v>
      </c>
      <c r="C131" s="6" t="s">
        <v>131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4">
        <v>4661.0</v>
      </c>
      <c r="B132" s="5" t="str">
        <f>HYPERLINK("https://www.lazada.vn/products/ruou-vang-trang-y-3-passo-bianco-bio-organic-i2458627523.html", "https://www.lazada.vn/products/ruou-vang-trang-y-3-passo-bianco-bio-organic-i2458627523.html")</f>
        <v>https://www.lazada.vn/products/ruou-vang-trang-y-3-passo-bianco-bio-organic-i2458627523.html</v>
      </c>
      <c r="C132" s="6" t="s">
        <v>132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4">
        <v>4675.0</v>
      </c>
      <c r="B133" s="5" t="str">
        <f>HYPERLINK("https://www.lazada.vn/products/thach-kombucha-500g-ho-tro-tieu-hoa-i2707816284.html", "https://www.lazada.vn/products/thach-kombucha-500g-ho-tro-tieu-hoa-i2707816284.html")</f>
        <v>https://www.lazada.vn/products/thach-kombucha-500g-ho-tro-tieu-hoa-i2707816284.html</v>
      </c>
      <c r="C133" s="6" t="s">
        <v>133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4">
        <v>4700.0</v>
      </c>
      <c r="B134" s="5" t="str">
        <f>HYPERLINK("https://www.lazada.vn/products/tren-18-tuoi-chinh-hang-ruou-tequila-jose-cuervo-especial-reposado-40-375ml-750ml-i2347798750.html", "https://www.lazada.vn/products/tren-18-tuoi-chinh-hang-ruou-tequila-jose-cuervo-especial-reposado-40-375ml-750ml-i2347798750.html")</f>
        <v>https://www.lazada.vn/products/tren-18-tuoi-chinh-hang-ruou-tequila-jose-cuervo-especial-reposado-40-375ml-750ml-i2347798750.html</v>
      </c>
      <c r="C134" s="6" t="s">
        <v>134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4">
        <v>4705.0</v>
      </c>
      <c r="B135" s="5" t="str">
        <f>HYPERLINK("https://www.lazada.vn/products/banh-quy-tron-nhat-ban-ngot-banh-quy-pho-mai-man-banh-quy-gion-dung-cu-nuong-nguyen-lieu-100g-thuong-hieu-yujiji-i2965725429.html", "https://www.lazada.vn/products/banh-quy-tron-nhat-ban-ngot-banh-quy-pho-mai-man-banh-quy-gion-dung-cu-nuong-nguyen-lieu-100g-thuong-hieu-yujiji-i2965725429.html")</f>
        <v>https://www.lazada.vn/products/banh-quy-tron-nhat-ban-ngot-banh-quy-pho-mai-man-banh-quy-gion-dung-cu-nuong-nguyen-lieu-100g-thuong-hieu-yujiji-i2965725429.html</v>
      </c>
      <c r="C135" s="6" t="s">
        <v>135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4">
        <v>4717.0</v>
      </c>
      <c r="B136" s="5" t="str">
        <f>HYPERLINK("https://www.lazada.vn/products/10-hop-banh-que-cham-socola-i2539997806.html", "https://www.lazada.vn/products/10-hop-banh-que-cham-socola-i2539997806.html")</f>
        <v>https://www.lazada.vn/products/10-hop-banh-que-cham-socola-i2539997806.html</v>
      </c>
      <c r="C136" s="6" t="s">
        <v>136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4">
        <v>4751.0</v>
      </c>
      <c r="B137" s="5" t="str">
        <f>HYPERLINK("https://www.lazada.vn/products/huy-mo-giam-can-detox-dr-buoi-vip-x2-lo-60v-chinh-hang-i2249562587.html", "https://www.lazada.vn/products/huy-mo-giam-can-detox-dr-buoi-vip-x2-lo-60v-chinh-hang-i2249562587.html")</f>
        <v>https://www.lazada.vn/products/huy-mo-giam-can-detox-dr-buoi-vip-x2-lo-60v-chinh-hang-i2249562587.html</v>
      </c>
      <c r="C137" s="6" t="s">
        <v>137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4">
        <v>4792.0</v>
      </c>
      <c r="B138" s="5" t="str">
        <f>HYPERLINK("https://www.lazada.vn/products/chinh-hang-combo-5-thanh-socola-feastables-mrbeast-keo-i2976249371.html", "https://www.lazada.vn/products/chinh-hang-combo-5-thanh-socola-feastables-mrbeast-keo-i2976249371.html")</f>
        <v>https://www.lazada.vn/products/chinh-hang-combo-5-thanh-socola-feastables-mrbeast-keo-i2976249371.html</v>
      </c>
      <c r="C138" s="6" t="s">
        <v>138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4">
        <v>4929.0</v>
      </c>
      <c r="B139" s="5" t="str">
        <f>HYPERLINK("https://www.lazada.vn/products/coffee-hoa-tan-ca-phe-hoa-tan-3-in-1-kopiko-macchiato-thai-lan-24g-x-20goi-480g-gia-re-i2832351372.html", "https://www.lazada.vn/products/coffee-hoa-tan-ca-phe-hoa-tan-3-in-1-kopiko-macchiato-thai-lan-24g-x-20goi-480g-gia-re-i2832351372.html")</f>
        <v>https://www.lazada.vn/products/coffee-hoa-tan-ca-phe-hoa-tan-3-in-1-kopiko-macchiato-thai-lan-24g-x-20goi-480g-gia-re-i2832351372.html</v>
      </c>
      <c r="C139" s="6" t="s">
        <v>139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4">
        <v>4972.0</v>
      </c>
      <c r="B140" s="5" t="str">
        <f>HYPERLINK("https://www.lazada.vn/products/combo-5-goi-bot-la-suong-sam-tong-kho-nguyen-lieu-gia-si-i2798862348.html", "https://www.lazada.vn/products/combo-5-goi-bot-la-suong-sam-tong-kho-nguyen-lieu-gia-si-i2798862348.html")</f>
        <v>https://www.lazada.vn/products/combo-5-goi-bot-la-suong-sam-tong-kho-nguyen-lieu-gia-si-i2798862348.html</v>
      </c>
      <c r="C140" s="6" t="s">
        <v>140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4">
        <v>4974.0</v>
      </c>
      <c r="B141" s="5" t="str">
        <f>HYPERLINK("https://www.lazada.vn/products/shop-khanh-ha-bacardi-gold-rum-chai700ml-40-i2024940343.html", "https://www.lazada.vn/products/shop-khanh-ha-bacardi-gold-rum-chai700ml-40-i2024940343.html")</f>
        <v>https://www.lazada.vn/products/shop-khanh-ha-bacardi-gold-rum-chai700ml-40-i2024940343.html</v>
      </c>
      <c r="C141" s="6" t="s">
        <v>141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4">
        <v>4985.0</v>
      </c>
      <c r="B142" s="5" t="str">
        <f>HYPERLINK("https://www.lazada.vn/products/nuoc-ngot-co-ga-sprite-chai-300ml-i2679745279.html", "https://www.lazada.vn/products/nuoc-ngot-co-ga-sprite-chai-300ml-i2679745279.html")</f>
        <v>https://www.lazada.vn/products/nuoc-ngot-co-ga-sprite-chai-300ml-i2679745279.html</v>
      </c>
      <c r="C142" s="6" t="s">
        <v>142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4">
        <v>4988.0</v>
      </c>
      <c r="B143" s="5" t="str">
        <f>HYPERLINK("https://www.lazada.vn/products/mi-cay-7-cap-do-an-lien-90g-chuan-kieu-han-quoc-i3002987611.html", "https://www.lazada.vn/products/mi-cay-7-cap-do-an-lien-90g-chuan-kieu-han-quoc-i3002987611.html")</f>
        <v>https://www.lazada.vn/products/mi-cay-7-cap-do-an-lien-90g-chuan-kieu-han-quoc-i3002987611.html</v>
      </c>
      <c r="C143" s="6" t="s">
        <v>143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4">
        <v>4990.0</v>
      </c>
      <c r="B144" s="5" t="str">
        <f>HYPERLINK("https://www.lazada.vn/products/trung-muoi-vit-bien-trung-quoc-trung-vit-bien-muoi-bac-hai-thom-ngon-goi-60g-i2845307761.html", "https://www.lazada.vn/products/trung-muoi-vit-bien-trung-quoc-trung-vit-bien-muoi-bac-hai-thom-ngon-goi-60g-i2845307761.html")</f>
        <v>https://www.lazada.vn/products/trung-muoi-vit-bien-trung-quoc-trung-vit-bien-muoi-bac-hai-thom-ngon-goi-60g-i2845307761.html</v>
      </c>
      <c r="C144" s="6" t="s">
        <v>144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8">
        <v>4999.0</v>
      </c>
      <c r="B145" s="9" t="str">
        <f>HYPERLINK("https://www.lazada.vn/products/bot-cao-quy-linh-tui-12-goi-nho-i2798857394.html", "https://www.lazada.vn/products/bot-cao-quy-linh-tui-12-goi-nho-i2798857394.html")</f>
        <v>https://www.lazada.vn/products/bot-cao-quy-linh-tui-12-goi-nho-i2798857394.html</v>
      </c>
      <c r="C145" s="10" t="s">
        <v>145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8">
        <v>5000.0</v>
      </c>
      <c r="B146" s="9" t="str">
        <f>HYPERLINK("https://www.lazada.vn/products/combo-10-goi-mi-cay-nissin-goi-68-gr-vi-sup-cay-han-quoc-i1570133736.html", "https://www.lazada.vn/products/combo-10-goi-mi-cay-nissin-goi-68-gr-vi-sup-cay-han-quoc-i1570133736.html")</f>
        <v>https://www.lazada.vn/products/combo-10-goi-mi-cay-nissin-goi-68-gr-vi-sup-cay-han-quoc-i1570133736.html</v>
      </c>
      <c r="C146" s="10" t="s">
        <v>146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8">
        <v>5001.0</v>
      </c>
      <c r="B147" s="9" t="str">
        <f>HYPERLINK("https://www.lazada.vn/products/banh-quy-rong-ca-hop-thiec-tron-trang-tri-tet_-levansoi-mart-i2538659884.html", "https://www.lazada.vn/products/banh-quy-rong-ca-hop-thiec-tron-trang-tri-tet_-levansoi-mart-i2538659884.html")</f>
        <v>https://www.lazada.vn/products/banh-quy-rong-ca-hop-thiec-tron-trang-tri-tet_-levansoi-mart-i2538659884.html</v>
      </c>
      <c r="C147" s="10" t="s">
        <v>147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8">
        <v>5002.0</v>
      </c>
      <c r="B148" s="9" t="str">
        <f>HYPERLINK("https://www.lazada.vn/products/pengyao-1-thung-bia-corny-khoa-khilong-ngat-ket-noi-cho-bia-nha-kieu-cornelius-i3037818967.html", "https://www.lazada.vn/products/pengyao-1-thung-bia-corny-khoa-khilong-ngat-ket-noi-cho-bia-nha-kieu-cornelius-i3037818967.html")</f>
        <v>https://www.lazada.vn/products/pengyao-1-thung-bia-corny-khoa-khilong-ngat-ket-noi-cho-bia-nha-kieu-cornelius-i3037818967.html</v>
      </c>
      <c r="C148" s="10" t="s">
        <v>148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8">
        <v>5003.0</v>
      </c>
      <c r="B149" s="9" t="str">
        <f>HYPERLINK("https://www.lazada.vn/products/400g-banh-lo-tai-heo-i1689677741.html", "https://www.lazada.vn/products/400g-banh-lo-tai-heo-i1689677741.html")</f>
        <v>https://www.lazada.vn/products/400g-banh-lo-tai-heo-i1689677741.html</v>
      </c>
      <c r="C149" s="10" t="s">
        <v>149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8">
        <v>5004.0</v>
      </c>
      <c r="B150" s="9" t="str">
        <f>HYPERLINK("https://www.lazada.vn/products/ruou-captain-morgan-dark-40-750ml-ruou-rum-cao-cap-huong-vi-truyen-thong-manh-me-i2404036594.html", "https://www.lazada.vn/products/ruou-captain-morgan-dark-40-750ml-ruou-rum-cao-cap-huong-vi-truyen-thong-manh-me-i2404036594.html")</f>
        <v>https://www.lazada.vn/products/ruou-captain-morgan-dark-40-750ml-ruou-rum-cao-cap-huong-vi-truyen-thong-manh-me-i2404036594.html</v>
      </c>
      <c r="C150" s="10" t="s">
        <v>150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8">
        <v>5005.0</v>
      </c>
      <c r="B151" s="9" t="str">
        <f>HYPERLINK("https://www.lazada.vn/products/moi-snack-masita-orion-4-lop-vi-bap-bo-kieu-han-quoc-60gr-i2916087558.html", "https://www.lazada.vn/products/moi-snack-masita-orion-4-lop-vi-bap-bo-kieu-han-quoc-60gr-i2916087558.html")</f>
        <v>https://www.lazada.vn/products/moi-snack-masita-orion-4-lop-vi-bap-bo-kieu-han-quoc-60gr-i2916087558.html</v>
      </c>
      <c r="C151" s="10" t="s">
        <v>151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8">
        <v>5006.0</v>
      </c>
      <c r="B152" s="9" t="str">
        <f>HYPERLINK("https://www.lazada.vn/products/thung-24-lon-nuoc-tang-luc-sting-huong-dau-320ml-i2692990545.html", "https://www.lazada.vn/products/thung-24-lon-nuoc-tang-luc-sting-huong-dau-320ml-i2692990545.html")</f>
        <v>https://www.lazada.vn/products/thung-24-lon-nuoc-tang-luc-sting-huong-dau-320ml-i2692990545.html</v>
      </c>
      <c r="C152" s="10" t="s">
        <v>152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8">
        <v>5007.0</v>
      </c>
      <c r="B153" s="9" t="str">
        <f>HYPERLINK("https://www.lazada.vn/products/socola-tuoi-meiji-meltykiss-56g-melty-kiss-vi-vani-tra-xanh-dau-tay-caramen-noi-dia-nhat-ban-i2969356346.html", "https://www.lazada.vn/products/socola-tuoi-meiji-meltykiss-56g-melty-kiss-vi-vani-tra-xanh-dau-tay-caramen-noi-dia-nhat-ban-i2969356346.html")</f>
        <v>https://www.lazada.vn/products/socola-tuoi-meiji-meltykiss-56g-melty-kiss-vi-vani-tra-xanh-dau-tay-caramen-noi-dia-nhat-ban-i2969356346.html</v>
      </c>
      <c r="C153" s="10" t="s">
        <v>153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8">
        <v>5008.0</v>
      </c>
      <c r="B154" s="9" t="str">
        <f>HYPERLINK("https://www.lazada.vn/products/2kg-atiso-do-ngam-duong-phen-dang-long-co-hoa-siro-syrup-i2771661115.html", "https://www.lazada.vn/products/2kg-atiso-do-ngam-duong-phen-dang-long-co-hoa-siro-syrup-i2771661115.html")</f>
        <v>https://www.lazada.vn/products/2kg-atiso-do-ngam-duong-phen-dang-long-co-hoa-siro-syrup-i2771661115.html</v>
      </c>
      <c r="C154" s="10" t="s">
        <v>154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8">
        <v>5009.0</v>
      </c>
      <c r="B155" s="9" t="str">
        <f>HYPERLINK("https://www.lazada.vn/products/nuoc-ngot-co-ga-fanta-cam-lon-320ml-i2679745277.html", "https://www.lazada.vn/products/nuoc-ngot-co-ga-fanta-cam-lon-320ml-i2679745277.html")</f>
        <v>https://www.lazada.vn/products/nuoc-ngot-co-ga-fanta-cam-lon-320ml-i2679745277.html</v>
      </c>
      <c r="C155" s="10" t="s">
        <v>155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8">
        <v>5010.0</v>
      </c>
      <c r="B156" s="9" t="str">
        <f>HYPERLINK("https://www.lazada.vn/products/dr-buoi-vip-x2-giam-cangiam-mo-bung-dao-thai-mo-thua-hieu-qua-hop-60-vien-tem-cao-chinh-hang-i2200531134.html", "https://www.lazada.vn/products/dr-buoi-vip-x2-giam-cangiam-mo-bung-dao-thai-mo-thua-hieu-qua-hop-60-vien-tem-cao-chinh-hang-i2200531134.html")</f>
        <v>https://www.lazada.vn/products/dr-buoi-vip-x2-giam-cangiam-mo-bung-dao-thai-mo-thua-hieu-qua-hop-60-vien-tem-cao-chinh-hang-i2200531134.html</v>
      </c>
      <c r="C156" s="10" t="s">
        <v>156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8">
        <v>5011.0</v>
      </c>
      <c r="B157" s="9" t="str">
        <f>HYPERLINK("https://www.lazada.vn/products/goi-250g-banh-trang-tay-ninh-tron-san-banh-trang-tay-ninh-du-vi-an-vat-ngon-lac-lu-toi-dau-xike-sa-te-pho-mai-rong-bien-i2849593416.html", "https://www.lazada.vn/products/goi-250g-banh-trang-tay-ninh-tron-san-banh-trang-tay-ninh-du-vi-an-vat-ngon-lac-lu-toi-dau-xike-sa-te-pho-mai-rong-bien-i2849593416.html")</f>
        <v>https://www.lazada.vn/products/goi-250g-banh-trang-tay-ninh-tron-san-banh-trang-tay-ninh-du-vi-an-vat-ngon-lac-lu-toi-dau-xike-sa-te-pho-mai-rong-bien-i2849593416.html</v>
      </c>
      <c r="C157" s="10" t="s">
        <v>157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8">
        <v>5012.0</v>
      </c>
      <c r="B158" s="9" t="str">
        <f>HYPERLINK("https://www.lazada.vn/products/tren-18-tuoi-chinh-hang-ruou-tequila-jose-cuervo-especial-silver-40-750ml-i2347850622.html", "https://www.lazada.vn/products/tren-18-tuoi-chinh-hang-ruou-tequila-jose-cuervo-especial-silver-40-750ml-i2347850622.html")</f>
        <v>https://www.lazada.vn/products/tren-18-tuoi-chinh-hang-ruou-tequila-jose-cuervo-especial-silver-40-750ml-i2347850622.html</v>
      </c>
      <c r="C158" s="10" t="s">
        <v>158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8">
        <v>5013.0</v>
      </c>
      <c r="B159" s="9" t="str">
        <f>HYPERLINK("https://www.lazada.vn/products/keo-chuoi-cuon-dau-phong-250g-500g-1-kg-i2881285820.html", "https://www.lazada.vn/products/keo-chuoi-cuon-dau-phong-250g-500g-1-kg-i2881285820.html")</f>
        <v>https://www.lazada.vn/products/keo-chuoi-cuon-dau-phong-250g-500g-1-kg-i2881285820.html</v>
      </c>
      <c r="C159" s="10" t="s">
        <v>159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8">
        <v>5014.0</v>
      </c>
      <c r="B160" s="9" t="str">
        <f>HYPERLINK("https://www.lazada.vn/products/moi-vang-interiore-vino-rosso-750ml-y-i2967077232.html", "https://www.lazada.vn/products/moi-vang-interiore-vino-rosso-750ml-y-i2967077232.html")</f>
        <v>https://www.lazada.vn/products/moi-vang-interiore-vino-rosso-750ml-y-i2967077232.html</v>
      </c>
      <c r="C160" s="10" t="s">
        <v>160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8">
        <v>5015.0</v>
      </c>
      <c r="B161" s="9" t="str">
        <f>HYPERLINK("https://www.lazada.vn/products/thach-dai-headway-huong-trai-cay-hinh-chai-nuoc-ngo-nghinh-thom-ngon-chua-ngot-da-dang-nhieu-vi-tui-480g-i2678607213.html", "https://www.lazada.vn/products/thach-dai-headway-huong-trai-cay-hinh-chai-nuoc-ngo-nghinh-thom-ngon-chua-ngot-da-dang-nhieu-vi-tui-480g-i2678607213.html")</f>
        <v>https://www.lazada.vn/products/thach-dai-headway-huong-trai-cay-hinh-chai-nuoc-ngo-nghinh-thom-ngon-chua-ngot-da-dang-nhieu-vi-tui-480g-i2678607213.html</v>
      </c>
      <c r="C161" s="10" t="s">
        <v>161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8">
        <v>5016.0</v>
      </c>
      <c r="B162" s="9" t="str">
        <f>HYPERLINK("https://www.lazada.vn/products/ruou-vang-y-carugate-san-michele-i2400464545.html", "https://www.lazada.vn/products/ruou-vang-y-carugate-san-michele-i2400464545.html")</f>
        <v>https://www.lazada.vn/products/ruou-vang-y-carugate-san-michele-i2400464545.html</v>
      </c>
      <c r="C162" s="10" t="s">
        <v>162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8">
        <v>5017.0</v>
      </c>
      <c r="B163" s="9" t="str">
        <f>HYPERLINK("https://www.lazada.vn/products/set-qua-tang-2-chai-sake-nishino-seki-junmaishu-720-ml-i2803413822.html", "https://www.lazada.vn/products/set-qua-tang-2-chai-sake-nishino-seki-junmaishu-720-ml-i2803413822.html")</f>
        <v>https://www.lazada.vn/products/set-qua-tang-2-chai-sake-nishino-seki-junmaishu-720-ml-i2803413822.html</v>
      </c>
      <c r="C163" s="10" t="s">
        <v>163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8">
        <v>5018.0</v>
      </c>
      <c r="B164" s="9" t="str">
        <f>HYPERLINK("https://www.lazada.vn/products/khoai-say-deo-500g-1kg-i2924841041.html", "https://www.lazada.vn/products/khoai-say-deo-500g-1kg-i2924841041.html")</f>
        <v>https://www.lazada.vn/products/khoai-say-deo-500g-1kg-i2924841041.html</v>
      </c>
      <c r="C164" s="10" t="s">
        <v>164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8">
        <v>5019.0</v>
      </c>
      <c r="B165" s="9" t="str">
        <f>HYPERLINK("https://www.lazada.vn/products/combo-2-hop-ca-phe-dong-trung-linh-chi-nhat-kim-anh-ca-phe-hoa-tan-laura-coffee-hop-10-goi-i2831251734.html", "https://www.lazada.vn/products/combo-2-hop-ca-phe-dong-trung-linh-chi-nhat-kim-anh-ca-phe-hoa-tan-laura-coffee-hop-10-goi-i2831251734.html")</f>
        <v>https://www.lazada.vn/products/combo-2-hop-ca-phe-dong-trung-linh-chi-nhat-kim-anh-ca-phe-hoa-tan-laura-coffee-hop-10-goi-i2831251734.html</v>
      </c>
      <c r="C165" s="10" t="s">
        <v>165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8">
        <v>5020.0</v>
      </c>
      <c r="B166" s="9" t="str">
        <f>HYPERLINK("https://www.lazada.vn/products/thung-30-goi-mi-hao-hao-tom-chua-cay-75g-i3002453632.html", "https://www.lazada.vn/products/thung-30-goi-mi-hao-hao-tom-chua-cay-75g-i3002453632.html")</f>
        <v>https://www.lazada.vn/products/thung-30-goi-mi-hao-hao-tom-chua-cay-75g-i3002453632.html</v>
      </c>
      <c r="C166" s="10" t="s">
        <v>166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8">
        <v>5021.0</v>
      </c>
      <c r="B167" s="9" t="str">
        <f>HYPERLINK("https://www.lazada.vn/products/bot-milo-day-10-goi-x-22g-bich-1kg-i2537712225.html", "https://www.lazada.vn/products/bot-milo-day-10-goi-x-22g-bich-1kg-i2537712225.html")</f>
        <v>https://www.lazada.vn/products/bot-milo-day-10-goi-x-22g-bich-1kg-i2537712225.html</v>
      </c>
      <c r="C167" s="10" t="s">
        <v>167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8">
        <v>5022.0</v>
      </c>
      <c r="B168" s="9" t="str">
        <f>HYPERLINK("https://www.lazada.vn/products/banh-pia-kim-sa-dau-xanh-trung-muoi-tan-chay-tan-hue-vien-12-cai-nho-tui-480g-i2843000166.html", "https://www.lazada.vn/products/banh-pia-kim-sa-dau-xanh-trung-muoi-tan-chay-tan-hue-vien-12-cai-nho-tui-480g-i2843000166.html")</f>
        <v>https://www.lazada.vn/products/banh-pia-kim-sa-dau-xanh-trung-muoi-tan-chay-tan-hue-vien-12-cai-nho-tui-480g-i2843000166.html</v>
      </c>
      <c r="C168" s="10" t="s">
        <v>168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8">
        <v>5023.0</v>
      </c>
      <c r="B169" s="9" t="str">
        <f>HYPERLINK("https://www.lazada.vn/products/nuoc-cot-dua-wonderfarm-160ml-lon-nho-ca-phe-dua-nguyen-lieu-nau-che-kho-pha-che-da-nang-i2908624746.html", "https://www.lazada.vn/products/nuoc-cot-dua-wonderfarm-160ml-lon-nho-ca-phe-dua-nguyen-lieu-nau-che-kho-pha-che-da-nang-i2908624746.html")</f>
        <v>https://www.lazada.vn/products/nuoc-cot-dua-wonderfarm-160ml-lon-nho-ca-phe-dua-nguyen-lieu-nau-che-kho-pha-che-da-nang-i2908624746.html</v>
      </c>
      <c r="C169" s="10" t="s">
        <v>169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8">
        <v>5024.0</v>
      </c>
      <c r="B170" s="9" t="str">
        <f>HYPERLINK("https://www.lazada.vn/products/date-moi-banh-quy-gion-mix-hat-dinh-duong-banh-quy-hat-nagano-nut-cake-hop-390g-45c-banh-hat-dieu-i2957743248.html", "https://www.lazada.vn/products/date-moi-banh-quy-gion-mix-hat-dinh-duong-banh-quy-hat-nagano-nut-cake-hop-390g-45c-banh-hat-dieu-i2957743248.html")</f>
        <v>https://www.lazada.vn/products/date-moi-banh-quy-gion-mix-hat-dinh-duong-banh-quy-hat-nagano-nut-cake-hop-390g-45c-banh-hat-dieu-i2957743248.html</v>
      </c>
      <c r="C170" s="10" t="s">
        <v>170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8">
        <v>5025.0</v>
      </c>
      <c r="B171" s="9" t="str">
        <f>HYPERLINK("https://www.lazada.vn/products/snack-lays-lon-103g-du-vi-i2916065282.html", "https://www.lazada.vn/products/snack-lays-lon-103g-du-vi-i2916065282.html")</f>
        <v>https://www.lazada.vn/products/snack-lays-lon-103g-du-vi-i2916065282.html</v>
      </c>
      <c r="C171" s="10" t="s">
        <v>171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8">
        <v>5026.0</v>
      </c>
      <c r="B172" s="9" t="str">
        <f>HYPERLINK("https://www.lazada.vn/products/bot-chuoi-xanh-say-lanh-viagriho-tro-giam-cancai-thien-suc-khoe-duong-ruot-i2798571107.html", "https://www.lazada.vn/products/bot-chuoi-xanh-say-lanh-viagriho-tro-giam-cancai-thien-suc-khoe-duong-ruot-i2798571107.html")</f>
        <v>https://www.lazada.vn/products/bot-chuoi-xanh-say-lanh-viagriho-tro-giam-cancai-thien-suc-khoe-duong-ruot-i2798571107.html</v>
      </c>
      <c r="C172" s="10" t="s">
        <v>172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8">
        <v>5027.0</v>
      </c>
      <c r="B173" s="9" t="str">
        <f>HYPERLINK("https://www.lazada.vn/products/baoxue-1-thung-bia-corny-khoa-khilong-ngat-ket-noi-cho-bia-nha-kieu-cornelius-i3037813637.html", "https://www.lazada.vn/products/baoxue-1-thung-bia-corny-khoa-khilong-ngat-ket-noi-cho-bia-nha-kieu-cornelius-i3037813637.html")</f>
        <v>https://www.lazada.vn/products/baoxue-1-thung-bia-corny-khoa-khilong-ngat-ket-noi-cho-bia-nha-kieu-cornelius-i3037813637.html</v>
      </c>
      <c r="C173" s="10" t="s">
        <v>173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8">
        <v>5028.0</v>
      </c>
      <c r="B174" s="9" t="str">
        <f>HYPERLINK("https://www.lazada.vn/products/combo-10-goi-mi-tron-indo-vi-cay-nong-i1569063031.html", "https://www.lazada.vn/products/combo-10-goi-mi-tron-indo-vi-cay-nong-i1569063031.html")</f>
        <v>https://www.lazada.vn/products/combo-10-goi-mi-tron-indo-vi-cay-nong-i1569063031.html</v>
      </c>
      <c r="C174" s="10" t="s">
        <v>174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8">
        <v>5029.0</v>
      </c>
      <c r="B175" s="9" t="str">
        <f>HYPERLINK("https://www.lazada.vn/products/loc-6-lon-nuoc-tang-luc-sting-huong-dau-320ml-i2692979571.html", "https://www.lazada.vn/products/loc-6-lon-nuoc-tang-luc-sting-huong-dau-320ml-i2692979571.html")</f>
        <v>https://www.lazada.vn/products/loc-6-lon-nuoc-tang-luc-sting-huong-dau-320ml-i2692979571.html</v>
      </c>
      <c r="C175" s="10" t="s">
        <v>175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8">
        <v>5030.0</v>
      </c>
      <c r="B176" s="9" t="str">
        <f>HYPERLINK("https://www.lazada.vn/products/chocolate-keo-trung-meiji-snow-kiss-33g-hop-qua-tang-huong-ca-phe-chon-qua-tang-ngay-le-tinh-nhan-trung-quoc-dai-luc-hat-tron-i2967459459.html", "https://www.lazada.vn/products/chocolate-keo-trung-meiji-snow-kiss-33g-hop-qua-tang-huong-ca-phe-chon-qua-tang-ngay-le-tinh-nhan-trung-quoc-dai-luc-hat-tron-i2967459459.html")</f>
        <v>https://www.lazada.vn/products/chocolate-keo-trung-meiji-snow-kiss-33g-hop-qua-tang-huong-ca-phe-chon-qua-tang-ngay-le-tinh-nhan-trung-quoc-dai-luc-hat-tron-i2967459459.html</v>
      </c>
      <c r="C176" s="10" t="s">
        <v>176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8">
        <v>5031.0</v>
      </c>
      <c r="B177" s="9" t="str">
        <f>HYPERLINK("https://www.lazada.vn/products/1kg-atiso-do-ngam-duong-phen-dang-long-co-hoa-siro-syrup-da-i2771518376.html", "https://www.lazada.vn/products/1kg-atiso-do-ngam-duong-phen-dang-long-co-hoa-siro-syrup-da-i2771518376.html")</f>
        <v>https://www.lazada.vn/products/1kg-atiso-do-ngam-duong-phen-dang-long-co-hoa-siro-syrup-da-i2771518376.html</v>
      </c>
      <c r="C177" s="10" t="s">
        <v>177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8">
        <v>5032.0</v>
      </c>
      <c r="B178" s="9" t="str">
        <f>HYPERLINK("https://www.lazada.vn/products/combo-10-goi-banh-trang-mini-soi-deo-muoi-nhuyen-an-vat-ngon-lac-lu-i2849542963.html", "https://www.lazada.vn/products/combo-10-goi-banh-trang-mini-soi-deo-muoi-nhuyen-an-vat-ngon-lac-lu-i2849542963.html")</f>
        <v>https://www.lazada.vn/products/combo-10-goi-banh-trang-mini-soi-deo-muoi-nhuyen-an-vat-ngon-lac-lu-i2849542963.html</v>
      </c>
      <c r="C178" s="10" t="s">
        <v>178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8">
        <v>5033.0</v>
      </c>
      <c r="B179" s="9" t="str">
        <f>HYPERLINK("https://www.lazada.vn/products/banh-pia-can-xai-khong-trung-my-hiep-thanh-hop-4-cai-330g-dac-san-vung-thom-soc-trang-i2842979052.html", "https://www.lazada.vn/products/banh-pia-can-xai-khong-trung-my-hiep-thanh-hop-4-cai-330g-dac-san-vung-thom-soc-trang-i2842979052.html")</f>
        <v>https://www.lazada.vn/products/banh-pia-can-xai-khong-trung-my-hiep-thanh-hop-4-cai-330g-dac-san-vung-thom-soc-trang-i2842979052.html</v>
      </c>
      <c r="C179" s="10" t="s">
        <v>179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8">
        <v>5034.0</v>
      </c>
      <c r="B180" s="9" t="str">
        <f>HYPERLINK("https://www.lazada.vn/products/thach-hut-huong-trai-cay-headway-vina-ket-hop-huong-trai-cay-sieu-bung-vi-thom-ngon-tui-850g-i2678576574.html", "https://www.lazada.vn/products/thach-hut-huong-trai-cay-headway-vina-ket-hop-huong-trai-cay-sieu-bung-vi-thom-ngon-tui-850g-i2678576574.html")</f>
        <v>https://www.lazada.vn/products/thach-hut-huong-trai-cay-headway-vina-ket-hop-huong-trai-cay-sieu-bung-vi-thom-ngon-tui-850g-i2678576574.html</v>
      </c>
      <c r="C180" s="10" t="s">
        <v>180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8">
        <v>5035.0</v>
      </c>
      <c r="B181" s="9" t="str">
        <f>HYPERLINK("https://www.lazada.vn/products/nuoc-ngot-co-ga-sprite-chai-185l-i2679728250.html", "https://www.lazada.vn/products/nuoc-ngot-co-ga-sprite-chai-185l-i2679728250.html")</f>
        <v>https://www.lazada.vn/products/nuoc-ngot-co-ga-sprite-chai-185l-i2679728250.html</v>
      </c>
      <c r="C181" s="10" t="s">
        <v>181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8">
        <v>5036.0</v>
      </c>
      <c r="B182" s="9" t="str">
        <f>HYPERLINK("https://www.lazada.vn/products/thung-12-hop-mi-bo-kho-master-kong-goi-thuong-i3001865277.html", "https://www.lazada.vn/products/thung-12-hop-mi-bo-kho-master-kong-goi-thuong-i3001865277.html")</f>
        <v>https://www.lazada.vn/products/thung-12-hop-mi-bo-kho-master-kong-goi-thuong-i3001865277.html</v>
      </c>
      <c r="C182" s="10" t="s">
        <v>182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8">
        <v>5037.0</v>
      </c>
      <c r="B183" s="9" t="str">
        <f>HYPERLINK("https://www.lazada.vn/products/keo-sap-mix-nhieu-vi-100g-250g-500g-i2880744466.html", "https://www.lazada.vn/products/keo-sap-mix-nhieu-vi-100g-250g-500g-i2880744466.html")</f>
        <v>https://www.lazada.vn/products/keo-sap-mix-nhieu-vi-100g-250g-500g-i2880744466.html</v>
      </c>
      <c r="C183" s="10" t="s">
        <v>183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8">
        <v>5038.0</v>
      </c>
      <c r="B184" s="9" t="str">
        <f>HYPERLINK("https://www.lazada.vn/products/top-ruou-vn-tequila-jose-cuervo-olmeca-reposado-donjulio-700ml-chinh-hang-i2252727839.html", "https://www.lazada.vn/products/top-ruou-vn-tequila-jose-cuervo-olmeca-reposado-donjulio-700ml-chinh-hang-i2252727839.html")</f>
        <v>https://www.lazada.vn/products/top-ruou-vn-tequila-jose-cuervo-olmeca-reposado-donjulio-700ml-chinh-hang-i2252727839.html</v>
      </c>
      <c r="C184" s="10" t="s">
        <v>184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8">
        <v>5039.0</v>
      </c>
      <c r="B185" s="9" t="str">
        <f>HYPERLINK("https://www.lazada.vn/products/banh-gao-gerber-vi-chuoi-dao-hop-48g-i2957715283.html", "https://www.lazada.vn/products/banh-gao-gerber-vi-chuoi-dao-hop-48g-i2957715283.html")</f>
        <v>https://www.lazada.vn/products/banh-gao-gerber-vi-chuoi-dao-hop-48g-i2957715283.html</v>
      </c>
      <c r="C185" s="10" t="s">
        <v>185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8">
        <v>5040.0</v>
      </c>
      <c r="B186" s="9" t="str">
        <f>HYPERLINK("https://www.lazada.vn/products/vien-nen-capsule-cafe-nespresso-chinh-hang-phien-ban-cac-thanh-pho-tren-the-gioi-100-vien-nen-i2829662306.html", "https://www.lazada.vn/products/vien-nen-capsule-cafe-nespresso-chinh-hang-phien-ban-cac-thanh-pho-tren-the-gioi-100-vien-nen-i2829662306.html")</f>
        <v>https://www.lazada.vn/products/vien-nen-capsule-cafe-nespresso-chinh-hang-phien-ban-cac-thanh-pho-tren-the-gioi-100-vien-nen-i2829662306.html</v>
      </c>
      <c r="C186" s="10" t="s">
        <v>186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8">
        <v>5041.0</v>
      </c>
      <c r="B187" s="9" t="str">
        <f>HYPERLINK("https://www.lazada.vn/products/keo-milo-choco-bar-socola-nestle-thai-lan-30g-i2537317845.html", "https://www.lazada.vn/products/keo-milo-choco-bar-socola-nestle-thai-lan-30g-i2537317845.html")</f>
        <v>https://www.lazada.vn/products/keo-milo-choco-bar-socola-nestle-thai-lan-30g-i2537317845.html</v>
      </c>
      <c r="C187" s="10" t="s">
        <v>187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8">
        <v>5042.0</v>
      </c>
      <c r="B188" s="9" t="str">
        <f>HYPERLINK("https://www.lazada.vn/products/ruou-vang-trang-chile-palena-reserva-chardonnay-i2400120120.html", "https://www.lazada.vn/products/ruou-vang-trang-chile-palena-reserva-chardonnay-i2400120120.html")</f>
        <v>https://www.lazada.vn/products/ruou-vang-trang-chile-palena-reserva-chardonnay-i2400120120.html</v>
      </c>
      <c r="C188" s="10" t="s">
        <v>188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8">
        <v>5043.0</v>
      </c>
      <c r="B189" s="9" t="str">
        <f>HYPERLINK("https://www.lazada.vn/products/chuoi-say-deo-500g-1kg-i2924817050.html", "https://www.lazada.vn/products/chuoi-say-deo-500g-1kg-i2924817050.html")</f>
        <v>https://www.lazada.vn/products/chuoi-say-deo-500g-1kg-i2924817050.html</v>
      </c>
      <c r="C189" s="10" t="s">
        <v>189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8">
        <v>5044.0</v>
      </c>
      <c r="B190" s="9" t="str">
        <f>HYPERLINK("https://www.lazada.vn/products/muc-rim-sate-hu-230g-i2193420925.html", "https://www.lazada.vn/products/muc-rim-sate-hu-230g-i2193420925.html")</f>
        <v>https://www.lazada.vn/products/muc-rim-sate-hu-230g-i2193420925.html</v>
      </c>
      <c r="C190" s="10" t="s">
        <v>190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8">
        <v>5045.0</v>
      </c>
      <c r="B191" s="9" t="str">
        <f>HYPERLINK("https://www.lazada.vn/products/vang-y-la-chitarra-nhap-khau-chinh-hang-co-the-mua-kem-hop-dung-i2803217330.html", "https://www.lazada.vn/products/vang-y-la-chitarra-nhap-khau-chinh-hang-co-the-mua-kem-hop-dung-i2803217330.html")</f>
        <v>https://www.lazada.vn/products/vang-y-la-chitarra-nhap-khau-chinh-hang-co-the-mua-kem-hop-dung-i2803217330.html</v>
      </c>
      <c r="C191" s="10" t="s">
        <v>191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8">
        <v>5046.0</v>
      </c>
      <c r="B192" s="9" t="str">
        <f>HYPERLINK("https://www.lazada.vn/products/special-priceready-stock-1-thung-bia-corny-khoa-khilong-ngat-ket-noi-cho-bia-nha-kieu-cornelius-i3037600378.html", "https://www.lazada.vn/products/special-priceready-stock-1-thung-bia-corny-khoa-khilong-ngat-ket-noi-cho-bia-nha-kieu-cornelius-i3037600378.html")</f>
        <v>https://www.lazada.vn/products/special-priceready-stock-1-thung-bia-corny-khoa-khilong-ngat-ket-noi-cho-bia-nha-kieu-cornelius-i3037600378.html</v>
      </c>
      <c r="C192" s="10" t="s">
        <v>192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8">
        <v>5047.0</v>
      </c>
      <c r="B193" s="9" t="str">
        <f>HYPERLINK("https://www.lazada.vn/products/lon-190g-nuoc-ep-ca-chua-huu-co-khong-muoi-japan-topvalu-organic-tomato-juice-no-salt-added-i2908392826.html", "https://www.lazada.vn/products/lon-190g-nuoc-ep-ca-chua-huu-co-khong-muoi-japan-topvalu-organic-tomato-juice-no-salt-added-i2908392826.html")</f>
        <v>https://www.lazada.vn/products/lon-190g-nuoc-ep-ca-chua-huu-co-khong-muoi-japan-topvalu-organic-tomato-juice-no-salt-added-i2908392826.html</v>
      </c>
      <c r="C193" s="10" t="s">
        <v>193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8">
        <v>5048.0</v>
      </c>
      <c r="B194" s="9" t="str">
        <f>HYPERLINK("https://www.lazada.vn/products/snack-khoai-tay-lays-cac-vi-goi-30g-i2916058359.html", "https://www.lazada.vn/products/snack-khoai-tay-lays-cac-vi-goi-30g-i2916058359.html")</f>
        <v>https://www.lazada.vn/products/snack-khoai-tay-lays-cac-vi-goi-30g-i2916058359.html</v>
      </c>
      <c r="C194" s="10" t="s">
        <v>194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8">
        <v>5049.0</v>
      </c>
      <c r="B195" s="9" t="str">
        <f>HYPERLINK("https://www.lazada.vn/products/epih-1-thung-bia-corny-khoa-khilong-ngat-ket-noi-cho-bia-nha-kieu-cornelius-i3037477277.html", "https://www.lazada.vn/products/epih-1-thung-bia-corny-khoa-khilong-ngat-ket-noi-cho-bia-nha-kieu-cornelius-i3037477277.html")</f>
        <v>https://www.lazada.vn/products/epih-1-thung-bia-corny-khoa-khilong-ngat-ket-noi-cho-bia-nha-kieu-cornelius-i3037477277.html</v>
      </c>
      <c r="C195" s="10" t="s">
        <v>195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8">
        <v>5050.0</v>
      </c>
      <c r="B196" s="9" t="str">
        <f>HYPERLINK("https://www.lazada.vn/products/cam-ngoc-bich-bo-enzyme-trai-cay-xay-nhuyen-enzyme-soi-thuc-vat-chinh-hang-cua-hang-hang-dau-chinh-thuc-ln-i2797976812.html", "https://www.lazada.vn/products/cam-ngoc-bich-bo-enzyme-trai-cay-xay-nhuyen-enzyme-soi-thuc-vat-chinh-hang-cua-hang-hang-dau-chinh-thuc-ln-i2797976812.html")</f>
        <v>https://www.lazada.vn/products/cam-ngoc-bich-bo-enzyme-trai-cay-xay-nhuyen-enzyme-soi-thuc-vat-chinh-hang-cua-hang-hang-dau-chinh-thuc-ln-i2797976812.html</v>
      </c>
      <c r="C196" s="10" t="s">
        <v>196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8">
        <v>5051.0</v>
      </c>
      <c r="B197" s="9" t="str">
        <f>HYPERLINK("https://www.lazada.vn/products/combo-10-goi-mi-tron-indo-vi-bo-cay-goi-75-gr-i1569060020.html", "https://www.lazada.vn/products/combo-10-goi-mi-tron-indo-vi-bo-cay-goi-75-gr-i1569060020.html")</f>
        <v>https://www.lazada.vn/products/combo-10-goi-mi-tron-indo-vi-bo-cay-goi-75-gr-i1569060020.html</v>
      </c>
      <c r="C197" s="10" t="s">
        <v>197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8">
        <v>5052.0</v>
      </c>
      <c r="B198" s="9" t="str">
        <f>HYPERLINK("https://www.lazada.vn/products/coralhot-sale-1-thung-bia-corny-khoa-khilong-ngat-ket-noi-cho-bia-nha-kieu-cornelius-i3037467882.html", "https://www.lazada.vn/products/coralhot-sale-1-thung-bia-corny-khoa-khilong-ngat-ket-noi-cho-bia-nha-kieu-cornelius-i3037467882.html")</f>
        <v>https://www.lazada.vn/products/coralhot-sale-1-thung-bia-corny-khoa-khilong-ngat-ket-noi-cho-bia-nha-kieu-cornelius-i3037467882.html</v>
      </c>
      <c r="C198" s="10" t="s">
        <v>198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8">
        <v>5053.0</v>
      </c>
      <c r="B199" s="9" t="str">
        <f>HYPERLINK("https://www.lazada.vn/products/loc-6-chai-nuoc-tinh-khiet-aquafina-500ml-i2692730221.html", "https://www.lazada.vn/products/loc-6-chai-nuoc-tinh-khiet-aquafina-500ml-i2692730221.html")</f>
        <v>https://www.lazada.vn/products/loc-6-chai-nuoc-tinh-khiet-aquafina-500ml-i2692730221.html</v>
      </c>
      <c r="C199" s="10" t="s">
        <v>199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8">
        <v>5054.0</v>
      </c>
      <c r="B200" s="9" t="str">
        <f>HYPERLINK("https://www.lazada.vn/products/wifi-dubai-style-hazelnut-kneaded-chocolate-70g-milk-chocolate-with-pecan-nut-paste-heart-snacks-nuts-special-products-i2966990187.html", "https://www.lazada.vn/products/wifi-dubai-style-hazelnut-kneaded-chocolate-70g-milk-chocolate-with-pecan-nut-paste-heart-snacks-nuts-special-products-i2966990187.html")</f>
        <v>https://www.lazada.vn/products/wifi-dubai-style-hazelnut-kneaded-chocolate-70g-milk-chocolate-with-pecan-nut-paste-heart-snacks-nuts-special-products-i2966990187.html</v>
      </c>
      <c r="C200" s="10" t="s">
        <v>200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8">
        <v>5055.0</v>
      </c>
      <c r="B201" s="9" t="str">
        <f>HYPERLINK("https://www.lazada.vn/products/1kg-dau-tam-ngam-duong-phen-dang-long-co-trai-siro-syrup-i2771344938.html", "https://www.lazada.vn/products/1kg-dau-tam-ngam-duong-phen-dang-long-co-trai-siro-syrup-i2771344938.html")</f>
        <v>https://www.lazada.vn/products/1kg-dau-tam-ngam-duong-phen-dang-long-co-trai-siro-syrup-i2771344938.html</v>
      </c>
      <c r="C201" s="10" t="s">
        <v>201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8">
        <v>5056.0</v>
      </c>
      <c r="B202" s="9" t="str">
        <f>HYPERLINK("https://www.lazada.vn/products/keo-dua-gion-thom-ngon-100g-250g-500g-i2880743311.html", "https://www.lazada.vn/products/keo-dua-gion-thom-ngon-100g-250g-500g-i2880743311.html")</f>
        <v>https://www.lazada.vn/products/keo-dua-gion-thom-ngon-100g-250g-500g-i2880743311.html</v>
      </c>
      <c r="C202" s="10" t="s">
        <v>202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8">
        <v>5057.0</v>
      </c>
      <c r="B203" s="9" t="str">
        <f>HYPERLINK("https://www.lazada.vn/products/ca-phe-rang-xay-nguyen-ban-cafe-pho-450g-maccoffee-i2828410463.html", "https://www.lazada.vn/products/ca-phe-rang-xay-nguyen-ban-cafe-pho-450g-maccoffee-i2828410463.html")</f>
        <v>https://www.lazada.vn/products/ca-phe-rang-xay-nguyen-ban-cafe-pho-450g-maccoffee-i2828410463.html</v>
      </c>
      <c r="C203" s="10" t="s">
        <v>203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8">
        <v>5058.0</v>
      </c>
      <c r="B204" s="9" t="str">
        <f>HYPERLINK("https://www.lazada.vn/products/bot-nuoc-mat-herba-cool-extra-vi-mia-lau-rau-bap-bot-sui-thanh-nhiet-hop-10-goi-x7g-i2797209024.html", "https://www.lazada.vn/products/bot-nuoc-mat-herba-cool-extra-vi-mia-lau-rau-bap-bot-sui-thanh-nhiet-hop-10-goi-x7g-i2797209024.html")</f>
        <v>https://www.lazada.vn/products/bot-nuoc-mat-herba-cool-extra-vi-mia-lau-rau-bap-bot-sui-thanh-nhiet-hop-10-goi-x7g-i2797209024.html</v>
      </c>
      <c r="C204" s="10" t="s">
        <v>204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8">
        <v>5059.0</v>
      </c>
      <c r="B205" s="9" t="str">
        <f>HYPERLINK("https://www.lazada.vn/products/banh-in-vang-cong-lap-thanh-hop-4-cai-500g-dac-san-vung-thom-soc-trang-i2842850832.html", "https://www.lazada.vn/products/banh-in-vang-cong-lap-thanh-hop-4-cai-500g-dac-san-vung-thom-soc-trang-i2842850832.html")</f>
        <v>https://www.lazada.vn/products/banh-in-vang-cong-lap-thanh-hop-4-cai-500g-dac-san-vung-thom-soc-trang-i2842850832.html</v>
      </c>
      <c r="C205" s="10" t="s">
        <v>205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8">
        <v>5060.0</v>
      </c>
      <c r="B206" s="9" t="str">
        <f>HYPERLINK("https://www.lazada.vn/products/nuoc-ngot-co-ga-sprite-chai-390ml-i2679723382.html", "https://www.lazada.vn/products/nuoc-ngot-co-ga-sprite-chai-390ml-i2679723382.html")</f>
        <v>https://www.lazada.vn/products/nuoc-ngot-co-ga-sprite-chai-390ml-i2679723382.html</v>
      </c>
      <c r="C206" s="10" t="s">
        <v>206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8">
        <v>5061.0</v>
      </c>
      <c r="B207" s="9" t="str">
        <f>HYPERLINK("https://www.lazada.vn/products/thung-4-coc-mi-baixiang-vi-bo-hai-san-xuong-ham-ga-i3001601782.html", "https://www.lazada.vn/products/thung-4-coc-mi-baixiang-vi-bo-hai-san-xuong-ham-ga-i3001601782.html")</f>
        <v>https://www.lazada.vn/products/thung-4-coc-mi-baixiang-vi-bo-hai-san-xuong-ham-ga-i3001601782.html</v>
      </c>
      <c r="C207" s="10" t="s">
        <v>207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8">
        <v>5062.0</v>
      </c>
      <c r="B208" s="9" t="str">
        <f>HYPERLINK("https://www.lazada.vn/products/conbo-10-goi-mi-tron-indo-vi-dat-biet-goi-75-gra-i1568955787.html", "https://www.lazada.vn/products/conbo-10-goi-mi-tron-indo-vi-dat-biet-goi-75-gra-i1568955787.html")</f>
        <v>https://www.lazada.vn/products/conbo-10-goi-mi-tron-indo-vi-dat-biet-goi-75-gra-i1568955787.html</v>
      </c>
      <c r="C208" s="10" t="s">
        <v>208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8">
        <v>5063.0</v>
      </c>
      <c r="B209" s="9" t="str">
        <f>HYPERLINK("https://www.lazada.vn/products/freeship-dau-phong-rang-nuoc-mam-huu-loc-duc-hoa-long-an-hu-300g-i2176694449.html", "https://www.lazada.vn/products/freeship-dau-phong-rang-nuoc-mam-huu-loc-duc-hoa-long-an-hu-300g-i2176694449.html")</f>
        <v>https://www.lazada.vn/products/freeship-dau-phong-rang-nuoc-mam-huu-loc-duc-hoa-long-an-hu-300g-i2176694449.html</v>
      </c>
      <c r="C209" s="10" t="s">
        <v>209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8">
        <v>5064.0</v>
      </c>
      <c r="B210" s="9" t="str">
        <f>HYPERLINK("https://www.lazada.vn/products/nhap-khau-chinh-hang-vang-bich-3-lit-nhap-khau-chinh-hang-i2803051639.html", "https://www.lazada.vn/products/nhap-khau-chinh-hang-vang-bich-3-lit-nhap-khau-chinh-hang-i2803051639.html")</f>
        <v>https://www.lazada.vn/products/nhap-khau-chinh-hang-vang-bich-3-lit-nhap-khau-chinh-hang-i2803051639.html</v>
      </c>
      <c r="C210" s="10" t="s">
        <v>210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8">
        <v>5065.0</v>
      </c>
      <c r="B211" s="9" t="str">
        <f>HYPERLINK("https://www.lazada.vn/products/ruou-vang-chile-palena-chardonnay-i2400084296.html", "https://www.lazada.vn/products/ruou-vang-chile-palena-chardonnay-i2400084296.html")</f>
        <v>https://www.lazada.vn/products/ruou-vang-chile-palena-chardonnay-i2400084296.html</v>
      </c>
      <c r="C211" s="10" t="s">
        <v>211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8">
        <v>5066.0</v>
      </c>
      <c r="B212" s="9" t="str">
        <f>HYPERLINK("https://www.lazada.vn/products/qcici-1-thung-bia-corny-khoa-khilong-ngat-ket-noi-cho-bia-nha-kieu-cornelius-i3037287389.html", "https://www.lazada.vn/products/qcici-1-thung-bia-corny-khoa-khilong-ngat-ket-noi-cho-bia-nha-kieu-cornelius-i3037287389.html")</f>
        <v>https://www.lazada.vn/products/qcici-1-thung-bia-corny-khoa-khilong-ngat-ket-noi-cho-bia-nha-kieu-cornelius-i3037287389.html</v>
      </c>
      <c r="C212" s="10" t="s">
        <v>212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8">
        <v>5067.0</v>
      </c>
      <c r="B213" s="9" t="str">
        <f>HYPERLINK("https://www.lazada.vn/products/chuoi-say-deo-500g-1kg-i2924811075.html", "https://www.lazada.vn/products/chuoi-say-deo-500g-1kg-i2924811075.html")</f>
        <v>https://www.lazada.vn/products/chuoi-say-deo-500g-1kg-i2924811075.html</v>
      </c>
      <c r="C213" s="10" t="s">
        <v>213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8">
        <v>5068.0</v>
      </c>
      <c r="B214" s="9" t="str">
        <f>HYPERLINK("https://www.lazada.vn/products/ruou-gao-len-men-han-quoc-kook-soon-dang-i2314805416.html", "https://www.lazada.vn/products/ruou-gao-len-men-han-quoc-kook-soon-dang-i2314805416.html")</f>
        <v>https://www.lazada.vn/products/ruou-gao-len-men-han-quoc-kook-soon-dang-i2314805416.html</v>
      </c>
      <c r="C214" s="10" t="s">
        <v>214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8">
        <v>5069.0</v>
      </c>
      <c r="B215" s="9" t="str">
        <f>HYPERLINK("https://www.lazada.vn/products/nuoc-uong-ion-kiem-dong-chai-giau-khoang-magie-350ml-can-bang-ph-co-the-i2907441054.html", "https://www.lazada.vn/products/nuoc-uong-ion-kiem-dong-chai-giau-khoang-magie-350ml-can-bang-ph-co-the-i2907441054.html")</f>
        <v>https://www.lazada.vn/products/nuoc-uong-ion-kiem-dong-chai-giau-khoang-magie-350ml-can-bang-ph-co-the-i2907441054.html</v>
      </c>
      <c r="C215" s="10" t="s">
        <v>215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8">
        <v>5070.0</v>
      </c>
      <c r="B216" s="9" t="str">
        <f>HYPERLINK("https://www.lazada.vn/products/chinh-hang-banh-snack-shin-cau-be-but-chi-tohato-choco-snack-noi-dia-nhat-date-t62025-i2916040100.html", "https://www.lazada.vn/products/chinh-hang-banh-snack-shin-cau-be-but-chi-tohato-choco-snack-noi-dia-nhat-date-t62025-i2916040100.html")</f>
        <v>https://www.lazada.vn/products/chinh-hang-banh-snack-shin-cau-be-but-chi-tohato-choco-snack-noi-dia-nhat-date-t62025-i2916040100.html</v>
      </c>
      <c r="C216" s="10" t="s">
        <v>216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8">
        <v>5071.0</v>
      </c>
      <c r="B217" s="9" t="str">
        <f>HYPERLINK("https://www.lazada.vn/products/bot-khoai-mon-socola-king-1kg-i2534792800.html", "https://www.lazada.vn/products/bot-khoai-mon-socola-king-1kg-i2534792800.html")</f>
        <v>https://www.lazada.vn/products/bot-khoai-mon-socola-king-1kg-i2534792800.html</v>
      </c>
      <c r="C217" s="10" t="s">
        <v>217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8">
        <v>5072.0</v>
      </c>
      <c r="B218" s="9" t="str">
        <f>HYPERLINK("https://www.lazada.vn/products/loc-6-chai-nuoc-tang-luc-number-one-330ml-i2692693451.html", "https://www.lazada.vn/products/loc-6-chai-nuoc-tang-luc-number-one-330ml-i2692693451.html")</f>
        <v>https://www.lazada.vn/products/loc-6-chai-nuoc-tang-luc-number-one-330ml-i2692693451.html</v>
      </c>
      <c r="C218" s="10" t="s">
        <v>218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8">
        <v>5073.0</v>
      </c>
      <c r="B219" s="9" t="str">
        <f>HYPERLINK("https://www.lazada.vn/products/lindt-milk-chocolate-wedding-candy-2pcs-full-moon-celebration-finished-product-swiss-imported-milk-chocolate-snacks-i2966878497.html", "https://www.lazada.vn/products/lindt-milk-chocolate-wedding-candy-2pcs-full-moon-celebration-finished-product-swiss-imported-milk-chocolate-snacks-i2966878497.html")</f>
        <v>https://www.lazada.vn/products/lindt-milk-chocolate-wedding-candy-2pcs-full-moon-celebration-finished-product-swiss-imported-milk-chocolate-snacks-i2966878497.html</v>
      </c>
      <c r="C219" s="10" t="s">
        <v>219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8">
        <v>5074.0</v>
      </c>
      <c r="B220" s="9" t="str">
        <f>HYPERLINK("https://www.lazada.vn/products/hang-moi-ve-siro-duong-den-nguyen-lieu-lam-tra-sua-tran-chau-tu-pha-hong-tra-den-luc-tra-lai-thai-xanh-thai-do-chai-le-100ml-nguyen-lieu-pha-che-hucha-i2766859414.html", "https://www.lazada.vn/products/hang-moi-ve-siro-duong-den-nguyen-lieu-lam-tra-sua-tran-chau-tu-pha-hong-tra-den-luc-tra-lai-thai-xanh-thai-do-chai-le-100ml-nguyen-lieu-pha-che-hucha-i2766859414.html")</f>
        <v>https://www.lazada.vn/products/hang-moi-ve-siro-duong-den-nguyen-lieu-lam-tra-sua-tran-chau-tu-pha-hong-tra-den-luc-tra-lai-thai-xanh-thai-do-chai-le-100ml-nguyen-lieu-pha-che-hucha-i2766859414.html</v>
      </c>
      <c r="C220" s="10" t="s">
        <v>220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8">
        <v>5075.0</v>
      </c>
      <c r="B221" s="9" t="str">
        <f>HYPERLINK("https://www.lazada.vn/products/soju-hop-6-chai-tang-hop-coc-i2225938323.html", "https://www.lazada.vn/products/soju-hop-6-chai-tang-hop-coc-i2225938323.html")</f>
        <v>https://www.lazada.vn/products/soju-hop-6-chai-tang-hop-coc-i2225938323.html</v>
      </c>
      <c r="C221" s="10" t="s">
        <v>221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8">
        <v>5076.0</v>
      </c>
      <c r="B222" s="9" t="str">
        <f>HYPERLINK("https://www.lazada.vn/products/bot-pha-uong-oresol-3b-bu-nuoc-va-chat-dien-giai-hop-40-goi-i2792278352.html", "https://www.lazada.vn/products/bot-pha-uong-oresol-3b-bu-nuoc-va-chat-dien-giai-hop-40-goi-i2792278352.html")</f>
        <v>https://www.lazada.vn/products/bot-pha-uong-oresol-3b-bu-nuoc-va-chat-dien-giai-hop-40-goi-i2792278352.html</v>
      </c>
      <c r="C222" s="10" t="s">
        <v>222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8">
        <v>5077.0</v>
      </c>
      <c r="B223" s="9" t="str">
        <f>HYPERLINK("https://www.lazada.vn/products/ca-phe-hoa-tan-nescafe-3-in-1-sua-da-10-goi-x-24gr-i2828313745.html", "https://www.lazada.vn/products/ca-phe-hoa-tan-nescafe-3-in-1-sua-da-10-goi-x-24gr-i2828313745.html")</f>
        <v>https://www.lazada.vn/products/ca-phe-hoa-tan-nescafe-3-in-1-sua-da-10-goi-x-24gr-i2828313745.html</v>
      </c>
      <c r="C223" s="10" t="s">
        <v>223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8">
        <v>5078.0</v>
      </c>
      <c r="B224" s="9" t="str">
        <f>HYPERLINK("https://www.lazada.vn/products/tren-18-tuoi-chinh-hang-ruou-rum-kingston-62-jamaica-gold-40-750ml-i2307181132.html", "https://www.lazada.vn/products/tren-18-tuoi-chinh-hang-ruou-rum-kingston-62-jamaica-gold-40-750ml-i2307181132.html")</f>
        <v>https://www.lazada.vn/products/tren-18-tuoi-chinh-hang-ruou-rum-kingston-62-jamaica-gold-40-750ml-i2307181132.html</v>
      </c>
      <c r="C224" s="10" t="s">
        <v>224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8">
        <v>5079.0</v>
      </c>
      <c r="B225" s="9" t="str">
        <f>HYPERLINK("https://www.lazada.vn/products/nuoc-ngot-co-ga-fanta-cam-lon-235ml-i2679722415.html", "https://www.lazada.vn/products/nuoc-ngot-co-ga-fanta-cam-lon-235ml-i2679722415.html")</f>
        <v>https://www.lazada.vn/products/nuoc-ngot-co-ga-fanta-cam-lon-235ml-i2679722415.html</v>
      </c>
      <c r="C225" s="10" t="s">
        <v>225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8">
        <v>5080.0</v>
      </c>
      <c r="B226" s="9" t="str">
        <f>HYPERLINK("https://www.lazada.vn/products/combo-10-goi-mi-tron-indo-vi-suon-cay-i1568949958.html", "https://www.lazada.vn/products/combo-10-goi-mi-tron-indo-vi-suon-cay-i1568949958.html")</f>
        <v>https://www.lazada.vn/products/combo-10-goi-mi-tron-indo-vi-suon-cay-i1568949958.html</v>
      </c>
      <c r="C226" s="10" t="s">
        <v>226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8">
        <v>5081.0</v>
      </c>
      <c r="B227" s="9" t="str">
        <f>HYPERLINK("https://www.lazada.vn/products/cao-trang-cot-chi-thong-xa-huong-i2169491221.html", "https://www.lazada.vn/products/cao-trang-cot-chi-thong-xa-huong-i2169491221.html")</f>
        <v>https://www.lazada.vn/products/cao-trang-cot-chi-thong-xa-huong-i2169491221.html</v>
      </c>
      <c r="C227" s="10" t="s">
        <v>227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8">
        <v>5082.0</v>
      </c>
      <c r="B228" s="9" t="str">
        <f>HYPERLINK("https://www.lazada.vn/products/keo-chocolate-storck-merci-petits-chocolate-collection-125g-12-nhieu-vi-i2966855141.html", "https://www.lazada.vn/products/keo-chocolate-storck-merci-petits-chocolate-collection-125g-12-nhieu-vi-i2966855141.html")</f>
        <v>https://www.lazada.vn/products/keo-chocolate-storck-merci-petits-chocolate-collection-125g-12-nhieu-vi-i2966855141.html</v>
      </c>
      <c r="C228" s="10" t="s">
        <v>228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8">
        <v>5083.0</v>
      </c>
      <c r="B229" s="9" t="str">
        <f>HYPERLINK("https://www.lazada.vn/products/khoai-say-deo-500g-1kg-i2924788188.html", "https://www.lazada.vn/products/khoai-say-deo-500g-1kg-i2924788188.html")</f>
        <v>https://www.lazada.vn/products/khoai-say-deo-500g-1kg-i2924788188.html</v>
      </c>
      <c r="C229" s="10" t="s">
        <v>229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8">
        <v>5084.0</v>
      </c>
      <c r="B230" s="9" t="str">
        <f>HYPERLINK("https://www.lazada.vn/products/ruou-vang-trang-estimulo-sauvignon-blanc-2020-i2400054363.html", "https://www.lazada.vn/products/ruou-vang-trang-estimulo-sauvignon-blanc-2020-i2400054363.html")</f>
        <v>https://www.lazada.vn/products/ruou-vang-trang-estimulo-sauvignon-blanc-2020-i2400054363.html</v>
      </c>
      <c r="C230" s="10" t="s">
        <v>230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8">
        <v>5085.0</v>
      </c>
      <c r="B231" s="9" t="str">
        <f>HYPERLINK("https://www.lazada.vn/products/le-1-goi-snack-mi-enaak-ga-i2915983535.html", "https://www.lazada.vn/products/le-1-goi-snack-mi-enaak-ga-i2915983535.html")</f>
        <v>https://www.lazada.vn/products/le-1-goi-snack-mi-enaak-ga-i2915983535.html</v>
      </c>
      <c r="C231" s="10" t="s">
        <v>231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8">
        <v>5086.0</v>
      </c>
      <c r="B232" s="9" t="str">
        <f>HYPERLINK("https://www.lazada.vn/products/thung-24-chai-nuoc-tang-luc-number-one-330ml-i2692687462.html", "https://www.lazada.vn/products/thung-24-chai-nuoc-tang-luc-number-one-330ml-i2692687462.html")</f>
        <v>https://www.lazada.vn/products/thung-24-chai-nuoc-tang-luc-number-one-330ml-i2692687462.html</v>
      </c>
      <c r="C232" s="10" t="s">
        <v>232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8">
        <v>5087.0</v>
      </c>
      <c r="B233" s="9" t="str">
        <f>HYPERLINK("https://www.lazada.vn/products/ashely-joson-cod-1-thung-bia-corny-khoa-khilong-ngat-ket-noi-cho-bia-nha-kieu-cornelius-i3037089604.html", "https://www.lazada.vn/products/ashely-joson-cod-1-thung-bia-corny-khoa-khilong-ngat-ket-noi-cho-bia-nha-kieu-cornelius-i3037089604.html")</f>
        <v>https://www.lazada.vn/products/ashely-joson-cod-1-thung-bia-corny-khoa-khilong-ngat-ket-noi-cho-bia-nha-kieu-cornelius-i3037089604.html</v>
      </c>
      <c r="C233" s="10" t="s">
        <v>233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8">
        <v>5088.0</v>
      </c>
      <c r="B234" s="9" t="str">
        <f>HYPERLINK("https://www.lazada.vn/products/tao-kep-sua-hat-dieu-dinh-duong-cholonsacdep-i2906755873.html", "https://www.lazada.vn/products/tao-kep-sua-hat-dieu-dinh-duong-cholonsacdep-i2906755873.html")</f>
        <v>https://www.lazada.vn/products/tao-kep-sua-hat-dieu-dinh-duong-cholonsacdep-i2906755873.html</v>
      </c>
      <c r="C234" s="10" t="s">
        <v>234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8">
        <v>5089.0</v>
      </c>
      <c r="B235" s="9" t="str">
        <f>HYPERLINK("https://www.lazada.vn/products/mua-500g-tang-500g-banh-trang-tron-san-banh-trang-tay-ninh-du-loai-du-vi-i2849510832.html", "https://www.lazada.vn/products/mua-500g-tang-500g-banh-trang-tron-san-banh-trang-tay-ninh-du-loai-du-vi-i2849510832.html")</f>
        <v>https://www.lazada.vn/products/mua-500g-tang-500g-banh-trang-tron-san-banh-trang-tay-ninh-du-loai-du-vi-i2849510832.html</v>
      </c>
      <c r="C235" s="10" t="s">
        <v>235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8">
        <v>5090.0</v>
      </c>
      <c r="B236" s="9" t="str">
        <f>HYPERLINK("https://www.lazada.vn/products/keun88-siro-nhan-sam-tang-sz-v1-dieu-hoa-noi-tiet-lam-dep-da-keun88-hop-20-ong-i2766192384.html", "https://www.lazada.vn/products/keun88-siro-nhan-sam-tang-sz-v1-dieu-hoa-noi-tiet-lam-dep-da-keun88-hop-20-ong-i2766192384.html")</f>
        <v>https://www.lazada.vn/products/keun88-siro-nhan-sam-tang-sz-v1-dieu-hoa-noi-tiet-lam-dep-da-keun88-hop-20-ong-i2766192384.html</v>
      </c>
      <c r="C236" s="10" t="s">
        <v>236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8">
        <v>5091.0</v>
      </c>
      <c r="B237" s="9" t="str">
        <f>HYPERLINK("https://www.lazada.vn/products/ruo-soju-sochu-han-quoc-i1857202017.html", "https://www.lazada.vn/products/ruo-soju-sochu-han-quoc-i1857202017.html")</f>
        <v>https://www.lazada.vn/products/ruo-soju-sochu-han-quoc-i1857202017.html</v>
      </c>
      <c r="C237" s="10" t="s">
        <v>237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8">
        <v>5092.0</v>
      </c>
      <c r="B238" s="9" t="str">
        <f>HYPERLINK("https://www.lazada.vn/products/sieu-tiet-kiem-combo-2-thung-hao-hao-va-kokomi-65-i1548992583.html", "https://www.lazada.vn/products/sieu-tiet-kiem-combo-2-thung-hao-hao-va-kokomi-65-i1548992583.html")</f>
        <v>https://www.lazada.vn/products/sieu-tiet-kiem-combo-2-thung-hao-hao-va-kokomi-65-i1548992583.html</v>
      </c>
      <c r="C238" s="10" t="s">
        <v>238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8">
        <v>5093.0</v>
      </c>
      <c r="B239" s="9" t="str">
        <f>HYPERLINK("https://www.lazada.vn/products/phoi-nam-bao-ngu-va-moc-nhi-kien-03-bao-ngu-03-moc-nhi-i2167404448.html", "https://www.lazada.vn/products/phoi-nam-bao-ngu-va-moc-nhi-kien-03-bao-ngu-03-moc-nhi-i2167404448.html")</f>
        <v>https://www.lazada.vn/products/phoi-nam-bao-ngu-va-moc-nhi-kien-03-bao-ngu-03-moc-nhi-i2167404448.html</v>
      </c>
      <c r="C239" s="10" t="s">
        <v>239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8">
        <v>5094.0</v>
      </c>
      <c r="B240" s="9" t="str">
        <f>HYPERLINK("https://www.lazada.vn/products/ruou-soju-sochu-han-quoc-tai-hai-phong-i1821988321.html", "https://www.lazada.vn/products/ruou-soju-sochu-han-quoc-tai-hai-phong-i1821988321.html")</f>
        <v>https://www.lazada.vn/products/ruou-soju-sochu-han-quoc-tai-hai-phong-i1821988321.html</v>
      </c>
      <c r="C240" s="10" t="s">
        <v>240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8">
        <v>5095.0</v>
      </c>
      <c r="B241" s="9" t="str">
        <f>HYPERLINK("https://www.lazada.vn/products/men-u-ruou-trai-cay-angle-3g-nuoc-uong-nuoc-trai-cay-len-men-i2791526256.html", "https://www.lazada.vn/products/men-u-ruou-trai-cay-angle-3g-nuoc-uong-nuoc-trai-cay-len-men-i2791526256.html")</f>
        <v>https://www.lazada.vn/products/men-u-ruou-trai-cay-angle-3g-nuoc-uong-nuoc-trai-cay-len-men-i2791526256.html</v>
      </c>
      <c r="C241" s="10" t="s">
        <v>241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8">
        <v>5096.0</v>
      </c>
      <c r="B242" s="9" t="str">
        <f>HYPERLINK("https://www.lazada.vn/products/shop-khanh-ha-bacardi-white-rum-chai700ml-40-i2024948302.html", "https://www.lazada.vn/products/shop-khanh-ha-bacardi-white-rum-chai700ml-40-i2024948302.html")</f>
        <v>https://www.lazada.vn/products/shop-khanh-ha-bacardi-white-rum-chai700ml-40-i2024948302.html</v>
      </c>
      <c r="C242" s="10" t="s">
        <v>242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8">
        <v>5097.0</v>
      </c>
      <c r="B243" s="9" t="str">
        <f>HYPERLINK("https://www.lazada.vn/products/ruou-vang-trang-growers-gate-chardonnay-i2400021972.html", "https://www.lazada.vn/products/ruou-vang-trang-growers-gate-chardonnay-i2400021972.html")</f>
        <v>https://www.lazada.vn/products/ruou-vang-trang-growers-gate-chardonnay-i2400021972.html</v>
      </c>
      <c r="C243" s="10" t="s">
        <v>243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8">
        <v>5098.0</v>
      </c>
      <c r="B244" s="9" t="str">
        <f>HYPERLINK("https://www.lazada.vn/products/loc-6-chai-nuoc-tang-luc-wake-up-247-vi-ca-phe-330ml-i2692060033.html", "https://www.lazada.vn/products/loc-6-chai-nuoc-tang-luc-wake-up-247-vi-ca-phe-330ml-i2692060033.html")</f>
        <v>https://www.lazada.vn/products/loc-6-chai-nuoc-tang-luc-wake-up-247-vi-ca-phe-330ml-i2692060033.html</v>
      </c>
      <c r="C244" s="10" t="s">
        <v>244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8">
        <v>5099.0</v>
      </c>
      <c r="B245" s="9" t="str">
        <f>HYPERLINK("https://www.lazada.vn/products/hop-12-coc-que-origo-sot-kem-socola-sua-coco-sieu-hot-i2905535079.html", "https://www.lazada.vn/products/hop-12-coc-que-origo-sot-kem-socola-sua-coco-sieu-hot-i2905535079.html")</f>
        <v>https://www.lazada.vn/products/hop-12-coc-que-origo-sot-kem-socola-sua-coco-sieu-hot-i2905535079.html</v>
      </c>
      <c r="C245" s="10" t="s">
        <v>245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8">
        <v>5100.0</v>
      </c>
      <c r="B246" s="9" t="str">
        <f>HYPERLINK("https://www.lazada.vn/products/banh-snack-orion-ostar-toonie-swing-goi-35g-i2915976607.html", "https://www.lazada.vn/products/banh-snack-orion-ostar-toonie-swing-goi-35g-i2915976607.html")</f>
        <v>https://www.lazada.vn/products/banh-snack-orion-ostar-toonie-swing-goi-35g-i2915976607.html</v>
      </c>
      <c r="C246" s="10" t="s">
        <v>246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8">
        <v>5101.0</v>
      </c>
      <c r="B247" s="9" t="str">
        <f>HYPERLINK("https://www.lazada.vn/products/nuoc-ngot-co-ga-fanta-cam-chai-390ml-i2679715454.html", "https://www.lazada.vn/products/nuoc-ngot-co-ga-fanta-cam-chai-390ml-i2679715454.html")</f>
        <v>https://www.lazada.vn/products/nuoc-ngot-co-ga-fanta-cam-chai-390ml-i2679715454.html</v>
      </c>
      <c r="C247" s="10" t="s">
        <v>247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8">
        <v>5102.0</v>
      </c>
      <c r="B248" s="9" t="str">
        <f>HYPERLINK("https://www.lazada.vn/products/combo-2-5-goi-com-chay-cha-bong-kim-tien-vua-an-vat_tui-180g-shop-mint-mint-i2845259881.html", "https://www.lazada.vn/products/combo-2-5-goi-com-chay-cha-bong-kim-tien-vua-an-vat_tui-180g-shop-mint-mint-i2845259881.html")</f>
        <v>https://www.lazada.vn/products/combo-2-5-goi-com-chay-cha-bong-kim-tien-vua-an-vat_tui-180g-shop-mint-mint-i2845259881.html</v>
      </c>
      <c r="C248" s="10" t="s">
        <v>248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8">
        <v>5103.0</v>
      </c>
      <c r="B249" s="9" t="str">
        <f>HYPERLINK("https://www.lazada.vn/products/ca-phe-arabica-xay-pha-phin-truyen-thong-05kg-tan-ngoc-coffee-gu-manh-vi-dam-i2824974712.html", "https://www.lazada.vn/products/ca-phe-arabica-xay-pha-phin-truyen-thong-05kg-tan-ngoc-coffee-gu-manh-vi-dam-i2824974712.html")</f>
        <v>https://www.lazada.vn/products/ca-phe-arabica-xay-pha-phin-truyen-thong-05kg-tan-ngoc-coffee-gu-manh-vi-dam-i2824974712.html</v>
      </c>
      <c r="C249" s="10" t="s">
        <v>249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8">
        <v>5104.0</v>
      </c>
      <c r="B250" s="9" t="str">
        <f>HYPERLINK("https://www.lazada.vn/products/milka-milk-chocolate-bubble-heart-shaped-biscuits-double-color-milk-chocolate-oreo-snacks-100g-poland-made-non-handmade-i2965803146.html", "https://www.lazada.vn/products/milka-milk-chocolate-bubble-heart-shaped-biscuits-double-color-milk-chocolate-oreo-snacks-100g-poland-made-non-handmade-i2965803146.html")</f>
        <v>https://www.lazada.vn/products/milka-milk-chocolate-bubble-heart-shaped-biscuits-double-color-milk-chocolate-oreo-snacks-100g-poland-made-non-handmade-i2965803146.html</v>
      </c>
      <c r="C250" s="10" t="s">
        <v>250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8">
        <v>5105.0</v>
      </c>
      <c r="B251" s="9" t="str">
        <f>HYPERLINK("https://www.lazada.vn/products/dau-tam-ngam-duong-phen-1kg-bo-doi-non-i2765693493.html", "https://www.lazada.vn/products/dau-tam-ngam-duong-phen-1kg-bo-doi-non-i2765693493.html")</f>
        <v>https://www.lazada.vn/products/dau-tam-ngam-duong-phen-1kg-bo-doi-non-i2765693493.html</v>
      </c>
      <c r="C251" s="10" t="s">
        <v>251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8">
        <v>5106.0</v>
      </c>
      <c r="B252" s="9" t="str">
        <f>HYPERLINK("https://www.lazada.vn/products/bot-khoai-mon-socola-king-1kg-i2534758924.html", "https://www.lazada.vn/products/bot-khoai-mon-socola-king-1kg-i2534758924.html")</f>
        <v>https://www.lazada.vn/products/bot-khoai-mon-socola-king-1kg-i2534758924.html</v>
      </c>
      <c r="C252" s="10" t="s">
        <v>252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8">
        <v>5107.0</v>
      </c>
      <c r="B253" s="9" t="str">
        <f>HYPERLINK("https://www.lazada.vn/products/sieu-tiet-kiem-my-tom-an-lien-combo-2-thung-2-vi-hao-hao-va-gau-do-i1548916567.html", "https://www.lazada.vn/products/sieu-tiet-kiem-my-tom-an-lien-combo-2-thung-2-vi-hao-hao-va-gau-do-i1548916567.html")</f>
        <v>https://www.lazada.vn/products/sieu-tiet-kiem-my-tom-an-lien-combo-2-thung-2-vi-hao-hao-va-gau-do-i1548916567.html</v>
      </c>
      <c r="C253" s="10" t="s">
        <v>253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8">
        <v>5108.0</v>
      </c>
      <c r="B254" s="9" t="str">
        <f>HYPERLINK("https://www.lazada.vn/products/chip-chip-hai-ha-day-10-goi-i2162521064.html", "https://www.lazada.vn/products/chip-chip-hai-ha-day-10-goi-i2162521064.html")</f>
        <v>https://www.lazada.vn/products/chip-chip-hai-ha-day-10-goi-i2162521064.html</v>
      </c>
      <c r="C254" s="10" t="s">
        <v>254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8">
        <v>5109.0</v>
      </c>
      <c r="B255" s="9" t="str">
        <f>HYPERLINK("https://www.lazada.vn/products/ruou-vang-trang-castelforte-soave-garganega-2020-i2399997950.html", "https://www.lazada.vn/products/ruou-vang-trang-castelforte-soave-garganega-2020-i2399997950.html")</f>
        <v>https://www.lazada.vn/products/ruou-vang-trang-castelforte-soave-garganega-2020-i2399997950.html</v>
      </c>
      <c r="C255" s="10" t="s">
        <v>255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8">
        <v>5110.0</v>
      </c>
      <c r="B256" s="9" t="str">
        <f>HYPERLINK("https://www.lazada.vn/products/ruou-soju-jinro-truyen-thong-i2725776587.html", "https://www.lazada.vn/products/ruou-soju-jinro-truyen-thong-i2725776587.html")</f>
        <v>https://www.lazada.vn/products/ruou-soju-jinro-truyen-thong-i2725776587.html</v>
      </c>
      <c r="C256" s="10" t="s">
        <v>256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8">
        <v>5111.0</v>
      </c>
      <c r="B257" s="9" t="str">
        <f>HYPERLINK("https://www.lazada.vn/products/buon-si-re-banh-in-cao-cap-banh-dau-xanh-hop-8-cai-ngon-re-i2862265875.html", "https://www.lazada.vn/products/buon-si-re-banh-in-cao-cap-banh-dau-xanh-hop-8-cai-ngon-re-i2862265875.html")</f>
        <v>https://www.lazada.vn/products/buon-si-re-banh-in-cao-cap-banh-dau-xanh-hop-8-cai-ngon-re-i2862265875.html</v>
      </c>
      <c r="C257" s="10" t="s">
        <v>257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8">
        <v>5112.0</v>
      </c>
      <c r="B258" s="9" t="str">
        <f>HYPERLINK("https://www.lazada.vn/products/combo-10-yen-sao-cho-be-kids-sumo-35-fujinest-hu-150ml-thuc-pham-bo-sung-suc-khoe-cho-be-i3028101815.html", "https://www.lazada.vn/products/combo-10-yen-sao-cho-be-kids-sumo-35-fujinest-hu-150ml-thuc-pham-bo-sung-suc-khoe-cho-be-i3028101815.html")</f>
        <v>https://www.lazada.vn/products/combo-10-yen-sao-cho-be-kids-sumo-35-fujinest-hu-150ml-thuc-pham-bo-sung-suc-khoe-cho-be-i3028101815.html</v>
      </c>
      <c r="C258" s="10" t="s">
        <v>258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8">
        <v>5113.0</v>
      </c>
      <c r="B259" s="9" t="str">
        <f>HYPERLINK("https://www.lazada.vn/products/baileys-bailey-truyen-thong-dau-caramel-750ml-i2903975595.html", "https://www.lazada.vn/products/baileys-bailey-truyen-thong-dau-caramel-750ml-i2903975595.html")</f>
        <v>https://www.lazada.vn/products/baileys-bailey-truyen-thong-dau-caramel-750ml-i2903975595.html</v>
      </c>
      <c r="C259" s="10" t="s">
        <v>259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8">
        <v>5114.0</v>
      </c>
      <c r="B260" s="9" t="str">
        <f>HYPERLINK("https://www.lazada.vn/products/chinh-hang-banh-snack-khoai-tay-chip-star-nhat-ban-sieu-ngon-i2915958352.html", "https://www.lazada.vn/products/chinh-hang-banh-snack-khoai-tay-chip-star-nhat-ban-sieu-ngon-i2915958352.html")</f>
        <v>https://www.lazada.vn/products/chinh-hang-banh-snack-khoai-tay-chip-star-nhat-ban-sieu-ngon-i2915958352.html</v>
      </c>
      <c r="C260" s="10" t="s">
        <v>260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8">
        <v>5115.0</v>
      </c>
      <c r="B261" s="9" t="str">
        <f>HYPERLINK("https://www.lazada.vn/products/1-lon-nuoc-uong-tang-luc-sting-blue-thai-cong-dang-lon-xanh-duong-9999-sting-blue-charge-sting-1-ty-i2691927067.html", "https://www.lazada.vn/products/1-lon-nuoc-uong-tang-luc-sting-blue-thai-cong-dang-lon-xanh-duong-9999-sting-blue-charge-sting-1-ty-i2691927067.html")</f>
        <v>https://www.lazada.vn/products/1-lon-nuoc-uong-tang-luc-sting-blue-thai-cong-dang-lon-xanh-duong-9999-sting-blue-charge-sting-1-ty-i2691927067.html</v>
      </c>
      <c r="C261" s="10" t="s">
        <v>261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8">
        <v>5116.0</v>
      </c>
      <c r="B262" s="9" t="str">
        <f>HYPERLINK("https://www.lazada.vn/products/nuoc-ngot-co-ga-fanta-cam-chai-300ml-i2679708419.html", "https://www.lazada.vn/products/nuoc-ngot-co-ga-fanta-cam-chai-300ml-i2679708419.html")</f>
        <v>https://www.lazada.vn/products/nuoc-ngot-co-ga-fanta-cam-chai-300ml-i2679708419.html</v>
      </c>
      <c r="C262" s="10" t="s">
        <v>262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8">
        <v>5117.0</v>
      </c>
      <c r="B263" s="9" t="str">
        <f>HYPERLINK("https://www.lazada.vn/products/bao-25kg-gia-12kkg-canxi-bo-50-gram-cao-cap-nguyen-lieu-nhap-khau-i2788242024.html", "https://www.lazada.vn/products/bao-25kg-gia-12kkg-canxi-bo-50-gram-cao-cap-nguyen-lieu-nhap-khau-i2788242024.html")</f>
        <v>https://www.lazada.vn/products/bao-25kg-gia-12kkg-canxi-bo-50-gram-cao-cap-nguyen-lieu-nhap-khau-i2788242024.html</v>
      </c>
      <c r="C263" s="10" t="s">
        <v>263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8">
        <v>5118.0</v>
      </c>
      <c r="B264" s="9" t="str">
        <f>HYPERLINK("https://www.lazada.vn/products/dau-tam-ngam-duong-phen-1kg-multifood-i2765543866.html", "https://www.lazada.vn/products/dau-tam-ngam-duong-phen-1kg-multifood-i2765543866.html")</f>
        <v>https://www.lazada.vn/products/dau-tam-ngam-duong-phen-1kg-multifood-i2765543866.html</v>
      </c>
      <c r="C264" s="10" t="s">
        <v>264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8">
        <v>5119.0</v>
      </c>
      <c r="B265" s="9" t="str">
        <f>HYPERLINK("https://www.lazada.vn/products/hershey-kisses-chocolate-8-cai-hop-qua-cuoi-keo-tron-le-hoi-mua-he-2022-thuong-hieu-hersheys-san-pham-hoan-chinh-bao-bi-hop-qua-tang-i2965786067.html", "https://www.lazada.vn/products/hershey-kisses-chocolate-8-cai-hop-qua-cuoi-keo-tron-le-hoi-mua-he-2022-thuong-hieu-hersheys-san-pham-hoan-chinh-bao-bi-hop-qua-tang-i2965786067.html")</f>
        <v>https://www.lazada.vn/products/hershey-kisses-chocolate-8-cai-hop-qua-cuoi-keo-tron-le-hoi-mua-he-2022-thuong-hieu-hersheys-san-pham-hoan-chinh-bao-bi-hop-qua-tang-i2965786067.html</v>
      </c>
      <c r="C265" s="10" t="s">
        <v>265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8">
        <v>5120.0</v>
      </c>
      <c r="B266" s="9" t="str">
        <f>HYPERLINK("https://www.lazada.vn/products/ca-phe-chon-nau-robusta-pha-phin-500gr-bao-tin-coffee-rang-moc-nguyen-chat-100-i2824718850.html", "https://www.lazada.vn/products/ca-phe-chon-nau-robusta-pha-phin-500gr-bao-tin-coffee-rang-moc-nguyen-chat-100-i2824718850.html")</f>
        <v>https://www.lazada.vn/products/ca-phe-chon-nau-robusta-pha-phin-500gr-bao-tin-coffee-rang-moc-nguyen-chat-100-i2824718850.html</v>
      </c>
      <c r="C266" s="10" t="s">
        <v>266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8">
        <v>5121.0</v>
      </c>
      <c r="B267" s="9" t="str">
        <f>HYPERLINK("https://www.lazada.vn/products/deo-ngon-combo-1000g-banh-phong-sua-de-dau-tay-kho-chua-ngot-mem-ngon-an-vat-sieu-nghien-i2841240081.html", "https://www.lazada.vn/products/deo-ngon-combo-1000g-banh-phong-sua-de-dau-tay-kho-chua-ngot-mem-ngon-an-vat-sieu-nghien-i2841240081.html")</f>
        <v>https://www.lazada.vn/products/deo-ngon-combo-1000g-banh-phong-sua-de-dau-tay-kho-chua-ngot-mem-ngon-an-vat-sieu-nghien-i2841240081.html</v>
      </c>
      <c r="C267" s="10" t="s">
        <v>267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8">
        <v>5122.0</v>
      </c>
      <c r="B268" s="9" t="str">
        <f>HYPERLINK("https://www.lazada.vn/products/snack-tom-thai-hanami-110gr-du-vi-10600-i2518957635.html", "https://www.lazada.vn/products/snack-tom-thai-hanami-110gr-du-vi-10600-i2518957635.html")</f>
        <v>https://www.lazada.vn/products/snack-tom-thai-hanami-110gr-du-vi-10600-i2518957635.html</v>
      </c>
      <c r="C268" s="10" t="s">
        <v>268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8">
        <v>5123.0</v>
      </c>
      <c r="B269" s="9" t="str">
        <f>HYPERLINK("https://www.lazada.vn/products/platinum-beer-bia-thu-cong-platinum-golden-ale-330ml-i3054742877.html", "https://www.lazada.vn/products/platinum-beer-bia-thu-cong-platinum-golden-ale-330ml-i3054742877.html")</f>
        <v>https://www.lazada.vn/products/platinum-beer-bia-thu-cong-platinum-golden-ale-330ml-i3054742877.html</v>
      </c>
      <c r="C269" s="10" t="s">
        <v>269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8">
        <v>5124.0</v>
      </c>
      <c r="B270" s="9" t="str">
        <f>HYPERLINK("https://www.lazada.vn/products/soju-han-quoc-7drops-360ml-vi-truyen-thong-i2332016362.html", "https://www.lazada.vn/products/soju-han-quoc-7drops-360ml-vi-truyen-thong-i2332016362.html")</f>
        <v>https://www.lazada.vn/products/soju-han-quoc-7drops-360ml-vi-truyen-thong-i2332016362.html</v>
      </c>
      <c r="C270" s="10" t="s">
        <v>270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8">
        <v>5125.0</v>
      </c>
      <c r="B271" s="9" t="str">
        <f>HYPERLINK("https://www.lazada.vn/products/ruou-vang-phap-sauvee-cabernet-sauvignon-i2947494144.html", "https://www.lazada.vn/products/ruou-vang-phap-sauvee-cabernet-sauvignon-i2947494144.html")</f>
        <v>https://www.lazada.vn/products/ruou-vang-phap-sauvee-cabernet-sauvignon-i2947494144.html</v>
      </c>
      <c r="C271" s="10" t="s">
        <v>271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8">
        <v>5126.0</v>
      </c>
      <c r="B272" s="9" t="str">
        <f>HYPERLINK("https://www.lazada.vn/products/hop-10-goi-canh-asuzac-rong-bien-du-vi-an-lien-hsd22026-i3033903463.html", "https://www.lazada.vn/products/hop-10-goi-canh-asuzac-rong-bien-du-vi-an-lien-hsd22026-i3033903463.html")</f>
        <v>https://www.lazada.vn/products/hop-10-goi-canh-asuzac-rong-bien-du-vi-an-lien-hsd22026-i3033903463.html</v>
      </c>
      <c r="C272" s="10" t="s">
        <v>272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8">
        <v>5127.0</v>
      </c>
      <c r="B273" s="9" t="str">
        <f>HYPERLINK("https://www.lazada.vn/products/thach-dai-headway-vina-hinh-ca-huong-trai-cay-thom-ngon-chua-ngot-da-dang-nhieu-vi-tui-450g-i2678565826.html", "https://www.lazada.vn/products/thach-dai-headway-vina-hinh-ca-huong-trai-cay-thom-ngon-chua-ngot-da-dang-nhieu-vi-tui-450g-i2678565826.html")</f>
        <v>https://www.lazada.vn/products/thach-dai-headway-vina-hinh-ca-huong-trai-cay-thom-ngon-chua-ngot-da-dang-nhieu-vi-tui-450g-i2678565826.html</v>
      </c>
      <c r="C273" s="10" t="s">
        <v>273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8">
        <v>5128.0</v>
      </c>
      <c r="B274" s="9" t="str">
        <f>HYPERLINK("https://www.lazada.vn/products/bot-cacao-nesquik-nestle-cua-duc-400g-i2528835523.html", "https://www.lazada.vn/products/bot-cacao-nesquik-nestle-cua-duc-400g-i2528835523.html")</f>
        <v>https://www.lazada.vn/products/bot-cacao-nesquik-nestle-cua-duc-400g-i2528835523.html</v>
      </c>
      <c r="C274" s="10" t="s">
        <v>274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8">
        <v>5129.0</v>
      </c>
      <c r="B275" s="9" t="str">
        <f>HYPERLINK("https://www.lazada.vn/products/1kg-o-mai-xi-muoi-dao-bo-khong-hat-chua-ngot-da-lat-loai-1-i1548878141.html", "https://www.lazada.vn/products/1kg-o-mai-xi-muoi-dao-bo-khong-hat-chua-ngot-da-lat-loai-1-i1548878141.html")</f>
        <v>https://www.lazada.vn/products/1kg-o-mai-xi-muoi-dao-bo-khong-hat-chua-ngot-da-lat-loai-1-i1548878141.html</v>
      </c>
      <c r="C275" s="10" t="s">
        <v>275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8">
        <v>5130.0</v>
      </c>
      <c r="B276" s="9" t="str">
        <f>HYPERLINK("https://www.lazada.vn/products/chanh-sanh-nhan-si-va-dai-ly-chanh-dao-u-muoi-mat-ong-chanh-dao-mat-ong-chanh-sanh-u-muoi-thuc-duong-i2161129345.html", "https://www.lazada.vn/products/chanh-sanh-nhan-si-va-dai-ly-chanh-dao-u-muoi-mat-ong-chanh-dao-mat-ong-chanh-sanh-u-muoi-thuc-duong-i2161129345.html")</f>
        <v>https://www.lazada.vn/products/chanh-sanh-nhan-si-va-dai-ly-chanh-dao-u-muoi-mat-ong-chanh-dao-mat-ong-chanh-sanh-u-muoi-thuc-duong-i2161129345.html</v>
      </c>
      <c r="C276" s="10" t="s">
        <v>276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8">
        <v>5131.0</v>
      </c>
      <c r="B277" s="9" t="str">
        <f>HYPERLINK("https://www.lazada.vn/products/ruou-vang-trang-comte-alexandre-white-i2399485204.html", "https://www.lazada.vn/products/ruou-vang-trang-comte-alexandre-white-i2399485204.html")</f>
        <v>https://www.lazada.vn/products/ruou-vang-trang-comte-alexandre-white-i2399485204.html</v>
      </c>
      <c r="C277" s="10" t="s">
        <v>277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8">
        <v>5132.0</v>
      </c>
      <c r="B278" s="9" t="str">
        <f>HYPERLINK("https://www.lazada.vn/products/ruou-de-ba-diem-40-do-chai-1-lit-thom-ngon-dam-da-i3021289339.html", "https://www.lazada.vn/products/ruou-de-ba-diem-40-do-chai-1-lit-thom-ngon-dam-da-i3021289339.html")</f>
        <v>https://www.lazada.vn/products/ruou-de-ba-diem-40-do-chai-1-lit-thom-ngon-dam-da-i3021289339.html</v>
      </c>
      <c r="C278" s="10" t="s">
        <v>278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8">
        <v>5133.0</v>
      </c>
      <c r="B279" s="9" t="str">
        <f>HYPERLINK("https://www.lazada.vn/products/so-chu-soju-han-quoc-him-blueberry-12-360ml-vi-viet-quat-i2384075007.html", "https://www.lazada.vn/products/so-chu-soju-han-quoc-him-blueberry-12-360ml-vi-viet-quat-i2384075007.html")</f>
        <v>https://www.lazada.vn/products/so-chu-soju-han-quoc-him-blueberry-12-360ml-vi-viet-quat-i2384075007.html</v>
      </c>
      <c r="C279" s="10" t="s">
        <v>279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8">
        <v>5134.0</v>
      </c>
      <c r="B280" s="9" t="str">
        <f>HYPERLINK("https://www.lazada.vn/products/soju-han-quoc-korice-360ml-vi-cherry-i2332015419.html", "https://www.lazada.vn/products/soju-han-quoc-korice-360ml-vi-cherry-i2332015419.html")</f>
        <v>https://www.lazada.vn/products/soju-han-quoc-korice-360ml-vi-cherry-i2332015419.html</v>
      </c>
      <c r="C280" s="10" t="s">
        <v>280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8">
        <v>5135.0</v>
      </c>
      <c r="B281" s="9" t="str">
        <f>HYPERLINK("https://www.lazada.vn/products/250g-banh-dua-nguyen-cam-healthy-eat-clean-by-tuna-i2514696734.html", "https://www.lazada.vn/products/250g-banh-dua-nguyen-cam-healthy-eat-clean-by-tuna-i2514696734.html")</f>
        <v>https://www.lazada.vn/products/250g-banh-dua-nguyen-cam-healthy-eat-clean-by-tuna-i2514696734.html</v>
      </c>
      <c r="C281" s="10" t="s">
        <v>281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8">
        <v>5136.0</v>
      </c>
      <c r="B282" s="9" t="str">
        <f>HYPERLINK("https://www.lazada.vn/products/thung-24-chai-nuoc-tang-luc-wake-up-247-vi-ca-phe-330ml-i2691829802.html", "https://www.lazada.vn/products/thung-24-chai-nuoc-tang-luc-wake-up-247-vi-ca-phe-330ml-i2691829802.html")</f>
        <v>https://www.lazada.vn/products/thung-24-chai-nuoc-tang-luc-wake-up-247-vi-ca-phe-330ml-i2691829802.html</v>
      </c>
      <c r="C282" s="10" t="s">
        <v>282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8">
        <v>5137.0</v>
      </c>
      <c r="B283" s="9" t="str">
        <f>HYPERLINK("https://www.lazada.vn/products/banh-snack-muc-gion-200g-thai-lan-i2915935600.html", "https://www.lazada.vn/products/banh-snack-muc-gion-200g-thai-lan-i2915935600.html")</f>
        <v>https://www.lazada.vn/products/banh-snack-muc-gion-200g-thai-lan-i2915935600.html</v>
      </c>
      <c r="C283" s="10" t="s">
        <v>283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8">
        <v>5138.0</v>
      </c>
      <c r="B284" s="9" t="str">
        <f>HYPERLINK("https://www.lazada.vn/products/nuoc-ngot-co-ga-sprite-chai-600ml-i2679690586.html", "https://www.lazada.vn/products/nuoc-ngot-co-ga-sprite-chai-600ml-i2679690586.html")</f>
        <v>https://www.lazada.vn/products/nuoc-ngot-co-ga-sprite-chai-600ml-i2679690586.html</v>
      </c>
      <c r="C284" s="10" t="s">
        <v>284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8">
        <v>5139.0</v>
      </c>
      <c r="B285" s="9" t="str">
        <f>HYPERLINK("https://www.lazada.vn/products/jagermeister-thao-moc-duc-700ml-1000ml-i2903962501.html", "https://www.lazada.vn/products/jagermeister-thao-moc-duc-700ml-1000ml-i2903962501.html")</f>
        <v>https://www.lazada.vn/products/jagermeister-thao-moc-duc-700ml-1000ml-i2903962501.html</v>
      </c>
      <c r="C285" s="10" t="s">
        <v>285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8">
        <v>5140.0</v>
      </c>
      <c r="B286" s="9" t="str">
        <f>HYPERLINK("https://www.lazada.vn/products/ruou-vang-phap-1982-ug-bordeaux-i2947291577.html", "https://www.lazada.vn/products/ruou-vang-phap-1982-ug-bordeaux-i2947291577.html")</f>
        <v>https://www.lazada.vn/products/ruou-vang-phap-1982-ug-bordeaux-i2947291577.html</v>
      </c>
      <c r="C286" s="10" t="s">
        <v>286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8">
        <v>5141.0</v>
      </c>
      <c r="B287" s="9" t="str">
        <f>HYPERLINK("https://www.lazada.vn/products/vang-chevalier-cabernet-sauvignon-i2947287565.html", "https://www.lazada.vn/products/vang-chevalier-cabernet-sauvignon-i2947287565.html")</f>
        <v>https://www.lazada.vn/products/vang-chevalier-cabernet-sauvignon-i2947287565.html</v>
      </c>
      <c r="C287" s="10" t="s">
        <v>287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8">
        <v>5142.0</v>
      </c>
      <c r="B288" s="9" t="str">
        <f>HYPERLINK("https://www.lazada.vn/products/vang-chateau-les-martineaux-bordeaux-i2947215674.html", "https://www.lazada.vn/products/vang-chateau-les-martineaux-bordeaux-i2947215674.html")</f>
        <v>https://www.lazada.vn/products/vang-chateau-les-martineaux-bordeaux-i2947215674.html</v>
      </c>
      <c r="C288" s="10" t="s">
        <v>288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8">
        <v>5143.0</v>
      </c>
      <c r="B289" s="9" t="str">
        <f>HYPERLINK("https://www.lazada.vn/products/buon-si-re-banh-in-cay-6cai-220gr-ngon-re-dua-non-dau-xanh-date-moi-i2862220965.html", "https://www.lazada.vn/products/buon-si-re-banh-in-cay-6cai-220gr-ngon-re-dua-non-dau-xanh-date-moi-i2862220965.html")</f>
        <v>https://www.lazada.vn/products/buon-si-re-banh-in-cay-6cai-220gr-ngon-re-dua-non-dau-xanh-date-moi-i2862220965.html</v>
      </c>
      <c r="C289" s="10" t="s">
        <v>289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8">
        <v>5144.0</v>
      </c>
      <c r="B290" s="9" t="str">
        <f>HYPERLINK("https://www.lazada.vn/products/vang-do-y-f-negroamaro-salento-i2939721768.html", "https://www.lazada.vn/products/vang-do-y-f-negroamaro-salento-i2939721768.html")</f>
        <v>https://www.lazada.vn/products/vang-do-y-f-negroamaro-salento-i2939721768.html</v>
      </c>
      <c r="C290" s="10" t="s">
        <v>290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8">
        <v>5145.0</v>
      </c>
      <c r="B291" s="9" t="str">
        <f>HYPERLINK("https://www.lazada.vn/products/banh-mi-100-nguyen-cam-tot-cho-suc-khoe-i2861612000.html", "https://www.lazada.vn/products/banh-mi-100-nguyen-cam-tot-cho-suc-khoe-i2861612000.html")</f>
        <v>https://www.lazada.vn/products/banh-mi-100-nguyen-cam-tot-cho-suc-khoe-i2861612000.html</v>
      </c>
      <c r="C291" s="10" t="s">
        <v>291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8">
        <v>5146.0</v>
      </c>
      <c r="B292" s="9" t="str">
        <f>HYPERLINK("https://www.lazada.vn/products/vang-do-jacobs-creek-classic-shiraz-750ml-i2928811002.html", "https://www.lazada.vn/products/vang-do-jacobs-creek-classic-shiraz-750ml-i2928811002.html")</f>
        <v>https://www.lazada.vn/products/vang-do-jacobs-creek-classic-shiraz-750ml-i2928811002.html</v>
      </c>
      <c r="C292" s="10" t="s">
        <v>292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8">
        <v>5147.0</v>
      </c>
      <c r="B293" s="9" t="str">
        <f>HYPERLINK("https://www.lazada.vn/products/vang-y-cobra-doro-primitivo-i2928761059.html", "https://www.lazada.vn/products/vang-y-cobra-doro-primitivo-i2928761059.html")</f>
        <v>https://www.lazada.vn/products/vang-y-cobra-doro-primitivo-i2928761059.html</v>
      </c>
      <c r="C293" s="10" t="s">
        <v>293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8">
        <v>5148.0</v>
      </c>
      <c r="B294" s="9" t="str">
        <f>HYPERLINK("https://www.lazada.vn/products/vang-f-gold-limited-edition-750ml-i2904069474.html", "https://www.lazada.vn/products/vang-f-gold-limited-edition-750ml-i2904069474.html")</f>
        <v>https://www.lazada.vn/products/vang-f-gold-limited-edition-750ml-i2904069474.html</v>
      </c>
      <c r="C294" s="10" t="s">
        <v>294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8">
        <v>5149.0</v>
      </c>
      <c r="B295" s="9" t="str">
        <f>HYPERLINK("https://www.lazada.vn/products/milo-day-10-goi-tang-1goi-i2525382727.html", "https://www.lazada.vn/products/milo-day-10-goi-tang-1goi-i2525382727.html")</f>
        <v>https://www.lazada.vn/products/milo-day-10-goi-tang-1goi-i2525382727.html</v>
      </c>
      <c r="C295" s="10" t="s">
        <v>295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8">
        <v>5150.0</v>
      </c>
      <c r="B296" s="9" t="str">
        <f>HYPERLINK("https://www.lazada.vn/products/thach-akita-headway-goi-giay-mix-du-vi-tra-sua-da-dang-thom-ngon-gion-san-sat-cuc-hap-dan-tui-300g-i2678551939.html", "https://www.lazada.vn/products/thach-akita-headway-goi-giay-mix-du-vi-tra-sua-da-dang-thom-ngon-gion-san-sat-cuc-hap-dan-tui-300g-i2678551939.html")</f>
        <v>https://www.lazada.vn/products/thach-akita-headway-goi-giay-mix-du-vi-tra-sua-da-dang-thom-ngon-gion-san-sat-cuc-hap-dan-tui-300g-i2678551939.html</v>
      </c>
      <c r="C296" s="10" t="s">
        <v>296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8">
        <v>5151.0</v>
      </c>
      <c r="B297" s="9" t="str">
        <f>HYPERLINK("https://www.lazada.vn/products/vang-y-don-anto-primitivo-165-do-175-do-18-do-i2904055429.html", "https://www.lazada.vn/products/vang-y-don-anto-primitivo-165-do-175-do-18-do-i2904055429.html")</f>
        <v>https://www.lazada.vn/products/vang-y-don-anto-primitivo-165-do-175-do-18-do-i2904055429.html</v>
      </c>
      <c r="C297" s="10" t="s">
        <v>297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8">
        <v>5152.0</v>
      </c>
      <c r="B298" s="9" t="str">
        <f>HYPERLINK("https://www.lazada.vn/products/cb-12-goi-mien-tron-phu-huong-hai-san-cay-66gr-60139-i3025275884.html", "https://www.lazada.vn/products/cb-12-goi-mien-tron-phu-huong-hai-san-cay-66gr-60139-i3025275884.html")</f>
        <v>https://www.lazada.vn/products/cb-12-goi-mien-tron-phu-huong-hai-san-cay-66gr-60139-i3025275884.html</v>
      </c>
      <c r="C298" s="10" t="s">
        <v>298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8">
        <v>5153.0</v>
      </c>
      <c r="B299" s="9" t="str">
        <f>HYPERLINK("https://www.lazada.vn/products/vang-da-lat-excellence-do-750ml-i2903860766.html", "https://www.lazada.vn/products/vang-da-lat-excellence-do-750ml-i2903860766.html")</f>
        <v>https://www.lazada.vn/products/vang-da-lat-excellence-do-750ml-i2903860766.html</v>
      </c>
      <c r="C299" s="10" t="s">
        <v>299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8">
        <v>5154.0</v>
      </c>
      <c r="B300" s="9" t="str">
        <f>HYPERLINK("https://www.lazada.vn/products/che-duong-nhan-tao-do-tuyet-yen-nhan-nhuc-duong-phen-bo-duong-hop-195g-store-gia-ngan-i3014552930.html", "https://www.lazada.vn/products/che-duong-nhan-tao-do-tuyet-yen-nhan-nhuc-duong-phen-bo-duong-hop-195g-store-gia-ngan-i3014552930.html")</f>
        <v>https://www.lazada.vn/products/che-duong-nhan-tao-do-tuyet-yen-nhan-nhuc-duong-phen-bo-duong-hop-195g-store-gia-ngan-i3014552930.html</v>
      </c>
      <c r="C300" s="10" t="s">
        <v>300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8">
        <v>5155.0</v>
      </c>
      <c r="B301" s="9" t="str">
        <f>HYPERLINK("https://www.lazada.vn/products/so-chu-soju-han-quoc-him-lychee-12-360ml-vi-vai-i2384061118.html", "https://www.lazada.vn/products/so-chu-soju-han-quoc-him-lychee-12-360ml-vi-vai-i2384061118.html")</f>
        <v>https://www.lazada.vn/products/so-chu-soju-han-quoc-him-lychee-12-360ml-vi-vai-i2384061118.html</v>
      </c>
      <c r="C301" s="10" t="s">
        <v>301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8">
        <v>5156.0</v>
      </c>
      <c r="B302" s="9" t="str">
        <f>HYPERLINK("https://www.lazada.vn/products/nuoc-ngot-co-ga-fanta-cam-chai-600ml-i2679682614.html", "https://www.lazada.vn/products/nuoc-ngot-co-ga-fanta-cam-chai-600ml-i2679682614.html")</f>
        <v>https://www.lazada.vn/products/nuoc-ngot-co-ga-fanta-cam-chai-600ml-i2679682614.html</v>
      </c>
      <c r="C302" s="10" t="s">
        <v>302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8">
        <v>5157.0</v>
      </c>
      <c r="B303" s="9" t="str">
        <f>HYPERLINK("https://www.lazada.vn/products/mam-nem-dua-ca-500gr-i2159276292.html", "https://www.lazada.vn/products/mam-nem-dua-ca-500gr-i2159276292.html")</f>
        <v>https://www.lazada.vn/products/mam-nem-dua-ca-500gr-i2159276292.html</v>
      </c>
      <c r="C303" s="10" t="s">
        <v>303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8">
        <v>5158.0</v>
      </c>
      <c r="B304" s="9" t="str">
        <f>HYPERLINK("https://www.lazada.vn/products/vien-keo-sam-xtreme-chinh-hang-malay-vien-keo-my-do-i2943964146.html", "https://www.lazada.vn/products/vien-keo-sam-xtreme-chinh-hang-malay-vien-keo-my-do-i2943964146.html")</f>
        <v>https://www.lazada.vn/products/vien-keo-sam-xtreme-chinh-hang-malay-vien-keo-my-do-i2943964146.html</v>
      </c>
      <c r="C304" s="10" t="s">
        <v>304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8">
        <v>5159.0</v>
      </c>
      <c r="B305" s="9" t="str">
        <f>HYPERLINK("https://www.lazada.vn/products/500g-o-mai-dao-xi-muoi-khong-hat-chua-ngot-da-lat-loai-1-i1548816274.html", "https://www.lazada.vn/products/500g-o-mai-dao-xi-muoi-khong-hat-chua-ngot-da-lat-loai-1-i1548816274.html")</f>
        <v>https://www.lazada.vn/products/500g-o-mai-dao-xi-muoi-khong-hat-chua-ngot-da-lat-loai-1-i1548816274.html</v>
      </c>
      <c r="C305" s="10" t="s">
        <v>305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8">
        <v>5160.0</v>
      </c>
      <c r="B306" s="9" t="str">
        <f>HYPERLINK("https://www.lazada.vn/products/ruou-vang-trang-phap-chateau-du-monastere-i2398986365.html", "https://www.lazada.vn/products/ruou-vang-trang-phap-chateau-du-monastere-i2398986365.html")</f>
        <v>https://www.lazada.vn/products/ruou-vang-trang-phap-chateau-du-monastere-i2398986365.html</v>
      </c>
      <c r="C306" s="10" t="s">
        <v>306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8">
        <v>5161.0</v>
      </c>
      <c r="B307" s="9" t="str">
        <f>HYPERLINK("https://www.lazada.vn/products/soju-han-quoc-korice-360ml-vi-dua-luoi-i2332015411.html", "https://www.lazada.vn/products/soju-han-quoc-korice-360ml-vi-dua-luoi-i2332015411.html")</f>
        <v>https://www.lazada.vn/products/soju-han-quoc-korice-360ml-vi-dua-luoi-i2332015411.html</v>
      </c>
      <c r="C307" s="10" t="s">
        <v>307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8">
        <v>5162.0</v>
      </c>
      <c r="B308" s="9" t="str">
        <f>HYPERLINK("https://www.lazada.vn/products/10-chai-nuoc-chong-say-tau-xe-dongsung-toslong-30ml-han-quoc-giup-tinh-than-tinh-tao-ngan-ngua-buon-non-i2691377276.html", "https://www.lazada.vn/products/10-chai-nuoc-chong-say-tau-xe-dongsung-toslong-30ml-han-quoc-giup-tinh-than-tinh-tao-ngan-ngua-buon-non-i2691377276.html")</f>
        <v>https://www.lazada.vn/products/10-chai-nuoc-chong-say-tau-xe-dongsung-toslong-30ml-han-quoc-giup-tinh-than-tinh-tao-ngan-ngua-buon-non-i2691377276.html</v>
      </c>
      <c r="C308" s="10" t="s">
        <v>308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8">
        <v>5163.0</v>
      </c>
      <c r="B309" s="9" t="str">
        <f>HYPERLINK("https://www.lazada.vn/products/muc-bento-thai-lan-5g-i2915924788.html", "https://www.lazada.vn/products/muc-bento-thai-lan-5g-i2915924788.html")</f>
        <v>https://www.lazada.vn/products/muc-bento-thai-lan-5g-i2915924788.html</v>
      </c>
      <c r="C309" s="10" t="s">
        <v>309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8">
        <v>5164.0</v>
      </c>
      <c r="B310" s="9" t="str">
        <f>HYPERLINK("https://www.lazada.vn/products/banh-gao-lut-thanh-phan-tu-nhien-vi-ngot-nhe-thanh-thanh-cua-dau-tam-thuc-pham-an-kieng-lanh-manh-cho-nguoi-giam-can-i2506356644.html", "https://www.lazada.vn/products/banh-gao-lut-thanh-phan-tu-nhien-vi-ngot-nhe-thanh-thanh-cua-dau-tam-thuc-pham-an-kieng-lanh-manh-cho-nguoi-giam-can-i2506356644.html")</f>
        <v>https://www.lazada.vn/products/banh-gao-lut-thanh-phan-tu-nhien-vi-ngot-nhe-thanh-thanh-cua-dau-tam-thuc-pham-an-kieng-lanh-manh-cho-nguoi-giam-can-i2506356644.html</v>
      </c>
      <c r="C310" s="10" t="s">
        <v>310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8">
        <v>5165.0</v>
      </c>
      <c r="B311" s="9" t="str">
        <f>HYPERLINK("https://www.lazada.vn/products/bia-tuoi-lua-mach-thao-moc-toucan-viet-nam-pale-ale-1-thung-6-chai-x-330ml-i3052920062.html", "https://www.lazada.vn/products/bia-tuoi-lua-mach-thao-moc-toucan-viet-nam-pale-ale-1-thung-6-chai-x-330ml-i3052920062.html")</f>
        <v>https://www.lazada.vn/products/bia-tuoi-lua-mach-thao-moc-toucan-viet-nam-pale-ale-1-thung-6-chai-x-330ml-i3052920062.html</v>
      </c>
      <c r="C311" s="10" t="s">
        <v>311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8">
        <v>5166.0</v>
      </c>
      <c r="B312" s="9" t="str">
        <f>HYPERLINK("https://www.lazada.vn/products/ca-phe-arabica-mr-viet-500g-cafe-hat-da-rang-arabica-coffee-roasted-bean-500g-i2824718160.html", "https://www.lazada.vn/products/ca-phe-arabica-mr-viet-500g-cafe-hat-da-rang-arabica-coffee-roasted-bean-500g-i2824718160.html")</f>
        <v>https://www.lazada.vn/products/ca-phe-arabica-mr-viet-500g-cafe-hat-da-rang-arabica-coffee-roasted-bean-500g-i2824718160.html</v>
      </c>
      <c r="C312" s="10" t="s">
        <v>312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8">
        <v>5167.0</v>
      </c>
      <c r="B313" s="9" t="str">
        <f>HYPERLINK("https://www.lazada.vn/products/duong-chat-combo-300g-banh-me-den-mix-hat-thuan-chay-gion-ngon-mon-an-vat-dinh-duong-tot-cho-co-the-i2837855504.html", "https://www.lazada.vn/products/duong-chat-combo-300g-banh-me-den-mix-hat-thuan-chay-gion-ngon-mon-an-vat-dinh-duong-tot-cho-co-the-i2837855504.html")</f>
        <v>https://www.lazada.vn/products/duong-chat-combo-300g-banh-me-den-mix-hat-thuan-chay-gion-ngon-mon-an-vat-dinh-duong-tot-cho-co-the-i2837855504.html</v>
      </c>
      <c r="C313" s="10" t="s">
        <v>313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8">
        <v>5168.0</v>
      </c>
      <c r="B314" s="9" t="str">
        <f>HYPERLINK("https://www.lazada.vn/products/toblerone-chocolate-triangle-milk-chocolate-honey-100g-snack-nuts-special-products-white-chocolate-swiss-milk-chocolate50g-i2965781065.html", "https://www.lazada.vn/products/toblerone-chocolate-triangle-milk-chocolate-honey-100g-snack-nuts-special-products-white-chocolate-swiss-milk-chocolate50g-i2965781065.html")</f>
        <v>https://www.lazada.vn/products/toblerone-chocolate-triangle-milk-chocolate-honey-100g-snack-nuts-special-products-white-chocolate-swiss-milk-chocolate50g-i2965781065.html</v>
      </c>
      <c r="C314" s="10" t="s">
        <v>314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8">
        <v>5169.0</v>
      </c>
      <c r="B315" s="9" t="str">
        <f>HYPERLINK("https://www.lazada.vn/products/dau-tam-ngam-duong-phen-1kg-viettin-mart-i2765530986.html", "https://www.lazada.vn/products/dau-tam-ngam-duong-phen-1kg-viettin-mart-i2765530986.html")</f>
        <v>https://www.lazada.vn/products/dau-tam-ngam-duong-phen-1kg-viettin-mart-i2765530986.html</v>
      </c>
      <c r="C315" s="10" t="s">
        <v>315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8">
        <v>5170.0</v>
      </c>
      <c r="B316" s="9" t="str">
        <f>HYPERLINK("https://www.lazada.vn/products/bot-pha-diep-luc-co-dac-lo-92g-i2786533380.html", "https://www.lazada.vn/products/bot-pha-diep-luc-co-dac-lo-92g-i2786533380.html")</f>
        <v>https://www.lazada.vn/products/bot-pha-diep-luc-co-dac-lo-92g-i2786533380.html</v>
      </c>
      <c r="C316" s="10" t="s">
        <v>316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8">
        <v>5171.0</v>
      </c>
      <c r="B317" s="9" t="str">
        <f>HYPERLINK("https://www.lazada.vn/products/banh-gao-gerber-vi-dau-tao-cai-bo-xoi-hop-48g-i2957582419.html", "https://www.lazada.vn/products/banh-gao-gerber-vi-dau-tao-cai-bo-xoi-hop-48g-i2957582419.html")</f>
        <v>https://www.lazada.vn/products/banh-gao-gerber-vi-dau-tao-cai-bo-xoi-hop-48g-i2957582419.html</v>
      </c>
      <c r="C317" s="10" t="s">
        <v>317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8">
        <v>5172.0</v>
      </c>
      <c r="B318" s="9" t="str">
        <f>HYPERLINK("https://www.lazada.vn/products/sl-co-han-vien-nhai-sinh-ton-30-ngay-khan-cap-my-180-vien-han-luu-tru-10-nam-luong-kho-my-survival-shot-ready-hour-i2158996616.html", "https://www.lazada.vn/products/sl-co-han-vien-nhai-sinh-ton-30-ngay-khan-cap-my-180-vien-han-luu-tru-10-nam-luong-kho-my-survival-shot-ready-hour-i2158996616.html")</f>
        <v>https://www.lazada.vn/products/sl-co-han-vien-nhai-sinh-ton-30-ngay-khan-cap-my-180-vien-han-luu-tru-10-nam-luong-kho-my-survival-shot-ready-hour-i2158996616.html</v>
      </c>
      <c r="C318" s="10" t="s">
        <v>318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8">
        <v>5173.0</v>
      </c>
      <c r="B319" s="9" t="str">
        <f>HYPERLINK("https://www.lazada.vn/products/mi-can-dau-phong-hop-dai-loan-i2148104221.html", "https://www.lazada.vn/products/mi-can-dau-phong-hop-dai-loan-i2148104221.html")</f>
        <v>https://www.lazada.vn/products/mi-can-dau-phong-hop-dai-loan-i2148104221.html</v>
      </c>
      <c r="C319" s="10" t="s">
        <v>319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8">
        <v>5174.0</v>
      </c>
      <c r="B320" s="9" t="str">
        <f>HYPERLINK("https://www.lazada.vn/products/keo-thoi-hop-100g-ban-xoay-bean-boozled-harri-potter-keo-thui-dinh-dam-mua-5-i2940400792.html", "https://www.lazada.vn/products/keo-thoi-hop-100g-ban-xoay-bean-boozled-harri-potter-keo-thui-dinh-dam-mua-5-i2940400792.html")</f>
        <v>https://www.lazada.vn/products/keo-thoi-hop-100g-ban-xoay-bean-boozled-harri-potter-keo-thui-dinh-dam-mua-5-i2940400792.html</v>
      </c>
      <c r="C320" s="10" t="s">
        <v>320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8">
        <v>5175.0</v>
      </c>
      <c r="B321" s="9" t="str">
        <f>HYPERLINK("https://www.lazada.vn/products/vang-mosanto-nhan-do-i2903990054.html", "https://www.lazada.vn/products/vang-mosanto-nhan-do-i2903990054.html")</f>
        <v>https://www.lazada.vn/products/vang-mosanto-nhan-do-i2903990054.html</v>
      </c>
      <c r="C321" s="10" t="s">
        <v>321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8">
        <v>5176.0</v>
      </c>
      <c r="B322" s="9" t="str">
        <f>HYPERLINK("https://www.lazada.vn/products/khoi-so-co-la-nhieu-vi-milka-cua-inka-qua-tang-ngay-le-tinh-nhan-cho-ban-gai-thuc-an-nhe-giai-tri-da-dong-goi-i2965776002.html", "https://www.lazada.vn/products/khoi-so-co-la-nhieu-vi-milka-cua-inka-qua-tang-ngay-le-tinh-nhan-cho-ban-gai-thuc-an-nhe-giai-tri-da-dong-goi-i2965776002.html")</f>
        <v>https://www.lazada.vn/products/khoi-so-co-la-nhieu-vi-milka-cua-inka-qua-tang-ngay-le-tinh-nhan-cho-ban-gai-thuc-an-nhe-giai-tri-da-dong-goi-i2965776002.html</v>
      </c>
      <c r="C322" s="10" t="s">
        <v>322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8">
        <v>5177.0</v>
      </c>
      <c r="B323" s="9" t="str">
        <f>HYPERLINK("https://www.lazada.vn/products/banh-po-quay-hop-ngoc-quynh-an-vat-tuoi-tho-shop-thu-quan-i2830017774.html", "https://www.lazada.vn/products/banh-po-quay-hop-ngoc-quynh-an-vat-tuoi-tho-shop-thu-quan-i2830017774.html")</f>
        <v>https://www.lazada.vn/products/banh-po-quay-hop-ngoc-quynh-an-vat-tuoi-tho-shop-thu-quan-i2830017774.html</v>
      </c>
      <c r="C323" s="10" t="s">
        <v>323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8">
        <v>5178.0</v>
      </c>
      <c r="B324" s="9" t="str">
        <f>HYPERLINK("https://www.lazada.vn/products/ca-phe-say-thang-hoa-shin-cao-cap-tu-hat-robusta-va-arabica-hop-50-vien-mix-i2821031393.html", "https://www.lazada.vn/products/ca-phe-say-thang-hoa-shin-cao-cap-tu-hat-robusta-va-arabica-hop-50-vien-mix-i2821031393.html")</f>
        <v>https://www.lazada.vn/products/ca-phe-say-thang-hoa-shin-cao-cap-tu-hat-robusta-va-arabica-hop-50-vien-mix-i2821031393.html</v>
      </c>
      <c r="C324" s="10" t="s">
        <v>324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8">
        <v>5179.0</v>
      </c>
      <c r="B325" s="9" t="str">
        <f>HYPERLINK("https://www.lazada.vn/products/mo-ngam-duong-phen-1kg-viettin-mart-i2765502515.html", "https://www.lazada.vn/products/mo-ngam-duong-phen-1kg-viettin-mart-i2765502515.html")</f>
        <v>https://www.lazada.vn/products/mo-ngam-duong-phen-1kg-viettin-mart-i2765502515.html</v>
      </c>
      <c r="C325" s="10" t="s">
        <v>325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8">
        <v>5180.0</v>
      </c>
      <c r="B326" s="9" t="str">
        <f>HYPERLINK("https://www.lazada.vn/products/bia-tuoi-lua-mach-thao-moc-toucan-viet-nam-pale-ale-1-thung-12-chai-x-330ml-i3052889237.html", "https://www.lazada.vn/products/bia-tuoi-lua-mach-thao-moc-toucan-viet-nam-pale-ale-1-thung-12-chai-x-330ml-i3052889237.html")</f>
        <v>https://www.lazada.vn/products/bia-tuoi-lua-mach-thao-moc-toucan-viet-nam-pale-ale-1-thung-12-chai-x-330ml-i3052889237.html</v>
      </c>
      <c r="C326" s="10" t="s">
        <v>326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8">
        <v>5181.0</v>
      </c>
      <c r="B327" s="9" t="str">
        <f>HYPERLINK("https://www.lazada.vn/products/thach-tarami-vi-nho-den-i2677995426.html", "https://www.lazada.vn/products/thach-tarami-vi-nho-den-i2677995426.html")</f>
        <v>https://www.lazada.vn/products/thach-tarami-vi-nho-den-i2677995426.html</v>
      </c>
      <c r="C327" s="10" t="s">
        <v>327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8">
        <v>5182.0</v>
      </c>
      <c r="B328" s="9" t="str">
        <f>HYPERLINK("https://www.lazada.vn/products/dau-hu-pho-mai-eb-hang-nhap-bich-500g-giao-hoa-toc-tphcm-i1534219564.html", "https://www.lazada.vn/products/dau-hu-pho-mai-eb-hang-nhap-bich-500g-giao-hoa-toc-tphcm-i1534219564.html")</f>
        <v>https://www.lazada.vn/products/dau-hu-pho-mai-eb-hang-nhap-bich-500g-giao-hoa-toc-tphcm-i1534219564.html</v>
      </c>
      <c r="C328" s="10" t="s">
        <v>328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8">
        <v>5183.0</v>
      </c>
      <c r="B329" s="9" t="str">
        <f>HYPERLINK("https://www.lazada.vn/products/ruou-vang-y-tavernello-montepulciano-dabruzzo-2019-i2397665750.html", "https://www.lazada.vn/products/ruou-vang-y-tavernello-montepulciano-dabruzzo-2019-i2397665750.html")</f>
        <v>https://www.lazada.vn/products/ruou-vang-y-tavernello-montepulciano-dabruzzo-2019-i2397665750.html</v>
      </c>
      <c r="C329" s="10" t="s">
        <v>329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8">
        <v>5184.0</v>
      </c>
      <c r="B330" s="9" t="str">
        <f>HYPERLINK("https://www.lazada.vn/products/ca-1-kg-thach-dua-thanh-binh-cocktail-jelly-i3005264886.html", "https://www.lazada.vn/products/ca-1-kg-thach-dua-thanh-binh-cocktail-jelly-i3005264886.html")</f>
        <v>https://www.lazada.vn/products/ca-1-kg-thach-dua-thanh-binh-cocktail-jelly-i3005264886.html</v>
      </c>
      <c r="C330" s="10" t="s">
        <v>330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8">
        <v>5185.0</v>
      </c>
      <c r="B331" s="9" t="str">
        <f>HYPERLINK("https://www.lazada.vn/products/so-chu-soju-han-quoc-him-watermelon-12-360ml-vi-dua-hau-i2384016183.html", "https://www.lazada.vn/products/so-chu-soju-han-quoc-him-watermelon-12-360ml-vi-dua-hau-i2384016183.html")</f>
        <v>https://www.lazada.vn/products/so-chu-soju-han-quoc-him-watermelon-12-360ml-vi-dua-hau-i2384016183.html</v>
      </c>
      <c r="C331" s="10" t="s">
        <v>331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8">
        <v>5186.0</v>
      </c>
      <c r="B332" s="9" t="str">
        <f>HYPERLINK("https://www.lazada.vn/products/banh-gao-den-tay-bac-thanh-phan-it-duong-khong-chat-bao-quan-lam-tu-bot-say-cac-hat-ngu-coc-tot-cho-suc-khoe-i2506102205.html", "https://www.lazada.vn/products/banh-gao-den-tay-bac-thanh-phan-it-duong-khong-chat-bao-quan-lam-tu-bot-say-cac-hat-ngu-coc-tot-cho-suc-khoe-i2506102205.html")</f>
        <v>https://www.lazada.vn/products/banh-gao-den-tay-bac-thanh-phan-it-duong-khong-chat-bao-quan-lam-tu-bot-say-cac-hat-ngu-coc-tot-cho-suc-khoe-i2506102205.html</v>
      </c>
      <c r="C332" s="10" t="s">
        <v>332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8">
        <v>5187.0</v>
      </c>
      <c r="B333" s="9" t="str">
        <f>HYPERLINK("https://www.lazada.vn/products/nuoc-ngot-co-ga-fanta-cam-chai-15l-i2679682613.html", "https://www.lazada.vn/products/nuoc-ngot-co-ga-fanta-cam-chai-15l-i2679682613.html")</f>
        <v>https://www.lazada.vn/products/nuoc-ngot-co-ga-fanta-cam-chai-15l-i2679682613.html</v>
      </c>
      <c r="C333" s="10" t="s">
        <v>333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8">
        <v>5188.0</v>
      </c>
      <c r="B334" s="9" t="str">
        <f>HYPERLINK("https://www.lazada.vn/products/banh-quy-dong-tien-mix-vi-sieu-ngon-man-man-gion-gion-i2955530166.html", "https://www.lazada.vn/products/banh-quy-dong-tien-mix-vi-sieu-ngon-man-man-gion-gion-i2955530166.html")</f>
        <v>https://www.lazada.vn/products/banh-quy-dong-tien-mix-vi-sieu-ngon-man-man-gion-gion-i2955530166.html</v>
      </c>
      <c r="C334" s="10" t="s">
        <v>334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8">
        <v>5189.0</v>
      </c>
      <c r="B335" s="9" t="str">
        <f>HYPERLINK("https://www.lazada.vn/products/bot-cacao-dang-nguyen-chat-tui-500gr-bep-che-thai-i2524651174.html", "https://www.lazada.vn/products/bot-cacao-dang-nguyen-chat-tui-500gr-bep-che-thai-i2524651174.html")</f>
        <v>https://www.lazada.vn/products/bot-cacao-dang-nguyen-chat-tui-500gr-bep-che-thai-i2524651174.html</v>
      </c>
      <c r="C335" s="10" t="s">
        <v>335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8">
        <v>5190.0</v>
      </c>
      <c r="B336" s="9" t="str">
        <f>HYPERLINK("https://www.lazada.vn/products/ruou-chuoi-hot-rung-500ml-i2898027269.html", "https://www.lazada.vn/products/ruou-chuoi-hot-rung-500ml-i2898027269.html")</f>
        <v>https://www.lazada.vn/products/ruou-chuoi-hot-rung-500ml-i2898027269.html</v>
      </c>
      <c r="C336" s="10" t="s">
        <v>336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8">
        <v>5191.0</v>
      </c>
      <c r="B337" s="9" t="str">
        <f>HYPERLINK("https://www.lazada.vn/products/bot-ngai-cuu-nguyen-chat-100-thanh-loc-co-the-thai-doc-duong-da-an-hoa-phat-i2782702363.html", "https://www.lazada.vn/products/bot-ngai-cuu-nguyen-chat-100-thanh-loc-co-the-thai-doc-duong-da-an-hoa-phat-i2782702363.html")</f>
        <v>https://www.lazada.vn/products/bot-ngai-cuu-nguyen-chat-100-thanh-loc-co-the-thai-doc-duong-da-an-hoa-phat-i2782702363.html</v>
      </c>
      <c r="C337" s="10" t="s">
        <v>337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8">
        <v>5192.0</v>
      </c>
      <c r="B338" s="9" t="str">
        <f>HYPERLINK("https://www.lazada.vn/products/thung-30-goi-mi-omachi-bo-ham-sot-vang-92gr-67909-i3024902800.html", "https://www.lazada.vn/products/thung-30-goi-mi-omachi-bo-ham-sot-vang-92gr-67909-i3024902800.html")</f>
        <v>https://www.lazada.vn/products/thung-30-goi-mi-omachi-bo-ham-sot-vang-92gr-67909-i3024902800.html</v>
      </c>
      <c r="C338" s="10" t="s">
        <v>338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8">
        <v>5193.0</v>
      </c>
      <c r="B339" s="9" t="str">
        <f>HYPERLINK("https://www.lazada.vn/products/soju-han-quoc-jinro-360ml-vi-truyen-thong-chamisul-i2332014387.html", "https://www.lazada.vn/products/soju-han-quoc-jinro-360ml-vi-truyen-thong-chamisul-i2332014387.html")</f>
        <v>https://www.lazada.vn/products/soju-han-quoc-jinro-360ml-vi-truyen-thong-chamisul-i2332014387.html</v>
      </c>
      <c r="C339" s="10" t="s">
        <v>339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8">
        <v>5194.0</v>
      </c>
      <c r="B340" s="9" t="str">
        <f>HYPERLINK("https://www.lazada.vn/products/1kg-banh-khoai-tay-potato-x5-hieu-cong-tuyen-i2915923862.html", "https://www.lazada.vn/products/1kg-banh-khoai-tay-potato-x5-hieu-cong-tuyen-i2915923862.html")</f>
        <v>https://www.lazada.vn/products/1kg-banh-khoai-tay-potato-x5-hieu-cong-tuyen-i2915923862.html</v>
      </c>
      <c r="C340" s="10" t="s">
        <v>340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8">
        <v>5195.0</v>
      </c>
      <c r="B341" s="9" t="str">
        <f>HYPERLINK("https://www.lazada.vn/products/5-chai-nuoc-chong-say-tau-xe-dongsung-toslong-30ml-han-quoc-giup-tinh-than-tinh-tao-ngan-ngua-buon-non-i2691370324.html", "https://www.lazada.vn/products/5-chai-nuoc-chong-say-tau-xe-dongsung-toslong-30ml-han-quoc-giup-tinh-than-tinh-tao-ngan-ngua-buon-non-i2691370324.html")</f>
        <v>https://www.lazada.vn/products/5-chai-nuoc-chong-say-tau-xe-dongsung-toslong-30ml-han-quoc-giup-tinh-than-tinh-tao-ngan-ngua-buon-non-i2691370324.html</v>
      </c>
      <c r="C341" s="10" t="s">
        <v>341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8">
        <v>5196.0</v>
      </c>
      <c r="B342" s="9" t="str">
        <f>HYPERLINK("https://www.lazada.vn/products/keo-dua-chunguang-bui-bui-thom-ngon-goi-228gr-i2930235292.html", "https://www.lazada.vn/products/keo-dua-chunguang-bui-bui-thom-ngon-goi-228gr-i2930235292.html")</f>
        <v>https://www.lazada.vn/products/keo-dua-chunguang-bui-bui-thom-ngon-goi-228gr-i2930235292.html</v>
      </c>
      <c r="C342" s="10" t="s">
        <v>342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8">
        <v>5197.0</v>
      </c>
      <c r="B343" s="9" t="str">
        <f>HYPERLINK("https://www.lazada.vn/products/vang-mosanto-nhan-vang-i2903929284.html", "https://www.lazada.vn/products/vang-mosanto-nhan-vang-i2903929284.html")</f>
        <v>https://www.lazada.vn/products/vang-mosanto-nhan-vang-i2903929284.html</v>
      </c>
      <c r="C343" s="10" t="s">
        <v>343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8">
        <v>5198.0</v>
      </c>
      <c r="B344" s="9" t="str">
        <f>HYPERLINK("https://www.lazada.vn/products/bo-suu-tap-chocolate-bar-36g-x5-samjin-chocolate-bar-dai-co-nhan-dau-phong-khong-chua-cacao-banh-keo-giai-tri-san-pham-dac-biet-han-quoc-i2965771202.html", "https://www.lazada.vn/products/bo-suu-tap-chocolate-bar-36g-x5-samjin-chocolate-bar-dai-co-nhan-dau-phong-khong-chua-cacao-banh-keo-giai-tri-san-pham-dac-biet-han-quoc-i2965771202.html")</f>
        <v>https://www.lazada.vn/products/bo-suu-tap-chocolate-bar-36g-x5-samjin-chocolate-bar-dai-co-nhan-dau-phong-khong-chua-cacao-banh-keo-giai-tri-san-pham-dac-biet-han-quoc-i2965771202.html</v>
      </c>
      <c r="C344" s="10" t="s">
        <v>344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8">
        <v>5199.0</v>
      </c>
      <c r="B345" s="9" t="str">
        <f>HYPERLINK("https://www.lazada.vn/products/so-chu-soju-han-quoc-him-peach-12-360ml-vi-dao-i2384007219.html", "https://www.lazada.vn/products/so-chu-soju-han-quoc-him-peach-12-360ml-vi-dao-i2384007219.html")</f>
        <v>https://www.lazada.vn/products/so-chu-soju-han-quoc-him-peach-12-360ml-vi-dao-i2384007219.html</v>
      </c>
      <c r="C345" s="10" t="s">
        <v>345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8">
        <v>5200.0</v>
      </c>
      <c r="B346" s="9" t="str">
        <f>HYPERLINK("https://www.lazada.vn/products/thach-tarami-vi-dao-trang-i2677995424.html", "https://www.lazada.vn/products/thach-tarami-vi-dao-trang-i2677995424.html")</f>
        <v>https://www.lazada.vn/products/thach-tarami-vi-dao-trang-i2677995424.html</v>
      </c>
      <c r="C346" s="10" t="s">
        <v>346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8">
        <v>5201.0</v>
      </c>
      <c r="B347" s="9" t="str">
        <f>HYPERLINK("https://www.lazada.vn/products/so-chu-soju-han-quoc-him-yogurt-12-360ml-vi-sua-chua-i2384002301.html", "https://www.lazada.vn/products/so-chu-soju-han-quoc-him-yogurt-12-360ml-vi-sua-chua-i2384002301.html")</f>
        <v>https://www.lazada.vn/products/so-chu-soju-han-quoc-him-yogurt-12-360ml-vi-sua-chua-i2384002301.html</v>
      </c>
      <c r="C347" s="10" t="s">
        <v>347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8">
        <v>5202.0</v>
      </c>
      <c r="B348" s="9" t="str">
        <f>HYPERLINK("https://www.lazada.vn/products/combo-3-goi-com-nua-vi-nguyen-an-kieng-das-keto-goi-240g-an-kieng-das-lowcard-giam-can-i1524575313.html", "https://www.lazada.vn/products/combo-3-goi-com-nua-vi-nguyen-an-kieng-das-keto-goi-240g-an-kieng-das-lowcard-giam-can-i1524575313.html")</f>
        <v>https://www.lazada.vn/products/combo-3-goi-com-nua-vi-nguyen-an-kieng-das-keto-goi-240g-an-kieng-das-lowcard-giam-can-i1524575313.html</v>
      </c>
      <c r="C348" s="10" t="s">
        <v>348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8">
        <v>5203.0</v>
      </c>
      <c r="B349" s="9" t="str">
        <f>HYPERLINK("https://www.lazada.vn/products/nuoc-ep-thom-daudenmix-tuoi-ngon-tu-thien-nhien-bo-sung-vitamin-giai-khat-mat-lanh-i2894865001.html", "https://www.lazada.vn/products/nuoc-ep-thom-daudenmix-tuoi-ngon-tu-thien-nhien-bo-sung-vitamin-giai-khat-mat-lanh-i2894865001.html")</f>
        <v>https://www.lazada.vn/products/nuoc-ep-thom-daudenmix-tuoi-ngon-tu-thien-nhien-bo-sung-vitamin-giai-khat-mat-lanh-i2894865001.html</v>
      </c>
      <c r="C349" s="10" t="s">
        <v>349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8">
        <v>5204.0</v>
      </c>
      <c r="B350" s="9" t="str">
        <f>HYPERLINK("https://www.lazada.vn/products/nuoc-chong-say-tau-xe-dongsung-toslong-30ml-han-quoc-giup-tinh-than-tinh-tao-ngan-ngua-buon-non-i2691367294.html", "https://www.lazada.vn/products/nuoc-chong-say-tau-xe-dongsung-toslong-30ml-han-quoc-giup-tinh-than-tinh-tao-ngan-ngua-buon-non-i2691367294.html")</f>
        <v>https://www.lazada.vn/products/nuoc-chong-say-tau-xe-dongsung-toslong-30ml-han-quoc-giup-tinh-than-tinh-tao-ngan-ngua-buon-non-i2691367294.html</v>
      </c>
      <c r="C350" s="10" t="s">
        <v>350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8">
        <v>5205.0</v>
      </c>
      <c r="B351" s="9" t="str">
        <f>HYPERLINK("https://www.lazada.vn/products/hoa-atiso-do-ngam-duong-phen-1kg-viettin-mart-i2765473860.html", "https://www.lazada.vn/products/hoa-atiso-do-ngam-duong-phen-1kg-viettin-mart-i2765473860.html")</f>
        <v>https://www.lazada.vn/products/hoa-atiso-do-ngam-duong-phen-1kg-viettin-mart-i2765473860.html</v>
      </c>
      <c r="C351" s="10" t="s">
        <v>351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8">
        <v>5206.0</v>
      </c>
      <c r="B352" s="9" t="str">
        <f>HYPERLINK("https://www.lazada.vn/products/banh-gorgon-anh-dao-vang-khong-duong-thanh-phan-tu-nhien-khong-chat-bao-quan-an-toan-cho-moi-nguoi-i2506036745.html", "https://www.lazada.vn/products/banh-gorgon-anh-dao-vang-khong-duong-thanh-phan-tu-nhien-khong-chat-bao-quan-an-toan-cho-moi-nguoi-i2506036745.html")</f>
        <v>https://www.lazada.vn/products/banh-gorgon-anh-dao-vang-khong-duong-thanh-phan-tu-nhien-khong-chat-bao-quan-an-toan-cho-moi-nguoi-i2506036745.html</v>
      </c>
      <c r="C352" s="10" t="s">
        <v>352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8">
        <v>5207.0</v>
      </c>
      <c r="B353" s="9" t="str">
        <f>HYPERLINK("https://www.lazada.vn/products/snack-vi-cua-kinh-do-goi-29g-i2915889997.html", "https://www.lazada.vn/products/snack-vi-cua-kinh-do-goi-29g-i2915889997.html")</f>
        <v>https://www.lazada.vn/products/snack-vi-cua-kinh-do-goi-29g-i2915889997.html</v>
      </c>
      <c r="C353" s="10" t="s">
        <v>353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8">
        <v>5208.0</v>
      </c>
      <c r="B354" s="9" t="str">
        <f>HYPERLINK("https://www.lazada.vn/products/banh-dau-xanh-thuan-chay-hop-8-cai-banh-keo-snack-food-thuc-an-vat-thom-ngon-i2828184684.html", "https://www.lazada.vn/products/banh-dau-xanh-thuan-chay-hop-8-cai-banh-keo-snack-food-thuc-an-vat-thom-ngon-i2828184684.html")</f>
        <v>https://www.lazada.vn/products/banh-dau-xanh-thuan-chay-hop-8-cai-banh-keo-snack-food-thuc-an-vat-thom-ngon-i2828184684.html</v>
      </c>
      <c r="C354" s="10" t="s">
        <v>354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8">
        <v>5209.0</v>
      </c>
      <c r="B355" s="9" t="str">
        <f>HYPERLINK("https://www.lazada.vn/products/combo-2-hu-tra-gung-rang-moc-thu-cong-lac-yen-foods-tang-1-ly-thuy-tinh-cao-cap-truc-han-khi-lam-am-tieu-hoa-am-hong-i3005167757.html", "https://www.lazada.vn/products/combo-2-hu-tra-gung-rang-moc-thu-cong-lac-yen-foods-tang-1-ly-thuy-tinh-cao-cap-truc-han-khi-lam-am-tieu-hoa-am-hong-i3005167757.html")</f>
        <v>https://www.lazada.vn/products/combo-2-hu-tra-gung-rang-moc-thu-cong-lac-yen-foods-tang-1-ly-thuy-tinh-cao-cap-truc-han-khi-lam-am-tieu-hoa-am-hong-i3005167757.html</v>
      </c>
      <c r="C355" s="10" t="s">
        <v>355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8">
        <v>5210.0</v>
      </c>
      <c r="B356" s="9" t="str">
        <f>HYPERLINK("https://www.lazada.vn/products/bot-rau-ngot-nguyen-chat-100-say-lanh-uong-thanh-loc-co-the-loi-sua-tieu-hoa-tot-an-hoa-phat-i2782595344.html", "https://www.lazada.vn/products/bot-rau-ngot-nguyen-chat-100-say-lanh-uong-thanh-loc-co-the-loi-sua-tieu-hoa-tot-an-hoa-phat-i2782595344.html")</f>
        <v>https://www.lazada.vn/products/bot-rau-ngot-nguyen-chat-100-say-lanh-uong-thanh-loc-co-the-loi-sua-tieu-hoa-tot-an-hoa-phat-i2782595344.html</v>
      </c>
      <c r="C356" s="10" t="s">
        <v>356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8">
        <v>5211.0</v>
      </c>
      <c r="B357" s="9" t="str">
        <f>HYPERLINK("https://www.lazada.vn/products/hsdexp-151025-hi-a-kuan-mi-konjac-ket-hop-sot-chua-ngot-instant-konjac-noodle-sweet-and-sour-flavor-225g-from-trung-quoc-i3023951220.html", "https://www.lazada.vn/products/hsdexp-151025-hi-a-kuan-mi-konjac-ket-hop-sot-chua-ngot-instant-konjac-noodle-sweet-and-sour-flavor-225g-from-trung-quoc-i3023951220.html")</f>
        <v>https://www.lazada.vn/products/hsdexp-151025-hi-a-kuan-mi-konjac-ket-hop-sot-chua-ngot-instant-konjac-noodle-sweet-and-sour-flavor-225g-from-trung-quoc-i3023951220.html</v>
      </c>
      <c r="C357" s="10" t="s">
        <v>357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8">
        <v>5212.0</v>
      </c>
      <c r="B358" s="9" t="str">
        <f>HYPERLINK("https://www.lazada.vn/products/soju-han-quoc-7drops-360ml-vi-dau-i2332010402.html", "https://www.lazada.vn/products/soju-han-quoc-7drops-360ml-vi-dau-i2332010402.html")</f>
        <v>https://www.lazada.vn/products/soju-han-quoc-7drops-360ml-vi-dau-i2332010402.html</v>
      </c>
      <c r="C358" s="10" t="s">
        <v>358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8">
        <v>5213.0</v>
      </c>
      <c r="B359" s="9" t="str">
        <f>HYPERLINK("https://www.lazada.vn/products/combo-bia-tuoi-thu-cong-mix-3-vi-toucan-thung-6-chai-x-330ml-i3052872330.html", "https://www.lazada.vn/products/combo-bia-tuoi-thu-cong-mix-3-vi-toucan-thung-6-chai-x-330ml-i3052872330.html")</f>
        <v>https://www.lazada.vn/products/combo-bia-tuoi-thu-cong-mix-3-vi-toucan-thung-6-chai-x-330ml-i3052872330.html</v>
      </c>
      <c r="C359" s="10" t="s">
        <v>359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8">
        <v>5214.0</v>
      </c>
      <c r="B360" s="9" t="str">
        <f>HYPERLINK("https://www.lazada.vn/products/keo-le-an-phe-1kg-keo-ngam-ho-mat-ong-thom-mieng-thanh-nhiet-tieu-dom-phu-hop-moi-lua-tuoi-i2928743031.html", "https://www.lazada.vn/products/keo-le-an-phe-1kg-keo-ngam-ho-mat-ong-thom-mieng-thanh-nhiet-tieu-dom-phu-hop-moi-lua-tuoi-i2928743031.html")</f>
        <v>https://www.lazada.vn/products/keo-le-an-phe-1kg-keo-ngam-ho-mat-ong-thom-mieng-thanh-nhiet-tieu-dom-phu-hop-moi-lua-tuoi-i2928743031.html</v>
      </c>
      <c r="C360" s="10" t="s">
        <v>360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8">
        <v>5215.0</v>
      </c>
      <c r="B361" s="9" t="str">
        <f>HYPERLINK("https://www.lazada.vn/products/vang-phap-chateau-mezain-bordeaux-merlot-cabernet-sauvignon-vang-do-the-best-wine-i2902340465.html", "https://www.lazada.vn/products/vang-phap-chateau-mezain-bordeaux-merlot-cabernet-sauvignon-vang-do-the-best-wine-i2902340465.html")</f>
        <v>https://www.lazada.vn/products/vang-phap-chateau-mezain-bordeaux-merlot-cabernet-sauvignon-vang-do-the-best-wine-i2902340465.html</v>
      </c>
      <c r="C361" s="10" t="s">
        <v>361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8">
        <v>5216.0</v>
      </c>
      <c r="B362" s="9" t="str">
        <f>HYPERLINK("https://www.lazada.vn/products/chocolate-bot-cacao-sua-dove-hinh-trai-tim-hop-qua-tang-cho-dam-cuoi-do-an-nhe-nhang-ngon-mieng-khong-chua-duong-nhan-tao-i2965761036.html", "https://www.lazada.vn/products/chocolate-bot-cacao-sua-dove-hinh-trai-tim-hop-qua-tang-cho-dam-cuoi-do-an-nhe-nhang-ngon-mieng-khong-chua-duong-nhan-tao-i2965761036.html")</f>
        <v>https://www.lazada.vn/products/chocolate-bot-cacao-sua-dove-hinh-trai-tim-hop-qua-tang-cho-dam-cuoi-do-an-nhe-nhang-ngon-mieng-khong-chua-duong-nhan-tao-i2965761036.html</v>
      </c>
      <c r="C362" s="10" t="s">
        <v>362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8">
        <v>5217.0</v>
      </c>
      <c r="B363" s="9" t="str">
        <f>HYPERLINK("https://www.lazada.vn/products/snickers-chocolate-1pcs-chocolate-day-100g-snack-nuts-specialities-white-chocolate-contain-substitute-cocoa-butter-made-in-china-i2965753253.html", "https://www.lazada.vn/products/snickers-chocolate-1pcs-chocolate-day-100g-snack-nuts-specialities-white-chocolate-contain-substitute-cocoa-butter-made-in-china-i2965753253.html")</f>
        <v>https://www.lazada.vn/products/snickers-chocolate-1pcs-chocolate-day-100g-snack-nuts-specialities-white-chocolate-contain-substitute-cocoa-butter-made-in-china-i2965753253.html</v>
      </c>
      <c r="C363" s="10" t="s">
        <v>363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8">
        <v>5218.0</v>
      </c>
      <c r="B364" s="9" t="str">
        <f>HYPERLINK("https://www.lazada.vn/products/thung-6-chai-nuoc-trai-cay-chill-cocktail-mix-3-vi-i2894040990.html", "https://www.lazada.vn/products/thung-6-chai-nuoc-trai-cay-chill-cocktail-mix-3-vi-i2894040990.html")</f>
        <v>https://www.lazada.vn/products/thung-6-chai-nuoc-trai-cay-chill-cocktail-mix-3-vi-i2894040990.html</v>
      </c>
      <c r="C364" s="10" t="s">
        <v>364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8">
        <v>5219.0</v>
      </c>
      <c r="B365" s="9" t="str">
        <f>HYPERLINK("https://www.lazada.vn/products/siro-dua-dewi-chiet-xuat-thao-duoc-gung-mat-ong-bac-ha-giam-trieu-chung-cam-nghet-so-mui-dau-hong-met-moi-i2762366359.html", "https://www.lazada.vn/products/siro-dua-dewi-chiet-xuat-thao-duoc-gung-mat-ong-bac-ha-giam-trieu-chung-cam-nghet-so-mui-dau-hong-met-moi-i2762366359.html")</f>
        <v>https://www.lazada.vn/products/siro-dua-dewi-chiet-xuat-thao-duoc-gung-mat-ong-bac-ha-giam-trieu-chung-cam-nghet-so-mui-dau-hong-met-moi-i2762366359.html</v>
      </c>
      <c r="C365" s="10" t="s">
        <v>365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8">
        <v>5220.0</v>
      </c>
      <c r="B366" s="9" t="str">
        <f>HYPERLINK("https://www.lazada.vn/products/loc-6-chai-nuoc-bu-khoang-revive-chanh-muoi-390ml-i2687900833.html", "https://www.lazada.vn/products/loc-6-chai-nuoc-bu-khoang-revive-chanh-muoi-390ml-i2687900833.html")</f>
        <v>https://www.lazada.vn/products/loc-6-chai-nuoc-bu-khoang-revive-chanh-muoi-390ml-i2687900833.html</v>
      </c>
      <c r="C366" s="10" t="s">
        <v>366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8">
        <v>5221.0</v>
      </c>
      <c r="B367" s="9" t="str">
        <f>HYPERLINK("https://www.lazada.vn/products/snack-tom-thai-ruaypuan-i2915831856.html", "https://www.lazada.vn/products/snack-tom-thai-ruaypuan-i2915831856.html")</f>
        <v>https://www.lazada.vn/products/snack-tom-thai-ruaypuan-i2915831856.html</v>
      </c>
      <c r="C367" s="10" t="s">
        <v>367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8">
        <v>5222.0</v>
      </c>
      <c r="B368" s="9" t="str">
        <f>HYPERLINK("https://www.lazada.vn/products/banh-quy-gold-daisy-assorted-cookies-315g-i2499648673.html", "https://www.lazada.vn/products/banh-quy-gold-daisy-assorted-cookies-315g-i2499648673.html")</f>
        <v>https://www.lazada.vn/products/banh-quy-gold-daisy-assorted-cookies-315g-i2499648673.html</v>
      </c>
      <c r="C368" s="10" t="s">
        <v>368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8">
        <v>5223.0</v>
      </c>
      <c r="B369" s="9" t="str">
        <f>HYPERLINK("https://www.lazada.vn/products/thach-tui-tarami-vi-tao-i2677970423.html", "https://www.lazada.vn/products/thach-tui-tarami-vi-tao-i2677970423.html")</f>
        <v>https://www.lazada.vn/products/thach-tui-tarami-vi-tao-i2677970423.html</v>
      </c>
      <c r="C369" s="10" t="s">
        <v>369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8">
        <v>5224.0</v>
      </c>
      <c r="B370" s="9" t="str">
        <f>HYPERLINK("https://www.lazada.vn/products/banh-trang-phoi-suong-muoi-beo-an-vat-ogi-food-i2827176122.html", "https://www.lazada.vn/products/banh-trang-phoi-suong-muoi-beo-an-vat-ogi-food-i2827176122.html")</f>
        <v>https://www.lazada.vn/products/banh-trang-phoi-suong-muoi-beo-an-vat-ogi-food-i2827176122.html</v>
      </c>
      <c r="C370" s="10" t="s">
        <v>370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8">
        <v>5225.0</v>
      </c>
      <c r="B371" s="9" t="str">
        <f>HYPERLINK("https://www.lazada.vn/products/soju-han-quoc-good-day-360ml-vi-truyen-thong-i2331999402.html", "https://www.lazada.vn/products/soju-han-quoc-good-day-360ml-vi-truyen-thong-i2331999402.html")</f>
        <v>https://www.lazada.vn/products/soju-han-quoc-good-day-360ml-vi-truyen-thong-i2331999402.html</v>
      </c>
      <c r="C371" s="10" t="s">
        <v>371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8">
        <v>5226.0</v>
      </c>
      <c r="B372" s="9" t="str">
        <f>HYPERLINK("https://www.lazada.vn/products/bot-che-me-den-tao-do-oc-cho-sanh-min-mat-gan-bo-than-35g-ngu-coc-i2781555978.html", "https://www.lazada.vn/products/bot-che-me-den-tao-do-oc-cho-sanh-min-mat-gan-bo-than-35g-ngu-coc-i2781555978.html")</f>
        <v>https://www.lazada.vn/products/bot-che-me-den-tao-do-oc-cho-sanh-min-mat-gan-bo-than-35g-ngu-coc-i2781555978.html</v>
      </c>
      <c r="C372" s="10" t="s">
        <v>372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8">
        <v>5227.0</v>
      </c>
      <c r="B373" s="9" t="str">
        <f>HYPERLINK("https://www.lazada.vn/products/so-chu-soju-han-quoc-him-classic-165-360ml-vi-truyen-thong-i2383988366.html", "https://www.lazada.vn/products/so-chu-soju-han-quoc-him-classic-165-360ml-vi-truyen-thong-i2383988366.html")</f>
        <v>https://www.lazada.vn/products/so-chu-soju-han-quoc-him-classic-165-360ml-vi-truyen-thong-i2383988366.html</v>
      </c>
      <c r="C373" s="10" t="s">
        <v>373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8">
        <v>5228.0</v>
      </c>
      <c r="B374" s="9" t="str">
        <f>HYPERLINK("https://www.lazada.vn/products/thung-24-goi-mi-tron-lokcok-xot-topping-that-bo-xi-pa-ghet-ti-vi-ngon-duong-pho-x97gr-i3005410218.html", "https://www.lazada.vn/products/thung-24-goi-mi-tron-lokcok-xot-topping-that-bo-xi-pa-ghet-ti-vi-ngon-duong-pho-x97gr-i3005410218.html")</f>
        <v>https://www.lazada.vn/products/thung-24-goi-mi-tron-lokcok-xot-topping-that-bo-xi-pa-ghet-ti-vi-ngon-duong-pho-x97gr-i3005410218.html</v>
      </c>
      <c r="C374" s="10" t="s">
        <v>374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8">
        <v>5229.0</v>
      </c>
      <c r="B375" s="9" t="str">
        <f>HYPERLINK("https://www.lazada.vn/products/banh-gao-senbei-want-want-vi-nuoc-tuong-kieu-nhat-goi-to-52g-105g-i2955367744.html", "https://www.lazada.vn/products/banh-gao-senbei-want-want-vi-nuoc-tuong-kieu-nhat-goi-to-52g-105g-i2955367744.html")</f>
        <v>https://www.lazada.vn/products/banh-gao-senbei-want-want-vi-nuoc-tuong-kieu-nhat-goi-to-52g-105g-i2955367744.html</v>
      </c>
      <c r="C375" s="10" t="s">
        <v>375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8">
        <v>5230.0</v>
      </c>
      <c r="B376" s="9" t="str">
        <f>HYPERLINK("https://www.lazada.vn/products/keo-milo-cube-cacao-nestle-thai-lan-vien-le-275g-sieu-ngon-giau-nang-luong-i2523633965.html", "https://www.lazada.vn/products/keo-milo-cube-cacao-nestle-thai-lan-vien-le-275g-sieu-ngon-giau-nang-luong-i2523633965.html")</f>
        <v>https://www.lazada.vn/products/keo-milo-cube-cacao-nestle-thai-lan-vien-le-275g-sieu-ngon-giau-nang-luong-i2523633965.html</v>
      </c>
      <c r="C376" s="10" t="s">
        <v>376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8">
        <v>5231.0</v>
      </c>
      <c r="B377" s="9" t="str">
        <f>HYPERLINK("https://www.lazada.vn/products/nuoc-ngot-co-ga-sprite-lon-320ml-i2679665709.html", "https://www.lazada.vn/products/nuoc-ngot-co-ga-sprite-lon-320ml-i2679665709.html")</f>
        <v>https://www.lazada.vn/products/nuoc-ngot-co-ga-sprite-lon-320ml-i2679665709.html</v>
      </c>
      <c r="C377" s="10" t="s">
        <v>377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8">
        <v>5232.0</v>
      </c>
      <c r="B378" s="9" t="str">
        <f>HYPERLINK("https://www.lazada.vn/products/bia-tuoi-mach-nha-hoa-bia-toucan-golden-pilsner-1-thung-x-24-chai-x-330ml-i3052865129.html", "https://www.lazada.vn/products/bia-tuoi-mach-nha-hoa-bia-toucan-golden-pilsner-1-thung-x-24-chai-x-330ml-i3052865129.html")</f>
        <v>https://www.lazada.vn/products/bia-tuoi-mach-nha-hoa-bia-toucan-golden-pilsner-1-thung-x-24-chai-x-330ml-i3052865129.html</v>
      </c>
      <c r="C378" s="10" t="s">
        <v>378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8">
        <v>5233.0</v>
      </c>
      <c r="B379" s="9" t="str">
        <f>HYPERLINK("https://www.lazada.vn/products/combo-3-hu-nuoc-yen-sao-cho-tre-em-kids-nest-plus-70ml-full-box-chinh-hang-i2997547370.html", "https://www.lazada.vn/products/combo-3-hu-nuoc-yen-sao-cho-tre-em-kids-nest-plus-70ml-full-box-chinh-hang-i2997547370.html")</f>
        <v>https://www.lazada.vn/products/combo-3-hu-nuoc-yen-sao-cho-tre-em-kids-nest-plus-70ml-full-box-chinh-hang-i2997547370.html</v>
      </c>
      <c r="C379" s="10" t="s">
        <v>379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8">
        <v>5234.0</v>
      </c>
      <c r="B380" s="9" t="str">
        <f>HYPERLINK("https://www.lazada.vn/products/10-cai-banh-mi-star-milky-aluowa-goi-50g-voi-cac-vi-trung-sua-dau-tay-so-co-la-sau-rieng-khoai-mon-thom-ngon-hap-dan-i2855060475.html", "https://www.lazada.vn/products/10-cai-banh-mi-star-milky-aluowa-goi-50g-voi-cac-vi-trung-sua-dau-tay-so-co-la-sau-rieng-khoai-mon-thom-ngon-hap-dan-i2855060475.html")</f>
        <v>https://www.lazada.vn/products/10-cai-banh-mi-star-milky-aluowa-goi-50g-voi-cac-vi-trung-sua-dau-tay-so-co-la-sau-rieng-khoai-mon-thom-ngon-hap-dan-i2855060475.html</v>
      </c>
      <c r="C380" s="10" t="s">
        <v>380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8">
        <v>5235.0</v>
      </c>
      <c r="B381" s="9" t="str">
        <f>HYPERLINK("https://www.lazada.vn/products/combo-5-bich-keo-ngam-vi-bo-huc-tang-luc-fast-charging-mon-an-vat-noi-dia-trung-bich-320g-95-100-vien-keo-i2928060693.html", "https://www.lazada.vn/products/combo-5-bich-keo-ngam-vi-bo-huc-tang-luc-fast-charging-mon-an-vat-noi-dia-trung-bich-320g-95-100-vien-keo-i2928060693.html")</f>
        <v>https://www.lazada.vn/products/combo-5-bich-keo-ngam-vi-bo-huc-tang-luc-fast-charging-mon-an-vat-noi-dia-trung-bich-320g-95-100-vien-keo-i2928060693.html</v>
      </c>
      <c r="C381" s="10" t="s">
        <v>381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8">
        <v>5236.0</v>
      </c>
      <c r="B382" s="9" t="str">
        <f>HYPERLINK("https://www.lazada.vn/products/ruou-vang-do-uc-misven-i2898403143.html", "https://www.lazada.vn/products/ruou-vang-do-uc-misven-i2898403143.html")</f>
        <v>https://www.lazada.vn/products/ruou-vang-do-uc-misven-i2898403143.html</v>
      </c>
      <c r="C382" s="10" t="s">
        <v>382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8">
        <v>5237.0</v>
      </c>
      <c r="B383" s="9" t="str">
        <f>HYPERLINK("https://www.lazada.vn/products/ritter-sport-wedding-chocolate-marriage-candy-milk-chocolate-boxed-5-pieces-sweetened-snacks-german-handmade-non-handmade-i2965741154.html", "https://www.lazada.vn/products/ritter-sport-wedding-chocolate-marriage-candy-milk-chocolate-boxed-5-pieces-sweetened-snacks-german-handmade-non-handmade-i2965741154.html")</f>
        <v>https://www.lazada.vn/products/ritter-sport-wedding-chocolate-marriage-candy-milk-chocolate-boxed-5-pieces-sweetened-snacks-german-handmade-non-handmade-i2965741154.html</v>
      </c>
      <c r="C383" s="10" t="s">
        <v>383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8">
        <v>5238.0</v>
      </c>
      <c r="B384" s="9" t="str">
        <f>HYPERLINK("https://www.lazada.vn/products/so-chu-soju-han-quoc-him-grape-12-360ml-vi-nho-i2383979393.html", "https://www.lazada.vn/products/so-chu-soju-han-quoc-him-grape-12-360ml-vi-nho-i2383979393.html")</f>
        <v>https://www.lazada.vn/products/so-chu-soju-han-quoc-him-grape-12-360ml-vi-nho-i2383979393.html</v>
      </c>
      <c r="C384" s="10" t="s">
        <v>384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8">
        <v>5239.0</v>
      </c>
      <c r="B385" s="9" t="str">
        <f>HYPERLINK("https://www.lazada.vn/products/nuoc-trai-caynuoc-tang-luc-oishi-nhieu-vi-tui-180ml-i2893254674.html", "https://www.lazada.vn/products/nuoc-trai-caynuoc-tang-luc-oishi-nhieu-vi-tui-180ml-i2893254674.html")</f>
        <v>https://www.lazada.vn/products/nuoc-trai-caynuoc-tang-luc-oishi-nhieu-vi-tui-180ml-i2893254674.html</v>
      </c>
      <c r="C385" s="10" t="s">
        <v>385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8">
        <v>5240.0</v>
      </c>
      <c r="B386" s="9" t="str">
        <f>HYPERLINK("https://www.lazada.vn/products/ruou-nep-nau-men-la-ha-giang-i2761770254.html", "https://www.lazada.vn/products/ruou-nep-nau-men-la-ha-giang-i2761770254.html")</f>
        <v>https://www.lazada.vn/products/ruou-nep-nau-men-la-ha-giang-i2761770254.html</v>
      </c>
      <c r="C386" s="10" t="s">
        <v>386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8">
        <v>5241.0</v>
      </c>
      <c r="B387" s="9" t="str">
        <f>HYPERLINK("https://www.lazada.vn/products/thung-24-chai-nuoc-bu-khoang-revive-chanh-muoi-390ml-i2687868899.html", "https://www.lazada.vn/products/thung-24-chai-nuoc-bu-khoang-revive-chanh-muoi-390ml-i2687868899.html")</f>
        <v>https://www.lazada.vn/products/thung-24-chai-nuoc-bu-khoang-revive-chanh-muoi-390ml-i2687868899.html</v>
      </c>
      <c r="C387" s="10" t="s">
        <v>387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8">
        <v>5242.0</v>
      </c>
      <c r="B388" s="9" t="str">
        <f>HYPERLINK("https://www.lazada.vn/products/ruou-chuoi-hot-nam-meo-800ml-huong-vi-co-truyen-len-men-truyen-thong-chuoi-hot-nguyen-chat-i2758116001.html", "https://www.lazada.vn/products/ruou-chuoi-hot-nam-meo-800ml-huong-vi-co-truyen-len-men-truyen-thong-chuoi-hot-nguyen-chat-i2758116001.html")</f>
        <v>https://www.lazada.vn/products/ruou-chuoi-hot-nam-meo-800ml-huong-vi-co-truyen-len-men-truyen-thong-chuoi-hot-nguyen-chat-i2758116001.html</v>
      </c>
      <c r="C388" s="10" t="s">
        <v>388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8">
        <v>5243.0</v>
      </c>
      <c r="B389" s="9" t="str">
        <f>HYPERLINK("https://www.lazada.vn/products/loc-6-chai-nuoc-bu-khoang-revive-muoi-khoang-500ml-i2687780669.html", "https://www.lazada.vn/products/loc-6-chai-nuoc-bu-khoang-revive-muoi-khoang-500ml-i2687780669.html")</f>
        <v>https://www.lazada.vn/products/loc-6-chai-nuoc-bu-khoang-revive-muoi-khoang-500ml-i2687780669.html</v>
      </c>
      <c r="C389" s="10" t="s">
        <v>389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8">
        <v>5244.0</v>
      </c>
      <c r="B390" s="9" t="str">
        <f>HYPERLINK("https://www.lazada.vn/products/500gr-banh-khoai-tay-potato-x5-hieu-cong-tuyen-i2915801987.html", "https://www.lazada.vn/products/500gr-banh-khoai-tay-potato-x5-hieu-cong-tuyen-i2915801987.html")</f>
        <v>https://www.lazada.vn/products/500gr-banh-khoai-tay-potato-x5-hieu-cong-tuyen-i2915801987.html</v>
      </c>
      <c r="C390" s="10" t="s">
        <v>390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8">
        <v>5245.0</v>
      </c>
      <c r="B391" s="9" t="str">
        <f>HYPERLINK("https://www.lazada.vn/products/quay-dui-ga-vi-rong-bien-goi500gam-i2499083177.html", "https://www.lazada.vn/products/quay-dui-ga-vi-rong-bien-goi500gam-i2499083177.html")</f>
        <v>https://www.lazada.vn/products/quay-dui-ga-vi-rong-bien-goi500gam-i2499083177.html</v>
      </c>
      <c r="C391" s="10" t="s">
        <v>391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8">
        <v>5246.0</v>
      </c>
      <c r="B392" s="9" t="str">
        <f>HYPERLINK("https://www.lazada.vn/products/thach-tarami-mix-vi-i2677931955.html", "https://www.lazada.vn/products/thach-tarami-mix-vi-i2677931955.html")</f>
        <v>https://www.lazada.vn/products/thach-tarami-mix-vi-i2677931955.html</v>
      </c>
      <c r="C392" s="10" t="s">
        <v>392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8">
        <v>5247.0</v>
      </c>
      <c r="B393" s="9" t="str">
        <f>HYPERLINK("https://www.lazada.vn/products/banh-son-tra-100g-an-vat-tuoi-tho-8x9x-bach-thao-vi-i2824928714.html", "https://www.lazada.vn/products/banh-son-tra-100g-an-vat-tuoi-tho-8x9x-bach-thao-vi-i2824928714.html")</f>
        <v>https://www.lazada.vn/products/banh-son-tra-100g-an-vat-tuoi-tho-8x9x-bach-thao-vi-i2824928714.html</v>
      </c>
      <c r="C393" s="10" t="s">
        <v>393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8">
        <v>5248.0</v>
      </c>
      <c r="B394" s="9" t="str">
        <f>HYPERLINK("https://www.lazada.vn/products/thach-pudding-cherish-dua-405g-i2675401114.html", "https://www.lazada.vn/products/thach-pudding-cherish-dua-405g-i2675401114.html")</f>
        <v>https://www.lazada.vn/products/thach-pudding-cherish-dua-405g-i2675401114.html</v>
      </c>
      <c r="C394" s="10" t="s">
        <v>394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8">
        <v>5249.0</v>
      </c>
      <c r="B395" s="9" t="str">
        <f>HYPERLINK("https://www.lazada.vn/products/bot-diep-ca-quang-thanh-hop-30g-i2780471137.html", "https://www.lazada.vn/products/bot-diep-ca-quang-thanh-hop-30g-i2780471137.html")</f>
        <v>https://www.lazada.vn/products/bot-diep-ca-quang-thanh-hop-30g-i2780471137.html</v>
      </c>
      <c r="C395" s="10" t="s">
        <v>395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8">
        <v>5250.0</v>
      </c>
      <c r="B396" s="9" t="str">
        <f>HYPERLINK("https://www.lazada.vn/products/soju-han-quoc-jeju-360ml-vi-dao-i2331995547.html", "https://www.lazada.vn/products/soju-han-quoc-jeju-360ml-vi-dao-i2331995547.html")</f>
        <v>https://www.lazada.vn/products/soju-han-quoc-jeju-360ml-vi-dao-i2331995547.html</v>
      </c>
      <c r="C396" s="10" t="s">
        <v>396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8">
        <v>5251.0</v>
      </c>
      <c r="B397" s="9" t="str">
        <f>HYPERLINK("https://www.lazada.vn/products/date-moi-combo-2-vi-sua-milo-nestle-it-duong-8-hop-x-180ml-i2522070135.html", "https://www.lazada.vn/products/date-moi-combo-2-vi-sua-milo-nestle-it-duong-8-hop-x-180ml-i2522070135.html")</f>
        <v>https://www.lazada.vn/products/date-moi-combo-2-vi-sua-milo-nestle-it-duong-8-hop-x-180ml-i2522070135.html</v>
      </c>
      <c r="C397" s="10" t="s">
        <v>397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8">
        <v>5252.0</v>
      </c>
      <c r="B398" s="9" t="str">
        <f>HYPERLINK("https://www.lazada.vn/products/combo-3-banh-gao-cuon-want-want-3-vi-170g-gion-ngon-do-an-vat-tien-loi-i2955362071.html", "https://www.lazada.vn/products/combo-3-banh-gao-cuon-want-want-3-vi-170g-gion-ngon-do-an-vat-tien-loi-i2955362071.html")</f>
        <v>https://www.lazada.vn/products/combo-3-banh-gao-cuon-want-want-3-vi-170g-gion-ngon-do-an-vat-tien-loi-i2955362071.html</v>
      </c>
      <c r="C398" s="10" t="s">
        <v>398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8">
        <v>5253.0</v>
      </c>
      <c r="B399" s="9" t="str">
        <f>HYPERLINK("https://www.lazada.vn/products/cha-da-heo-ot-xiem-xanh-don-500gr-giao-hoa-toc-hcm-i2997213913.html", "https://www.lazada.vn/products/cha-da-heo-ot-xiem-xanh-don-500gr-giao-hoa-toc-hcm-i2997213913.html")</f>
        <v>https://www.lazada.vn/products/cha-da-heo-ot-xiem-xanh-don-500gr-giao-hoa-toc-hcm-i2997213913.html</v>
      </c>
      <c r="C399" s="10" t="s">
        <v>399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8">
        <v>5254.0</v>
      </c>
      <c r="B400" s="9" t="str">
        <f>HYPERLINK("https://www.lazada.vn/products/nuoc-ngot-co-ga-sprite-chai-600ml-i2677227331.html", "https://www.lazada.vn/products/nuoc-ngot-co-ga-sprite-chai-600ml-i2677227331.html")</f>
        <v>https://www.lazada.vn/products/nuoc-ngot-co-ga-sprite-chai-600ml-i2677227331.html</v>
      </c>
      <c r="C400" s="10" t="s">
        <v>400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8">
        <v>5255.0</v>
      </c>
      <c r="B401" s="9" t="str">
        <f>HYPERLINK("https://www.lazada.vn/products/bia-tuoi-cam-chanh-lua-mach-toucan-wheat-1-chai-x-330ml-i3052800564.html", "https://www.lazada.vn/products/bia-tuoi-cam-chanh-lua-mach-toucan-wheat-1-chai-x-330ml-i3052800564.html")</f>
        <v>https://www.lazada.vn/products/bia-tuoi-cam-chanh-lua-mach-toucan-wheat-1-chai-x-330ml-i3052800564.html</v>
      </c>
      <c r="C401" s="10" t="s">
        <v>401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8">
        <v>5256.0</v>
      </c>
      <c r="B402" s="9" t="str">
        <f>HYPERLINK("https://www.lazada.vn/products/nuoc-uong-chong-say-tau-xe-han-quoc-30ml-i2980902785.html", "https://www.lazada.vn/products/nuoc-uong-chong-say-tau-xe-han-quoc-30ml-i2980902785.html")</f>
        <v>https://www.lazada.vn/products/nuoc-uong-chong-say-tau-xe-han-quoc-30ml-i2980902785.html</v>
      </c>
      <c r="C402" s="10" t="s">
        <v>402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8">
        <v>5257.0</v>
      </c>
      <c r="B403" s="9" t="str">
        <f>HYPERLINK("https://www.lazada.vn/products/banh-bong-lan-trung-tuoi-soi-ga-vi-nguyen-ban-bbq-bao-ngoc-4-chiectui-i2848031237.html", "https://www.lazada.vn/products/banh-bong-lan-trung-tuoi-soi-ga-vi-nguyen-ban-bbq-bao-ngoc-4-chiectui-i2848031237.html")</f>
        <v>https://www.lazada.vn/products/banh-bong-lan-trung-tuoi-soi-ga-vi-nguyen-ban-bbq-bao-ngoc-4-chiectui-i2848031237.html</v>
      </c>
      <c r="C403" s="10" t="s">
        <v>403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8">
        <v>5258.0</v>
      </c>
      <c r="B404" s="9" t="str">
        <f>HYPERLINK("https://www.lazada.vn/products/keo-le-muoi-bien-chanh-bac-ha-thanh-nhiet-bo-phe-300g-banh-keo-do-an-vat-i2923820327.html", "https://www.lazada.vn/products/keo-le-muoi-bien-chanh-bac-ha-thanh-nhiet-bo-phe-300g-banh-keo-do-an-vat-i2923820327.html")</f>
        <v>https://www.lazada.vn/products/keo-le-muoi-bien-chanh-bac-ha-thanh-nhiet-bo-phe-300g-banh-keo-do-an-vat-i2923820327.html</v>
      </c>
      <c r="C404" s="10" t="s">
        <v>404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8">
        <v>5259.0</v>
      </c>
      <c r="B405" s="9" t="str">
        <f>HYPERLINK("https://www.lazada.vn/products/thanh-ly-xa-kho-cuoi-nam-ruou-handpicked-regional-selections-pinot-noir-mornington-750ml-136-i2898337069.html", "https://www.lazada.vn/products/thanh-ly-xa-kho-cuoi-nam-ruou-handpicked-regional-selections-pinot-noir-mornington-750ml-136-i2898337069.html")</f>
        <v>https://www.lazada.vn/products/thanh-ly-xa-kho-cuoi-nam-ruou-handpicked-regional-selections-pinot-noir-mornington-750ml-136-i2898337069.html</v>
      </c>
      <c r="C405" s="10" t="s">
        <v>405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8">
        <v>5260.0</v>
      </c>
      <c r="B406" s="9" t="str">
        <f>HYPERLINK("https://www.lazada.vn/products/ruou-vang-serenade-da-lat-ladofoods-750ml-i2892705424.html", "https://www.lazada.vn/products/ruou-vang-serenade-da-lat-ladofoods-750ml-i2892705424.html")</f>
        <v>https://www.lazada.vn/products/ruou-vang-serenade-da-lat-ladofoods-750ml-i2892705424.html</v>
      </c>
      <c r="C406" s="10" t="s">
        <v>406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8">
        <v>5261.0</v>
      </c>
      <c r="B407" s="9" t="str">
        <f>HYPERLINK("https://www.lazada.vn/products/gu-xuan-thanh-quach-i2743159707.html", "https://www.lazada.vn/products/gu-xuan-thanh-quach-i2743159707.html")</f>
        <v>https://www.lazada.vn/products/gu-xuan-thanh-quach-i2743159707.html</v>
      </c>
      <c r="C407" s="10" t="s">
        <v>407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8">
        <v>5262.0</v>
      </c>
      <c r="B408" s="9" t="str">
        <f>HYPERLINK("https://www.lazada.vn/products/milka-oreo-keo-truffles-hat-bo-sua-bong-bong-trung-tinh-keo-vui-nhon-keo-so-co-la-nguyen-chat-hat-bo-sua-keo-vui-nhon-i2965738360.html", "https://www.lazada.vn/products/milka-oreo-keo-truffles-hat-bo-sua-bong-bong-trung-tinh-keo-vui-nhon-keo-so-co-la-nguyen-chat-hat-bo-sua-keo-vui-nhon-i2965738360.html")</f>
        <v>https://www.lazada.vn/products/milka-oreo-keo-truffles-hat-bo-sua-bong-bong-trung-tinh-keo-vui-nhon-keo-so-co-la-nguyen-chat-hat-bo-sua-keo-vui-nhon-i2965738360.html</v>
      </c>
      <c r="C408" s="10" t="s">
        <v>408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8">
        <v>5263.0</v>
      </c>
      <c r="B409" s="9" t="str">
        <f>HYPERLINK("https://www.lazada.vn/products/sinh-to-nhan-golden-farm-longan-smoothie-fruit-1l-i2741992893.html", "https://www.lazada.vn/products/sinh-to-nhan-golden-farm-longan-smoothie-fruit-1l-i2741992893.html")</f>
        <v>https://www.lazada.vn/products/sinh-to-nhan-golden-farm-longan-smoothie-fruit-1l-i2741992893.html</v>
      </c>
      <c r="C409" s="10" t="s">
        <v>409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8">
        <v>5264.0</v>
      </c>
      <c r="B410" s="9" t="str">
        <f>HYPERLINK("https://www.lazada.vn/products/thung-24-chai-nuoc-bu-khoang-revive-muoi-khoang-500ml-i2687770724.html", "https://www.lazada.vn/products/thung-24-chai-nuoc-bu-khoang-revive-muoi-khoang-500ml-i2687770724.html")</f>
        <v>https://www.lazada.vn/products/thung-24-chai-nuoc-bu-khoang-revive-muoi-khoang-500ml-i2687770724.html</v>
      </c>
      <c r="C410" s="10" t="s">
        <v>410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8">
        <v>5265.0</v>
      </c>
      <c r="B411" s="9" t="str">
        <f>HYPERLINK("https://www.lazada.vn/products/so-chu-soju-han-quoc-him-mandarin-12-360ml-vi-quyt-i2383913792.html", "https://www.lazada.vn/products/so-chu-soju-han-quoc-him-mandarin-12-360ml-vi-quyt-i2383913792.html")</f>
        <v>https://www.lazada.vn/products/so-chu-soju-han-quoc-him-mandarin-12-360ml-vi-quyt-i2383913792.html</v>
      </c>
      <c r="C411" s="10" t="s">
        <v>411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8">
        <v>5266.0</v>
      </c>
      <c r="B412" s="9" t="str">
        <f>HYPERLINK("https://www.lazada.vn/products/chocolate-nuts-flavored-large-hazelnut-chocolate-black-chocolate-hazelnut-heart-food-russian-chocolate-snacks-nuts-specialty-i2965730437.html", "https://www.lazada.vn/products/chocolate-nuts-flavored-large-hazelnut-chocolate-black-chocolate-hazelnut-heart-food-russian-chocolate-snacks-nuts-specialty-i2965730437.html")</f>
        <v>https://www.lazada.vn/products/chocolate-nuts-flavored-large-hazelnut-chocolate-black-chocolate-hazelnut-heart-food-russian-chocolate-snacks-nuts-specialty-i2965730437.html</v>
      </c>
      <c r="C412" s="10" t="s">
        <v>412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8">
        <v>5267.0</v>
      </c>
      <c r="B413" s="9" t="str">
        <f>HYPERLINK("https://www.lazada.vn/products/banh-quy-cookie-tatawa-malaysia-120g-96g-72g-i2492810511.html", "https://www.lazada.vn/products/banh-quy-cookie-tatawa-malaysia-120g-96g-72g-i2492810511.html")</f>
        <v>https://www.lazada.vn/products/banh-quy-cookie-tatawa-malaysia-120g-96g-72g-i2492810511.html</v>
      </c>
      <c r="C413" s="10" t="s">
        <v>413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8">
        <v>5268.0</v>
      </c>
      <c r="B414" s="9" t="str">
        <f>HYPERLINK("https://www.lazada.vn/products/hoa-tocbanh-thuong-van-sam-cho-meo-tieu-bui-long-bo-sung-dinh-duong-i2914947767.html", "https://www.lazada.vn/products/hoa-tocbanh-thuong-van-sam-cho-meo-tieu-bui-long-bo-sung-dinh-duong-i2914947767.html")</f>
        <v>https://www.lazada.vn/products/hoa-tocbanh-thuong-van-sam-cho-meo-tieu-bui-long-bo-sung-dinh-duong-i2914947767.html</v>
      </c>
      <c r="C414" s="10" t="s">
        <v>414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8">
        <v>5269.0</v>
      </c>
      <c r="B415" s="9" t="str">
        <f>HYPERLINK("https://www.lazada.vn/products/bot-can-tay-thao-duoc-hoang-gia-bot-can-tay-tu-nhien-giam-can-hieu-qua-giup-kiem-soat-can-nang-ho-tro-lam-dep-da-va-cai-thien-suc-khoe-tim-mach-i2779992463.html", "https://www.lazada.vn/products/bot-can-tay-thao-duoc-hoang-gia-bot-can-tay-tu-nhien-giam-can-hieu-qua-giup-kiem-soat-can-nang-ho-tro-lam-dep-da-va-cai-thien-suc-khoe-tim-mach-i2779992463.html")</f>
        <v>https://www.lazada.vn/products/bot-can-tay-thao-duoc-hoang-gia-bot-can-tay-tu-nhien-giam-can-hieu-qua-giup-kiem-soat-can-nang-ho-tro-lam-dep-da-va-cai-thien-suc-khoe-tim-mach-i2779992463.html</v>
      </c>
      <c r="C415" s="10" t="s">
        <v>415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8">
        <v>5270.0</v>
      </c>
      <c r="B416" s="9" t="str">
        <f>HYPERLINK("https://www.lazada.vn/products/thach-pudding-cherish-dua-850g-i2675314391.html", "https://www.lazada.vn/products/thach-pudding-cherish-dua-850g-i2675314391.html")</f>
        <v>https://www.lazada.vn/products/thach-pudding-cherish-dua-850g-i2675314391.html</v>
      </c>
      <c r="C416" s="10" t="s">
        <v>416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8">
        <v>5271.0</v>
      </c>
      <c r="B417" s="9" t="str">
        <f>HYPERLINK("https://www.lazada.vn/products/soju-han-quoc-good-day-360ml-vi-dao-i2331995432.html", "https://www.lazada.vn/products/soju-han-quoc-good-day-360ml-vi-dao-i2331995432.html")</f>
        <v>https://www.lazada.vn/products/soju-han-quoc-good-day-360ml-vi-dao-i2331995432.html</v>
      </c>
      <c r="C417" s="10" t="s">
        <v>417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8">
        <v>5272.0</v>
      </c>
      <c r="B418" s="9" t="str">
        <f>HYPERLINK("https://www.lazada.vn/products/thung-x-20-chai-soju-han-quoc-jeju-360ml-i2331994413.html", "https://www.lazada.vn/products/thung-x-20-chai-soju-han-quoc-jeju-360ml-i2331994413.html")</f>
        <v>https://www.lazada.vn/products/thung-x-20-chai-soju-han-quoc-jeju-360ml-i2331994413.html</v>
      </c>
      <c r="C418" s="10" t="s">
        <v>418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8">
        <v>5273.0</v>
      </c>
      <c r="B419" s="9" t="str">
        <f>HYPERLINK("https://www.lazada.vn/products/chinh-hang-thung-6-hop-mien-cay-trung-khanh-loai-i-dai-ngon-la-mieng-i2994815519.html", "https://www.lazada.vn/products/chinh-hang-thung-6-hop-mien-cay-trung-khanh-loai-i-dai-ngon-la-mieng-i2994815519.html")</f>
        <v>https://www.lazada.vn/products/chinh-hang-thung-6-hop-mien-cay-trung-khanh-loai-i-dai-ngon-la-mieng-i2994815519.html</v>
      </c>
      <c r="C419" s="10" t="s">
        <v>419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8">
        <v>5274.0</v>
      </c>
      <c r="B420" s="9" t="str">
        <f>HYPERLINK("https://www.lazada.vn/products/day-sua-milo-nestle-10-goi-x-22gr-i2521945457.html", "https://www.lazada.vn/products/day-sua-milo-nestle-10-goi-x-22gr-i2521945457.html")</f>
        <v>https://www.lazada.vn/products/day-sua-milo-nestle-10-goi-x-22gr-i2521945457.html</v>
      </c>
      <c r="C420" s="10" t="s">
        <v>420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8">
        <v>5275.0</v>
      </c>
      <c r="B421" s="9" t="str">
        <f>HYPERLINK("https://www.lazada.vn/products/combo-3-goi-banh-gao-hoa-tuyet-vi-nuoc-tuong-thanh-cay-110g-to-ngon-ro-vi-i2955311015.html", "https://www.lazada.vn/products/combo-3-goi-banh-gao-hoa-tuyet-vi-nuoc-tuong-thanh-cay-110g-to-ngon-ro-vi-i2955311015.html")</f>
        <v>https://www.lazada.vn/products/combo-3-goi-banh-gao-hoa-tuyet-vi-nuoc-tuong-thanh-cay-110g-to-ngon-ro-vi-i2955311015.html</v>
      </c>
      <c r="C421" s="10" t="s">
        <v>421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8">
        <v>5276.0</v>
      </c>
      <c r="B422" s="9" t="str">
        <f>HYPERLINK("https://www.lazada.vn/products/nuoc-ngot-co-ga-fanta-cam-chai-600ml-i2677208343.html", "https://www.lazada.vn/products/nuoc-ngot-co-ga-fanta-cam-chai-600ml-i2677208343.html")</f>
        <v>https://www.lazada.vn/products/nuoc-ngot-co-ga-fanta-cam-chai-600ml-i2677208343.html</v>
      </c>
      <c r="C422" s="10" t="s">
        <v>422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8">
        <v>5277.0</v>
      </c>
      <c r="B423" s="9" t="str">
        <f>HYPERLINK("https://www.lazada.vn/products/bia-tuoi-lua-mach-thao-moc-toucan-viet-nam-pale-ale-1-chai-x-330ml-i3052799586.html", "https://www.lazada.vn/products/bia-tuoi-lua-mach-thao-moc-toucan-viet-nam-pale-ale-1-chai-x-330ml-i3052799586.html")</f>
        <v>https://www.lazada.vn/products/bia-tuoi-lua-mach-thao-moc-toucan-viet-nam-pale-ale-1-chai-x-330ml-i3052799586.html</v>
      </c>
      <c r="C423" s="10" t="s">
        <v>423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8">
        <v>5278.0</v>
      </c>
      <c r="B424" s="9" t="str">
        <f>HYPERLINK("https://www.lazada.vn/products/cot-sua-sau-rieng-i2920611303.html", "https://www.lazada.vn/products/cot-sua-sau-rieng-i2920611303.html")</f>
        <v>https://www.lazada.vn/products/cot-sua-sau-rieng-i2920611303.html</v>
      </c>
      <c r="C424" s="10" t="s">
        <v>424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8">
        <v>5279.0</v>
      </c>
      <c r="B425" s="9" t="str">
        <f>HYPERLINK("https://www.lazada.vn/products/bich-to-lam-banh-trang-xi-ke-muoi-nhuyen-bich-to-banh-trang-xi-ke-muoi-nhuyen-tay-ninh-sieu-cay-phoi-suong-do-an-vat-i2824019199.html", "https://www.lazada.vn/products/bich-to-lam-banh-trang-xi-ke-muoi-nhuyen-bich-to-banh-trang-xi-ke-muoi-nhuyen-tay-ninh-sieu-cay-phoi-suong-do-an-vat-i2824019199.html")</f>
        <v>https://www.lazada.vn/products/bich-to-lam-banh-trang-xi-ke-muoi-nhuyen-bich-to-banh-trang-xi-ke-muoi-nhuyen-tay-ninh-sieu-cay-phoi-suong-do-an-vat-i2824019199.html</v>
      </c>
      <c r="C425" s="10" t="s">
        <v>425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8">
        <v>5280.0</v>
      </c>
      <c r="B426" s="9" t="str">
        <f>HYPERLINK("https://www.lazada.vn/products/keo-sua-bo-moo-milk-vi-socola-dau-tra-xanh-goi-15-gr-04123-i2904152192.html", "https://www.lazada.vn/products/keo-sua-bo-moo-milk-vi-socola-dau-tra-xanh-goi-15-gr-04123-i2904152192.html")</f>
        <v>https://www.lazada.vn/products/keo-sua-bo-moo-milk-vi-socola-dau-tra-xanh-goi-15-gr-04123-i2904152192.html</v>
      </c>
      <c r="C426" s="10" t="s">
        <v>426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8">
        <v>5281.0</v>
      </c>
      <c r="B427" s="9" t="str">
        <f>HYPERLINK("https://www.lazada.vn/products/thanh-ly-xa-kho-cuoi-nam-ruou-vang-do-handpicked-collection-coonawarra-cabernet-sauvignon-uc-750ml-144-i2898180376.html", "https://www.lazada.vn/products/thanh-ly-xa-kho-cuoi-nam-ruou-vang-do-handpicked-collection-coonawarra-cabernet-sauvignon-uc-750ml-144-i2898180376.html")</f>
        <v>https://www.lazada.vn/products/thanh-ly-xa-kho-cuoi-nam-ruou-vang-do-handpicked-collection-coonawarra-cabernet-sauvignon-uc-750ml-144-i2898180376.html</v>
      </c>
      <c r="C427" s="10" t="s">
        <v>427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8">
        <v>5282.0</v>
      </c>
      <c r="B428" s="9" t="str">
        <f>HYPERLINK("https://www.lazada.vn/products/nuoc-ep-tipco-thai-lan-trai-cay-1lit-nuoc-ep-luu-tipco-nuoc-ep-nam-viet-quat-tipco-i2891573825.html", "https://www.lazada.vn/products/nuoc-ep-tipco-thai-lan-trai-cay-1lit-nuoc-ep-luu-tipco-nuoc-ep-nam-viet-quat-tipco-i2891573825.html")</f>
        <v>https://www.lazada.vn/products/nuoc-ep-tipco-thai-lan-trai-cay-1lit-nuoc-ep-luu-tipco-nuoc-ep-nam-viet-quat-tipco-i2891573825.html</v>
      </c>
      <c r="C428" s="10" t="s">
        <v>428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8">
        <v>5283.0</v>
      </c>
      <c r="B429" s="9" t="str">
        <f>HYPERLINK("https://www.lazada.vn/products/chanh-muoi-tuoi-lau-nam-hu-1kg-i2740941234.html", "https://www.lazada.vn/products/chanh-muoi-tuoi-lau-nam-hu-1kg-i2740941234.html")</f>
        <v>https://www.lazada.vn/products/chanh-muoi-tuoi-lau-nam-hu-1kg-i2740941234.html</v>
      </c>
      <c r="C429" s="10" t="s">
        <v>429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8">
        <v>5284.0</v>
      </c>
      <c r="B430" s="9" t="str">
        <f>HYPERLINK("https://www.lazada.vn/products/tran-chau-gion-3q-thach-3q-goi-2kg-trang-den-2-loai-bibi-va-sea-i2736752046.html", "https://www.lazada.vn/products/tran-chau-gion-3q-thach-3q-goi-2kg-trang-den-2-loai-bibi-va-sea-i2736752046.html")</f>
        <v>https://www.lazada.vn/products/tran-chau-gion-3q-thach-3q-goi-2kg-trang-den-2-loai-bibi-va-sea-i2736752046.html</v>
      </c>
      <c r="C430" s="10" t="s">
        <v>430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8">
        <v>5285.0</v>
      </c>
      <c r="B431" s="9" t="str">
        <f>HYPERLINK("https://www.lazada.vn/products/hsd-26825-siro-nguyen-ban-country-kitchen-710ml-xi-ro-original-maple-syrup-i2732995238.html", "https://www.lazada.vn/products/hsd-26825-siro-nguyen-ban-country-kitchen-710ml-xi-ro-original-maple-syrup-i2732995238.html")</f>
        <v>https://www.lazada.vn/products/hsd-26825-siro-nguyen-ban-country-kitchen-710ml-xi-ro-original-maple-syrup-i2732995238.html</v>
      </c>
      <c r="C431" s="10" t="s">
        <v>431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8">
        <v>5286.0</v>
      </c>
      <c r="B432" s="9" t="str">
        <f>HYPERLINK("https://www.lazada.vn/products/kitkat-black-chocolate-wafer-12g-half-sugar-reduced-sugar-50-snack-packaging-nestle-quality-chocolate-wafers-from-tianjin-i2965727417.html", "https://www.lazada.vn/products/kitkat-black-chocolate-wafer-12g-half-sugar-reduced-sugar-50-snack-packaging-nestle-quality-chocolate-wafers-from-tianjin-i2965727417.html")</f>
        <v>https://www.lazada.vn/products/kitkat-black-chocolate-wafer-12g-half-sugar-reduced-sugar-50-snack-packaging-nestle-quality-chocolate-wafers-from-tianjin-i2965727417.html</v>
      </c>
      <c r="C432" s="10" t="s">
        <v>432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8">
        <v>5287.0</v>
      </c>
      <c r="B433" s="9" t="str">
        <f>HYPERLINK("https://www.lazada.vn/products/loc-6-lon-nuoc-tang-luc-bo-huc-redbull-250ml-nhap-khau-thai-lan-i2687659338.html", "https://www.lazada.vn/products/loc-6-lon-nuoc-tang-luc-bo-huc-redbull-250ml-nhap-khau-thai-lan-i2687659338.html")</f>
        <v>https://www.lazada.vn/products/loc-6-lon-nuoc-tang-luc-bo-huc-redbull-250ml-nhap-khau-thai-lan-i2687659338.html</v>
      </c>
      <c r="C433" s="10" t="s">
        <v>433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8">
        <v>5288.0</v>
      </c>
      <c r="B434" s="9" t="str">
        <f>HYPERLINK("https://www.lazada.vn/products/nuoc-uong-trai-cay-len-men-du-vi-nu-nhi-hong-i2173075738.html", "https://www.lazada.vn/products/nuoc-uong-trai-cay-len-men-du-vi-nu-nhi-hong-i2173075738.html")</f>
        <v>https://www.lazada.vn/products/nuoc-uong-trai-cay-len-men-du-vi-nu-nhi-hong-i2173075738.html</v>
      </c>
      <c r="C434" s="10" t="s">
        <v>434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8">
        <v>5289.0</v>
      </c>
      <c r="B435" s="9" t="str">
        <f>HYPERLINK("https://www.lazada.vn/products/thung-24-lon-nuoc-tang-luc-bo-huc-redbull-250ml-i2687655456.html", "https://www.lazada.vn/products/thung-24-lon-nuoc-tang-luc-bo-huc-redbull-250ml-i2687655456.html")</f>
        <v>https://www.lazada.vn/products/thung-24-lon-nuoc-tang-luc-bo-huc-redbull-250ml-i2687655456.html</v>
      </c>
      <c r="C435" s="10" t="s">
        <v>435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8">
        <v>5290.0</v>
      </c>
      <c r="B436" s="9" t="str">
        <f>HYPERLINK("https://www.lazada.vn/products/10-bich-banh-trang-vo-phoi-suong-muoi-sac-sate-mini-an-vat-ogi-food-i2822231800.html", "https://www.lazada.vn/products/10-bich-banh-trang-vo-phoi-suong-muoi-sac-sate-mini-an-vat-ogi-food-i2822231800.html")</f>
        <v>https://www.lazada.vn/products/10-bich-banh-trang-vo-phoi-suong-muoi-sac-sate-mini-an-vat-ogi-food-i2822231800.html</v>
      </c>
      <c r="C436" s="10" t="s">
        <v>436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8">
        <v>5291.0</v>
      </c>
      <c r="B437" s="9" t="str">
        <f>HYPERLINK("https://www.lazada.vn/products/khoai-lang-ken-goi-250gr-i2911509283.html", "https://www.lazada.vn/products/khoai-lang-ken-goi-250gr-i2911509283.html")</f>
        <v>https://www.lazada.vn/products/khoai-lang-ken-goi-250gr-i2911509283.html</v>
      </c>
      <c r="C437" s="10" t="s">
        <v>437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8">
        <v>5292.0</v>
      </c>
      <c r="B438" s="9" t="str">
        <f>HYPERLINK("https://www.lazada.vn/products/banh-belgi-trung-sua-mem-vi-truyen-thong-va-vi-com-dua-hop-tien-loi-san-pham-chinh-hang-trang-an-i2487494172.html", "https://www.lazada.vn/products/banh-belgi-trung-sua-mem-vi-truyen-thong-va-vi-com-dua-hop-tien-loi-san-pham-chinh-hang-trang-an-i2487494172.html")</f>
        <v>https://www.lazada.vn/products/banh-belgi-trung-sua-mem-vi-truyen-thong-va-vi-com-dua-hop-tien-loi-san-pham-chinh-hang-trang-an-i2487494172.html</v>
      </c>
      <c r="C438" s="10" t="s">
        <v>438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8">
        <v>5293.0</v>
      </c>
      <c r="B439" s="9" t="str">
        <f>HYPERLINK("https://www.lazada.vn/products/bot-rau-ma-say-lanh-nguyen-chat-tu-thao-duoc-hoang-gia-giup-detox-co-the-thanh-nhiet-va-lam-dep-da-i2779930705.html", "https://www.lazada.vn/products/bot-rau-ma-say-lanh-nguyen-chat-tu-thao-duoc-hoang-gia-giup-detox-co-the-thanh-nhiet-va-lam-dep-da-i2779930705.html")</f>
        <v>https://www.lazada.vn/products/bot-rau-ma-say-lanh-nguyen-chat-tu-thao-duoc-hoang-gia-giup-detox-co-the-thanh-nhiet-va-lam-dep-da-i2779930705.html</v>
      </c>
      <c r="C439" s="10" t="s">
        <v>439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8">
        <v>5294.0</v>
      </c>
      <c r="B440" s="9" t="str">
        <f>HYPERLINK("https://www.lazada.vn/products/thach-rau-cau-jojo-huong-trai-cay-tong-hop-650gtui-i2674373341.html", "https://www.lazada.vn/products/thach-rau-cau-jojo-huong-trai-cay-tong-hop-650gtui-i2674373341.html")</f>
        <v>https://www.lazada.vn/products/thach-rau-cau-jojo-huong-trai-cay-tong-hop-650gtui-i2674373341.html</v>
      </c>
      <c r="C440" s="10" t="s">
        <v>440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8">
        <v>5295.0</v>
      </c>
      <c r="B441" s="9" t="str">
        <f>HYPERLINK("https://www.lazada.vn/products/soju-han-quoc-7drops-360ml-vi-vai-i2331970591.html", "https://www.lazada.vn/products/soju-han-quoc-7drops-360ml-vi-vai-i2331970591.html")</f>
        <v>https://www.lazada.vn/products/soju-han-quoc-7drops-360ml-vi-vai-i2331970591.html</v>
      </c>
      <c r="C441" s="10" t="s">
        <v>441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8">
        <v>5296.0</v>
      </c>
      <c r="B442" s="9" t="str">
        <f>HYPERLINK("https://www.lazada.vn/products/date-moi-thung-sua-milo-48-hop-x-180ml-co-duongit-duong-i2521857042.html", "https://www.lazada.vn/products/date-moi-thung-sua-milo-48-hop-x-180ml-co-duongit-duong-i2521857042.html")</f>
        <v>https://www.lazada.vn/products/date-moi-thung-sua-milo-48-hop-x-180ml-co-duongit-duong-i2521857042.html</v>
      </c>
      <c r="C442" s="10" t="s">
        <v>442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8">
        <v>5297.0</v>
      </c>
      <c r="B443" s="9" t="str">
        <f>HYPERLINK("https://www.lazada.vn/products/canh-ga-chay-goi-500g-i2989559506.html", "https://www.lazada.vn/products/canh-ga-chay-goi-500g-i2989559506.html")</f>
        <v>https://www.lazada.vn/products/canh-ga-chay-goi-500g-i2989559506.html</v>
      </c>
      <c r="C443" s="10" t="s">
        <v>443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8">
        <v>5298.0</v>
      </c>
      <c r="B444" s="9" t="str">
        <f>HYPERLINK("https://www.lazada.vn/products/banh-gao-cuon-want-want-goi-170g-nhieu-huong-vi-gion-ngon-do-an-vat-tien-loi-i2955266231.html", "https://www.lazada.vn/products/banh-gao-cuon-want-want-goi-170g-nhieu-huong-vi-gion-ngon-do-an-vat-tien-loi-i2955266231.html")</f>
        <v>https://www.lazada.vn/products/banh-gao-cuon-want-want-goi-170g-nhieu-huong-vi-gion-ngon-do-an-vat-tien-loi-i2955266231.html</v>
      </c>
      <c r="C444" s="10" t="s">
        <v>444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8">
        <v>5299.0</v>
      </c>
      <c r="B445" s="9" t="str">
        <f>HYPERLINK("https://www.lazada.vn/products/nuoc-ngot-co-ga-sprite-lon-320ml-i2677192414.html", "https://www.lazada.vn/products/nuoc-ngot-co-ga-sprite-lon-320ml-i2677192414.html")</f>
        <v>https://www.lazada.vn/products/nuoc-ngot-co-ga-sprite-lon-320ml-i2677192414.html</v>
      </c>
      <c r="C445" s="10" t="s">
        <v>445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8">
        <v>5300.0</v>
      </c>
      <c r="B446" s="9" t="str">
        <f>HYPERLINK("https://www.lazada.vn/products/bia-tuoi-toucan-golden-pilsner-1-thung-12-chai-x-330ml-i3052791361.html", "https://www.lazada.vn/products/bia-tuoi-toucan-golden-pilsner-1-thung-12-chai-x-330ml-i3052791361.html")</f>
        <v>https://www.lazada.vn/products/bia-tuoi-toucan-golden-pilsner-1-thung-12-chai-x-330ml-i3052791361.html</v>
      </c>
      <c r="C446" s="10" t="s">
        <v>446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8">
        <v>5301.0</v>
      </c>
      <c r="B447" s="9" t="str">
        <f>HYPERLINK("https://www.lazada.vn/products/vang-bich-phap-louis-eschenauer-3l-5l-vang-do-phap-the-best-wine-red-wine-vin-rouge-i2821037871.html", "https://www.lazada.vn/products/vang-bich-phap-louis-eschenauer-3l-5l-vang-do-phap-the-best-wine-red-wine-vin-rouge-i2821037871.html")</f>
        <v>https://www.lazada.vn/products/vang-bich-phap-louis-eschenauer-3l-5l-vang-do-phap-the-best-wine-red-wine-vin-rouge-i2821037871.html</v>
      </c>
      <c r="C447" s="10" t="s">
        <v>447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8">
        <v>5302.0</v>
      </c>
      <c r="B448" s="9" t="str">
        <f>HYPERLINK("https://www.lazada.vn/products/banh-da-trung-cuon-kem-tuoi-cha-bong-hieu-ong-gia-i2846506787.html", "https://www.lazada.vn/products/banh-da-trung-cuon-kem-tuoi-cha-bong-hieu-ong-gia-i2846506787.html")</f>
        <v>https://www.lazada.vn/products/banh-da-trung-cuon-kem-tuoi-cha-bong-hieu-ong-gia-i2846506787.html</v>
      </c>
      <c r="C448" s="10" t="s">
        <v>448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8">
        <v>5303.0</v>
      </c>
      <c r="B449" s="9" t="str">
        <f>HYPERLINK("https://www.lazada.vn/products/1kg-keo-tao-do-kep-sua-hat-dieu-hong-guang-nhap-khau-chinh-nghach-hang-co-kiem-dinh-i2886099655.html", "https://www.lazada.vn/products/1kg-keo-tao-do-kep-sua-hat-dieu-hong-guang-nhap-khau-chinh-nghach-hang-co-kiem-dinh-i2886099655.html")</f>
        <v>https://www.lazada.vn/products/1kg-keo-tao-do-kep-sua-hat-dieu-hong-guang-nhap-khau-chinh-nghach-hang-co-kiem-dinh-i2886099655.html</v>
      </c>
      <c r="C449" s="10" t="s">
        <v>449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8">
        <v>5304.0</v>
      </c>
      <c r="B450" s="9" t="str">
        <f>HYPERLINK("https://www.lazada.vn/products/vang-my-cao-cap-robert-mondavi-winery-cabernet-sauvignon-the-best-wine-i2893343629.html", "https://www.lazada.vn/products/vang-my-cao-cap-robert-mondavi-winery-cabernet-sauvignon-the-best-wine-i2893343629.html")</f>
        <v>https://www.lazada.vn/products/vang-my-cao-cap-robert-mondavi-winery-cabernet-sauvignon-the-best-wine-i2893343629.html</v>
      </c>
      <c r="C450" s="10" t="s">
        <v>450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8">
        <v>5305.0</v>
      </c>
      <c r="B451" s="9" t="str">
        <f>HYPERLINK("https://www.lazada.vn/products/rum-isc-nguyen-lieu-lam-banh-tiramisu-100700ml-i2730898618.html", "https://www.lazada.vn/products/rum-isc-nguyen-lieu-lam-banh-tiramisu-100700ml-i2730898618.html")</f>
        <v>https://www.lazada.vn/products/rum-isc-nguyen-lieu-lam-banh-tiramisu-100700ml-i2730898618.html</v>
      </c>
      <c r="C451" s="10" t="s">
        <v>451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8">
        <v>5306.0</v>
      </c>
      <c r="B452" s="9" t="str">
        <f>HYPERLINK("https://www.lazada.vn/products/thach-uong-huong-trai-cay-co-thach-dua-sweet-coco-120ml-i2890273602.html", "https://www.lazada.vn/products/thach-uong-huong-trai-cay-co-thach-dua-sweet-coco-120ml-i2890273602.html")</f>
        <v>https://www.lazada.vn/products/thach-uong-huong-trai-cay-co-thach-dua-sweet-coco-120ml-i2890273602.html</v>
      </c>
      <c r="C452" s="10" t="s">
        <v>452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8">
        <v>5307.0</v>
      </c>
      <c r="B453" s="9" t="str">
        <f>HYPERLINK("https://www.lazada.vn/products/dubai-style-chocolate-wafer-thread-pistachio-jam-dubai-chocolate-dubai-flavor-chocolate-drop-shipping-white-chocolate-snacks-i2965721519.html", "https://www.lazada.vn/products/dubai-style-chocolate-wafer-thread-pistachio-jam-dubai-chocolate-dubai-flavor-chocolate-drop-shipping-white-chocolate-snacks-i2965721519.html")</f>
        <v>https://www.lazada.vn/products/dubai-style-chocolate-wafer-thread-pistachio-jam-dubai-chocolate-dubai-flavor-chocolate-drop-shipping-white-chocolate-snacks-i2965721519.html</v>
      </c>
      <c r="C453" s="10" t="s">
        <v>453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8">
        <v>5308.0</v>
      </c>
      <c r="B454" s="9" t="str">
        <f>HYPERLINK("https://www.lazada.vn/products/thung-24-chai-nuoc-tang-luc-sting-huong-dau-330ml-i2687653358.html", "https://www.lazada.vn/products/thung-24-chai-nuoc-tang-luc-sting-huong-dau-330ml-i2687653358.html")</f>
        <v>https://www.lazada.vn/products/thung-24-chai-nuoc-tang-luc-sting-huong-dau-330ml-i2687653358.html</v>
      </c>
      <c r="C454" s="10" t="s">
        <v>454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8">
        <v>5309.0</v>
      </c>
      <c r="B455" s="9" t="str">
        <f>HYPERLINK("https://www.lazada.vn/products/soju-nhap-khau-100-han-quoc-i2159670787.html", "https://www.lazada.vn/products/soju-nhap-khau-100-han-quoc-i2159670787.html")</f>
        <v>https://www.lazada.vn/products/soju-nhap-khau-100-han-quoc-i2159670787.html</v>
      </c>
      <c r="C455" s="10" t="s">
        <v>455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8">
        <v>5310.0</v>
      </c>
      <c r="B456" s="9" t="str">
        <f>HYPERLINK("https://www.lazada.vn/products/loc-6-chai-nuoc-tang-luc-sting-huong-dau-330ml-i2687639407.html", "https://www.lazada.vn/products/loc-6-chai-nuoc-tang-luc-sting-huong-dau-330ml-i2687639407.html")</f>
        <v>https://www.lazada.vn/products/loc-6-chai-nuoc-tang-luc-sting-huong-dau-330ml-i2687639407.html</v>
      </c>
      <c r="C456" s="10" t="s">
        <v>456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8">
        <v>5311.0</v>
      </c>
      <c r="B457" s="9" t="str">
        <f>HYPERLINK("https://www.lazada.vn/products/ruou-nu-nhi-hong-i2144012203.html", "https://www.lazada.vn/products/ruou-nu-nhi-hong-i2144012203.html")</f>
        <v>https://www.lazada.vn/products/ruou-nu-nhi-hong-i2144012203.html</v>
      </c>
      <c r="C457" s="10" t="s">
        <v>457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8">
        <v>5312.0</v>
      </c>
      <c r="B458" s="9" t="str">
        <f>HYPERLINK("https://www.lazada.vn/products/si-5-bich-banh-trang-tron-tac-sate-cay-muoi-nhuyen-banh-moi-mem-deo-i2820807602.html", "https://www.lazada.vn/products/si-5-bich-banh-trang-tron-tac-sate-cay-muoi-nhuyen-banh-moi-mem-deo-i2820807602.html")</f>
        <v>https://www.lazada.vn/products/si-5-bich-banh-trang-tron-tac-sate-cay-muoi-nhuyen-banh-moi-mem-deo-i2820807602.html</v>
      </c>
      <c r="C458" s="10" t="s">
        <v>458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8">
        <v>5313.0</v>
      </c>
      <c r="B459" s="9" t="str">
        <f>HYPERLINK("https://www.lazada.vn/products/banh-gau-thai-lan-yo-friend-socola-cham-kem-dau-cookies-goi-25g-hong-i2487430685.html", "https://www.lazada.vn/products/banh-gau-thai-lan-yo-friend-socola-cham-kem-dau-cookies-goi-25g-hong-i2487430685.html")</f>
        <v>https://www.lazada.vn/products/banh-gau-thai-lan-yo-friend-socola-cham-kem-dau-cookies-goi-25g-hong-i2487430685.html</v>
      </c>
      <c r="C459" s="10" t="s">
        <v>459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8">
        <v>5314.0</v>
      </c>
      <c r="B460" s="9" t="str">
        <f>HYPERLINK("https://www.lazada.vn/products/bot-san-day-thao-duoc-hoang-gia-hop-500gram-san-pham-chat-luong-cao-mang-lai-nhieu-loi-ich-cho-suc-khoe-i2779843912.html", "https://www.lazada.vn/products/bot-san-day-thao-duoc-hoang-gia-hop-500gram-san-pham-chat-luong-cao-mang-lai-nhieu-loi-ich-cho-suc-khoe-i2779843912.html")</f>
        <v>https://www.lazada.vn/products/bot-san-day-thao-duoc-hoang-gia-hop-500gram-san-pham-chat-luong-cao-mang-lai-nhieu-loi-ich-cho-suc-khoe-i2779843912.html</v>
      </c>
      <c r="C460" s="10" t="s">
        <v>460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8">
        <v>5315.0</v>
      </c>
      <c r="B461" s="9" t="str">
        <f>HYPERLINK("https://www.lazada.vn/products/snack-khoai-tay-mister-potato-i2910537729.html", "https://www.lazada.vn/products/snack-khoai-tay-mister-potato-i2910537729.html")</f>
        <v>https://www.lazada.vn/products/snack-khoai-tay-mister-potato-i2910537729.html</v>
      </c>
      <c r="C461" s="10" t="s">
        <v>461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8">
        <v>5316.0</v>
      </c>
      <c r="B462" s="9" t="str">
        <f>HYPERLINK("https://www.lazada.vn/products/1-hop-6-goi-thach-yen-trai-cay-brain-rio-100ml-cua-cty-g24-i2674211411.html", "https://www.lazada.vn/products/1-hop-6-goi-thach-yen-trai-cay-brain-rio-100ml-cua-cty-g24-i2674211411.html")</f>
        <v>https://www.lazada.vn/products/1-hop-6-goi-thach-yen-trai-cay-brain-rio-100ml-cua-cty-g24-i2674211411.html</v>
      </c>
      <c r="C462" s="10" t="s">
        <v>462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8">
        <v>5317.0</v>
      </c>
      <c r="B463" s="9" t="str">
        <f>HYPERLINK("https://www.lazada.vn/products/soju-han-quoc-chum-churum-360ml-vi-nho-i2331960409.html", "https://www.lazada.vn/products/soju-han-quoc-chum-churum-360ml-vi-nho-i2331960409.html")</f>
        <v>https://www.lazada.vn/products/soju-han-quoc-chum-churum-360ml-vi-nho-i2331960409.html</v>
      </c>
      <c r="C463" s="10" t="s">
        <v>463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8">
        <v>5318.0</v>
      </c>
      <c r="B464" s="9" t="str">
        <f>HYPERLINK("https://www.lazada.vn/products/thung-sua-milo-48-hop-x-110ml-date-moi-i2521830232.html", "https://www.lazada.vn/products/thung-sua-milo-48-hop-x-110ml-date-moi-i2521830232.html")</f>
        <v>https://www.lazada.vn/products/thung-sua-milo-48-hop-x-110ml-date-moi-i2521830232.html</v>
      </c>
      <c r="C464" s="10" t="s">
        <v>464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8">
        <v>5319.0</v>
      </c>
      <c r="B465" s="9" t="str">
        <f>HYPERLINK("https://www.lazada.vn/products/123lifevn-chi-giao-hoa-toc-mi-tron-vit-quay-bac-kinh-i2988862993.html", "https://www.lazada.vn/products/123lifevn-chi-giao-hoa-toc-mi-tron-vit-quay-bac-kinh-i2988862993.html")</f>
        <v>https://www.lazada.vn/products/123lifevn-chi-giao-hoa-toc-mi-tron-vit-quay-bac-kinh-i2988862993.html</v>
      </c>
      <c r="C465" s="10" t="s">
        <v>465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8">
        <v>5320.0</v>
      </c>
      <c r="B466" s="9" t="str">
        <f>HYPERLINK("https://www.lazada.vn/products/combo-3-goi-banh-gao-tuyet-want-want-huong-gao-nhat-150g-gion-ngon-tien-loi-i2955210247.html", "https://www.lazada.vn/products/combo-3-goi-banh-gao-tuyet-want-want-huong-gao-nhat-150g-gion-ngon-tien-loi-i2955210247.html")</f>
        <v>https://www.lazada.vn/products/combo-3-goi-banh-gao-tuyet-want-want-huong-gao-nhat-150g-gion-ngon-tien-loi-i2955210247.html</v>
      </c>
      <c r="C466" s="10" t="s">
        <v>466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8">
        <v>5321.0</v>
      </c>
      <c r="B467" s="9" t="str">
        <f>HYPERLINK("https://www.lazada.vn/products/nuoc-ngot-co-ga-fanta-cam-chai-300ml-i2677192411.html", "https://www.lazada.vn/products/nuoc-ngot-co-ga-fanta-cam-chai-300ml-i2677192411.html")</f>
        <v>https://www.lazada.vn/products/nuoc-ngot-co-ga-fanta-cam-chai-300ml-i2677192411.html</v>
      </c>
      <c r="C467" s="10" t="s">
        <v>467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8">
        <v>5322.0</v>
      </c>
      <c r="B468" s="9" t="str">
        <f>HYPERLINK("https://www.lazada.vn/products/combo-bia-tuoi-thu-cong-mix-2-vi-toucan-1-thung-6-chai-x-330ml-i3052764760.html", "https://www.lazada.vn/products/combo-bia-tuoi-thu-cong-mix-2-vi-toucan-1-thung-6-chai-x-330ml-i3052764760.html")</f>
        <v>https://www.lazada.vn/products/combo-bia-tuoi-thu-cong-mix-2-vi-toucan-1-thung-6-chai-x-330ml-i3052764760.html</v>
      </c>
      <c r="C468" s="10" t="s">
        <v>468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8">
        <v>5323.0</v>
      </c>
      <c r="B469" s="9" t="str">
        <f>HYPERLINK("https://www.lazada.vn/products/mao-dai-am-tich-1000ml-i2816000405.html", "https://www.lazada.vn/products/mao-dai-am-tich-1000ml-i2816000405.html")</f>
        <v>https://www.lazada.vn/products/mao-dai-am-tich-1000ml-i2816000405.html</v>
      </c>
      <c r="C469" s="10" t="s">
        <v>469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8">
        <v>5324.0</v>
      </c>
      <c r="B470" s="9" t="str">
        <f>HYPERLINK("https://www.lazada.vn/products/keo-mut-keo-ong-la-thuong-xuan-happy-vitamin-giam-ho-dau-hong-cho-tre-em-va-nguoi-lon-hop-12-chiec-i2880052072.html", "https://www.lazada.vn/products/keo-mut-keo-ong-la-thuong-xuan-happy-vitamin-giam-ho-dau-hong-cho-tre-em-va-nguoi-lon-hop-12-chiec-i2880052072.html")</f>
        <v>https://www.lazada.vn/products/keo-mut-keo-ong-la-thuong-xuan-happy-vitamin-giam-ho-dau-hong-cho-tre-em-va-nguoi-lon-hop-12-chiec-i2880052072.html</v>
      </c>
      <c r="C470" s="10" t="s">
        <v>470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8">
        <v>5325.0</v>
      </c>
      <c r="B471" s="9" t="str">
        <f>HYPERLINK("https://www.lazada.vn/products/vang-my-cao-cap-opus-one-2017-2018-2019-the-best-wine-i2885709500.html", "https://www.lazada.vn/products/vang-my-cao-cap-opus-one-2017-2018-2019-the-best-wine-i2885709500.html")</f>
        <v>https://www.lazada.vn/products/vang-my-cao-cap-opus-one-2017-2018-2019-the-best-wine-i2885709500.html</v>
      </c>
      <c r="C471" s="10" t="s">
        <v>471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8">
        <v>5326.0</v>
      </c>
      <c r="B472" s="9" t="str">
        <f>HYPERLINK("https://www.lazada.vn/products/mua-thung-24-chai-320ml-tang-1-loc-khan-giay-bo-tui-thung-nuoc-thach-dua-mogu-mogu-thai-lan-nhieu-vi-i2886060244.html", "https://www.lazada.vn/products/mua-thung-24-chai-320ml-tang-1-loc-khan-giay-bo-tui-thung-nuoc-thach-dua-mogu-mogu-thai-lan-nhieu-vi-i2886060244.html")</f>
        <v>https://www.lazada.vn/products/mua-thung-24-chai-320ml-tang-1-loc-khan-giay-bo-tui-thung-nuoc-thach-dua-mogu-mogu-thai-lan-nhieu-vi-i2886060244.html</v>
      </c>
      <c r="C472" s="10" t="s">
        <v>472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8">
        <v>5327.0</v>
      </c>
      <c r="B473" s="9" t="str">
        <f>HYPERLINK("https://www.lazada.vn/products/syrup-davinci-bi-quyet-cho-nhung-thuc-uong-sang-tao-i2730545784.html", "https://www.lazada.vn/products/syrup-davinci-bi-quyet-cho-nhung-thuc-uong-sang-tao-i2730545784.html")</f>
        <v>https://www.lazada.vn/products/syrup-davinci-bi-quyet-cho-nhung-thuc-uong-sang-tao-i2730545784.html</v>
      </c>
      <c r="C473" s="10" t="s">
        <v>473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8">
        <v>5328.0</v>
      </c>
      <c r="B474" s="9" t="str">
        <f>HYPERLINK("https://www.lazada.vn/products/meiji-chocolate-65g-bar-pack-snack-wedding-celebration-black-chocolate-leisurely-sweet-treat-gift-for-qixi-festival-and-valentines-day-i2965719550.html", "https://www.lazada.vn/products/meiji-chocolate-65g-bar-pack-snack-wedding-celebration-black-chocolate-leisurely-sweet-treat-gift-for-qixi-festival-and-valentines-day-i2965719550.html")</f>
        <v>https://www.lazada.vn/products/meiji-chocolate-65g-bar-pack-snack-wedding-celebration-black-chocolate-leisurely-sweet-treat-gift-for-qixi-festival-and-valentines-day-i2965719550.html</v>
      </c>
      <c r="C474" s="10" t="s">
        <v>474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8">
        <v>5329.0</v>
      </c>
      <c r="B475" s="9" t="str">
        <f>HYPERLINK("https://www.lazada.vn/products/loc-6-lon-nuoc-tang-luc-warrior-huong-dau-nho-325ml-i2687618321.html", "https://www.lazada.vn/products/loc-6-lon-nuoc-tang-luc-warrior-huong-dau-nho-325ml-i2687618321.html")</f>
        <v>https://www.lazada.vn/products/loc-6-lon-nuoc-tang-luc-warrior-huong-dau-nho-325ml-i2687618321.html</v>
      </c>
      <c r="C475" s="10" t="s">
        <v>475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8">
        <v>5330.0</v>
      </c>
      <c r="B476" s="9" t="str">
        <f>HYPERLINK("https://www.lazada.vn/products/thung-24-lon-nuoc-tang-luc-bo-huc-redbull-250ml-nhap-khau-thai-lan-i2687613445.html", "https://www.lazada.vn/products/thung-24-lon-nuoc-tang-luc-bo-huc-redbull-250ml-nhap-khau-thai-lan-i2687613445.html")</f>
        <v>https://www.lazada.vn/products/thung-24-lon-nuoc-tang-luc-bo-huc-redbull-250ml-nhap-khau-thai-lan-i2687613445.html</v>
      </c>
      <c r="C476" s="10" t="s">
        <v>476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8">
        <v>5331.0</v>
      </c>
      <c r="B477" s="9" t="str">
        <f>HYPERLINK("https://www.lazada.vn/products/banh-trang-cuon-ruoc-vi-dam-da-gion-rum-tui-10-cuon-i2820619960.html", "https://www.lazada.vn/products/banh-trang-cuon-ruoc-vi-dam-da-gion-rum-tui-10-cuon-i2820619960.html")</f>
        <v>https://www.lazada.vn/products/banh-trang-cuon-ruoc-vi-dam-da-gion-rum-tui-10-cuon-i2820619960.html</v>
      </c>
      <c r="C477" s="10" t="s">
        <v>477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8">
        <v>5332.0</v>
      </c>
      <c r="B478" s="9" t="str">
        <f>HYPERLINK("https://www.lazada.vn/products/soju-han-quoc-jinro-360ml-vi-man-i2331958478.html", "https://www.lazada.vn/products/soju-han-quoc-jinro-360ml-vi-man-i2331958478.html")</f>
        <v>https://www.lazada.vn/products/soju-han-quoc-jinro-360ml-vi-man-i2331958478.html</v>
      </c>
      <c r="C478" s="10" t="s">
        <v>478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8">
        <v>5333.0</v>
      </c>
      <c r="B479" s="9" t="str">
        <f>HYPERLINK("https://www.lazada.vn/products/bot-la-suong-sam-ckf-75g-i2778647121.html", "https://www.lazada.vn/products/bot-la-suong-sam-ckf-75g-i2778647121.html")</f>
        <v>https://www.lazada.vn/products/bot-la-suong-sam-ckf-75g-i2778647121.html</v>
      </c>
      <c r="C479" s="10" t="s">
        <v>479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8">
        <v>5334.0</v>
      </c>
      <c r="B480" s="9" t="str">
        <f>HYPERLINK("https://www.lazada.vn/products/banh-belgi-trung-sua-hop-42g-hop-nho-tien-loi-dung-cho-cung-le-san-pham-chinh-hang-trang-an-i2487310449.html", "https://www.lazada.vn/products/banh-belgi-trung-sua-hop-42g-hop-nho-tien-loi-dung-cho-cung-le-san-pham-chinh-hang-trang-an-i2487310449.html")</f>
        <v>https://www.lazada.vn/products/banh-belgi-trung-sua-hop-42g-hop-nho-tien-loi-dung-cho-cung-le-san-pham-chinh-hang-trang-an-i2487310449.html</v>
      </c>
      <c r="C480" s="10" t="s">
        <v>480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8">
        <v>5335.0</v>
      </c>
      <c r="B481" s="9" t="str">
        <f>HYPERLINK("https://www.lazada.vn/products/loc-12-hop-banh-khoai-tay-le-atela-42g-i2909947278.html", "https://www.lazada.vn/products/loc-12-hop-banh-khoai-tay-le-atela-42g-i2909947278.html")</f>
        <v>https://www.lazada.vn/products/loc-12-hop-banh-khoai-tay-le-atela-42g-i2909947278.html</v>
      </c>
      <c r="C481" s="10" t="s">
        <v>481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8">
        <v>5336.0</v>
      </c>
      <c r="B482" s="9" t="str">
        <f>HYPERLINK("https://www.lazada.vn/products/thach-ozai-akita-headway-goi-giay-mix-du-vi-trai-cay-thom-ngon-gion-san-sat-cuc-hap-dan-tui-350g-i2674052069.html", "https://www.lazada.vn/products/thach-ozai-akita-headway-goi-giay-mix-du-vi-trai-cay-thom-ngon-gion-san-sat-cuc-hap-dan-tui-350g-i2674052069.html")</f>
        <v>https://www.lazada.vn/products/thach-ozai-akita-headway-goi-giay-mix-du-vi-trai-cay-thom-ngon-gion-san-sat-cuc-hap-dan-tui-350g-i2674052069.html</v>
      </c>
      <c r="C482" s="10" t="s">
        <v>482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8">
        <v>5337.0</v>
      </c>
      <c r="B483" s="9" t="str">
        <f>HYPERLINK("https://www.lazada.vn/products/bia-tuoi-cam-chanh-lua-mach-toucan-wheat-1-thung-x-24-chai-x-330ml-i3052760795.html", "https://www.lazada.vn/products/bia-tuoi-cam-chanh-lua-mach-toucan-wheat-1-thung-x-24-chai-x-330ml-i3052760795.html")</f>
        <v>https://www.lazada.vn/products/bia-tuoi-cam-chanh-lua-mach-toucan-wheat-1-thung-x-24-chai-x-330ml-i3052760795.html</v>
      </c>
      <c r="C483" s="10" t="s">
        <v>483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8">
        <v>5338.0</v>
      </c>
      <c r="B484" s="9" t="str">
        <f>HYPERLINK("https://www.lazada.vn/products/nuoc-ngot-co-ga-fanta-cam-chai-390ml-i2677166652.html", "https://www.lazada.vn/products/nuoc-ngot-co-ga-fanta-cam-chai-390ml-i2677166652.html")</f>
        <v>https://www.lazada.vn/products/nuoc-ngot-co-ga-fanta-cam-chai-390ml-i2677166652.html</v>
      </c>
      <c r="C484" s="10" t="s">
        <v>484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8">
        <v>5339.0</v>
      </c>
      <c r="B485" s="9" t="str">
        <f>HYPERLINK("https://www.lazada.vn/products/chao-5-do-dogiafarm-tao-do-gao-lut-huyet-rong-dau-phong-dau-do-ky-tu-an-kieng-bo-mau-boi-bo-sau-sinh-i2985066786.html", "https://www.lazada.vn/products/chao-5-do-dogiafarm-tao-do-gao-lut-huyet-rong-dau-phong-dau-do-ky-tu-an-kieng-bo-mau-boi-bo-sau-sinh-i2985066786.html")</f>
        <v>https://www.lazada.vn/products/chao-5-do-dogiafarm-tao-do-gao-lut-huyet-rong-dau-phong-dau-do-ky-tu-an-kieng-bo-mau-boi-bo-sau-sinh-i2985066786.html</v>
      </c>
      <c r="C485" s="10" t="s">
        <v>485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8">
        <v>5340.0</v>
      </c>
      <c r="B486" s="9" t="str">
        <f>HYPERLINK("https://www.lazada.vn/products/new-combo-2-vi-sua-milo-lua-mach-nestle-8-hop-x-110ml-date-moi-i2521778918.html", "https://www.lazada.vn/products/new-combo-2-vi-sua-milo-lua-mach-nestle-8-hop-x-110ml-date-moi-i2521778918.html")</f>
        <v>https://www.lazada.vn/products/new-combo-2-vi-sua-milo-lua-mach-nestle-8-hop-x-110ml-date-moi-i2521778918.html</v>
      </c>
      <c r="C486" s="10" t="s">
        <v>486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8">
        <v>5341.0</v>
      </c>
      <c r="B487" s="9" t="str">
        <f>HYPERLINK("https://www.lazada.vn/products/banh-gao-want-want-rice-snack-goi-25g-nhieu-huong-vi-gion-ngon-tien-loi-i2955208391.html", "https://www.lazada.vn/products/banh-gao-want-want-rice-snack-goi-25g-nhieu-huong-vi-gion-ngon-tien-loi-i2955208391.html")</f>
        <v>https://www.lazada.vn/products/banh-gao-want-want-rice-snack-goi-25g-nhieu-huong-vi-gion-ngon-tien-loi-i2955208391.html</v>
      </c>
      <c r="C487" s="10" t="s">
        <v>487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8">
        <v>5342.0</v>
      </c>
      <c r="B488" s="9" t="str">
        <f>HYPERLINK("https://www.lazada.vn/products/nhap-khau-chinh-hang-vang-bich-3-lit-chinh-hang-i2802992809.html", "https://www.lazada.vn/products/nhap-khau-chinh-hang-vang-bich-3-lit-chinh-hang-i2802992809.html")</f>
        <v>https://www.lazada.vn/products/nhap-khau-chinh-hang-vang-bich-3-lit-chinh-hang-i2802992809.html</v>
      </c>
      <c r="C488" s="10" t="s">
        <v>488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8">
        <v>5343.0</v>
      </c>
      <c r="B489" s="9" t="str">
        <f>HYPERLINK("https://www.lazada.vn/products/combo-5-banh-mi-cha-bong-sot-tieu-60g-staff-i2841449219.html", "https://www.lazada.vn/products/combo-5-banh-mi-cha-bong-sot-tieu-60g-staff-i2841449219.html")</f>
        <v>https://www.lazada.vn/products/combo-5-banh-mi-cha-bong-sot-tieu-60g-staff-i2841449219.html</v>
      </c>
      <c r="C489" s="10" t="s">
        <v>489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8">
        <v>5344.0</v>
      </c>
      <c r="B490" s="9" t="str">
        <f>HYPERLINK("https://www.lazada.vn/products/keo-deo-le-an-phe-co-nhan-mat-ong-500g-the-mat-sang-khoai-mem-deo-thom-ngon-keo-deo-le-an-phe-mat-ong-the-mat-sang-khoai-mem-deo-thom-ngon-i2878408111.html", "https://www.lazada.vn/products/keo-deo-le-an-phe-co-nhan-mat-ong-500g-the-mat-sang-khoai-mem-deo-thom-ngon-keo-deo-le-an-phe-mat-ong-the-mat-sang-khoai-mem-deo-thom-ngon-i2878408111.html")</f>
        <v>https://www.lazada.vn/products/keo-deo-le-an-phe-co-nhan-mat-ong-500g-the-mat-sang-khoai-mem-deo-thom-ngon-keo-deo-le-an-phe-mat-ong-the-mat-sang-khoai-mem-deo-thom-ngon-i2878408111.html</v>
      </c>
      <c r="C490" s="10" t="s">
        <v>490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8">
        <v>5345.0</v>
      </c>
      <c r="B491" s="9" t="str">
        <f>HYPERLINK("https://www.lazada.vn/products/hop-qua-ruou-vang-maison-delalande-2018-750ml-135-va-fenan-bordeaux-2018-750ml-135-i2885218845.html", "https://www.lazada.vn/products/hop-qua-ruou-vang-maison-delalande-2018-750ml-135-va-fenan-bordeaux-2018-750ml-135-i2885218845.html")</f>
        <v>https://www.lazada.vn/products/hop-qua-ruou-vang-maison-delalande-2018-750ml-135-va-fenan-bordeaux-2018-750ml-135-i2885218845.html</v>
      </c>
      <c r="C491" s="10" t="s">
        <v>491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8">
        <v>5346.0</v>
      </c>
      <c r="B492" s="9" t="str">
        <f>HYPERLINK("https://www.lazada.vn/products/chiet-xuat-vani-hansells-natural-vanilla-extract-100ml-i2727776543.html", "https://www.lazada.vn/products/chiet-xuat-vani-hansells-natural-vanilla-extract-100ml-i2727776543.html")</f>
        <v>https://www.lazada.vn/products/chiet-xuat-vani-hansells-natural-vanilla-extract-100ml-i2727776543.html</v>
      </c>
      <c r="C492" s="10" t="s">
        <v>492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8">
        <v>5347.0</v>
      </c>
      <c r="B493" s="9" t="str">
        <f>HYPERLINK("https://www.lazada.vn/products/chocolate-sua-toblerone-100g-hinh-tam-giac-co-mat-ong-va-hat-de-nguyen-trai-huong-vi-dac-biet-cua-thuy-si-snack-so-co-la-i2965714526.html", "https://www.lazada.vn/products/chocolate-sua-toblerone-100g-hinh-tam-giac-co-mat-ong-va-hat-de-nguyen-trai-huong-vi-dac-biet-cua-thuy-si-snack-so-co-la-i2965714526.html")</f>
        <v>https://www.lazada.vn/products/chocolate-sua-toblerone-100g-hinh-tam-giac-co-mat-ong-va-hat-de-nguyen-trai-huong-vi-dac-biet-cua-thuy-si-snack-so-co-la-i2965714526.html</v>
      </c>
      <c r="C493" s="10" t="s">
        <v>493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8">
        <v>5348.0</v>
      </c>
      <c r="B494" s="9" t="str">
        <f>HYPERLINK("https://www.lazada.vn/products/nuoc-cot-dua-lon-thai-lan-chaokoh-165ml-400ml-i2885548209.html", "https://www.lazada.vn/products/nuoc-cot-dua-lon-thai-lan-chaokoh-165ml-400ml-i2885548209.html")</f>
        <v>https://www.lazada.vn/products/nuoc-cot-dua-lon-thai-lan-chaokoh-165ml-400ml-i2885548209.html</v>
      </c>
      <c r="C494" s="10" t="s">
        <v>494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8">
        <v>5349.0</v>
      </c>
      <c r="B495" s="9" t="str">
        <f>HYPERLINK("https://www.lazada.vn/products/chocolate-tron-trung-tinh-lindt-lindor-marriage-celebration-candy-nuoc-ep-trai-cay-va-hat-trung-tinh-hat-trai-cay-va-hat-doc-lap-i2965714504.html", "https://www.lazada.vn/products/chocolate-tron-trung-tinh-lindt-lindor-marriage-celebration-candy-nuoc-ep-trai-cay-va-hat-trung-tinh-hat-trai-cay-va-hat-doc-lap-i2965714504.html")</f>
        <v>https://www.lazada.vn/products/chocolate-tron-trung-tinh-lindt-lindor-marriage-celebration-candy-nuoc-ep-trai-cay-va-hat-trung-tinh-hat-trai-cay-va-hat-doc-lap-i2965714504.html</v>
      </c>
      <c r="C495" s="10" t="s">
        <v>495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8">
        <v>5350.0</v>
      </c>
      <c r="B496" s="9" t="str">
        <f>HYPERLINK("https://www.lazada.vn/products/nuoc-cot-dua-lon-thai-lan-chaokoh-165ml-400ml-i2885272853.html", "https://www.lazada.vn/products/nuoc-cot-dua-lon-thai-lan-chaokoh-165ml-400ml-i2885272853.html")</f>
        <v>https://www.lazada.vn/products/nuoc-cot-dua-lon-thai-lan-chaokoh-165ml-400ml-i2885272853.html</v>
      </c>
      <c r="C496" s="10" t="s">
        <v>496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8">
        <v>5351.0</v>
      </c>
      <c r="B497" s="9" t="str">
        <f>HYPERLINK("https://www.lazada.vn/products/1-bich-banh-trang-vuong-lac-muoi-sac-sieu-cay-bich-lon-an-vat-ogi-food-i2819398171.html", "https://www.lazada.vn/products/1-bich-banh-trang-vuong-lac-muoi-sac-sieu-cay-bich-lon-an-vat-ogi-food-i2819398171.html")</f>
        <v>https://www.lazada.vn/products/1-bich-banh-trang-vuong-lac-muoi-sac-sieu-cay-bich-lon-an-vat-ogi-food-i2819398171.html</v>
      </c>
      <c r="C497" s="10" t="s">
        <v>497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8">
        <v>5352.0</v>
      </c>
      <c r="B498" s="9" t="str">
        <f>HYPERLINK("https://www.lazada.vn/products/combo-2-tui-goi-bot-thuc-uong-sua-lua-mach-ovaltine-510g-i2778517044.html", "https://www.lazada.vn/products/combo-2-tui-goi-bot-thuc-uong-sua-lua-mach-ovaltine-510g-i2778517044.html")</f>
        <v>https://www.lazada.vn/products/combo-2-tui-goi-bot-thuc-uong-sua-lua-mach-ovaltine-510g-i2778517044.html</v>
      </c>
      <c r="C498" s="10" t="s">
        <v>498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8">
        <v>5353.0</v>
      </c>
      <c r="B499" s="9" t="str">
        <f>HYPERLINK("https://www.lazada.vn/products/thung-24-chai-nuoc-tang-luc-number-one-330ml-i2687604019.html", "https://www.lazada.vn/products/thung-24-chai-nuoc-tang-luc-number-one-330ml-i2687604019.html")</f>
        <v>https://www.lazada.vn/products/thung-24-chai-nuoc-tang-luc-number-one-330ml-i2687604019.html</v>
      </c>
      <c r="C499" s="10" t="s">
        <v>499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8">
        <v>5354.0</v>
      </c>
      <c r="B500" s="9" t="str">
        <f>HYPERLINK("https://www.lazada.vn/products/bich-400gram-banh-pia-mon-sau-rieng-hung-loc-phat-sieu-ngon-heri-food-i2484749551.html", "https://www.lazada.vn/products/bich-400gram-banh-pia-mon-sau-rieng-hung-loc-phat-sieu-ngon-heri-food-i2484749551.html")</f>
        <v>https://www.lazada.vn/products/bich-400gram-banh-pia-mon-sau-rieng-hung-loc-phat-sieu-ngon-heri-food-i2484749551.html</v>
      </c>
      <c r="C500" s="10" t="s">
        <v>500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8">
        <v>5355.0</v>
      </c>
      <c r="B501" s="9" t="str">
        <f>HYPERLINK("https://www.lazada.vn/products/soju-han-quoc-korice-360ml-vi-dao-i2331954537.html", "https://www.lazada.vn/products/soju-han-quoc-korice-360ml-vi-dao-i2331954537.html")</f>
        <v>https://www.lazada.vn/products/soju-han-quoc-korice-360ml-vi-dao-i2331954537.html</v>
      </c>
      <c r="C501" s="10" t="s">
        <v>501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8">
        <v>5356.0</v>
      </c>
      <c r="B502" s="9" t="str">
        <f>HYPERLINK("https://www.lazada.vn/products/thach-dai-akita-headway-vina-huong-vi-trai-cay-thom-ngon-gion-san-sat-cuc-hap-dan-tui-800g-i2674030030.html", "https://www.lazada.vn/products/thach-dai-akita-headway-vina-huong-vi-trai-cay-thom-ngon-gion-san-sat-cuc-hap-dan-tui-800g-i2674030030.html")</f>
        <v>https://www.lazada.vn/products/thach-dai-akita-headway-vina-huong-vi-trai-cay-thom-ngon-gion-san-sat-cuc-hap-dan-tui-800g-i2674030030.html</v>
      </c>
      <c r="C502" s="10" t="s">
        <v>502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8">
        <v>5357.0</v>
      </c>
      <c r="B503" s="9" t="str">
        <f>HYPERLINK("https://www.lazada.vn/products/chao-gao-lut-chay-40g-au-lac-i2981691500.html", "https://www.lazada.vn/products/chao-gao-lut-chay-40g-au-lac-i2981691500.html")</f>
        <v>https://www.lazada.vn/products/chao-gao-lut-chay-40g-au-lac-i2981691500.html</v>
      </c>
      <c r="C503" s="10" t="s">
        <v>503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8">
        <v>5358.0</v>
      </c>
      <c r="B504" s="9" t="str">
        <f>HYPERLINK("https://www.lazada.vn/products/nuoc-ngot-co-ga-fanta-cam-chai-15l-i2677099707.html", "https://www.lazada.vn/products/nuoc-ngot-co-ga-fanta-cam-chai-15l-i2677099707.html")</f>
        <v>https://www.lazada.vn/products/nuoc-ngot-co-ga-fanta-cam-chai-15l-i2677099707.html</v>
      </c>
      <c r="C504" s="10" t="s">
        <v>504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8">
        <v>5359.0</v>
      </c>
      <c r="B505" s="9" t="str">
        <f>HYPERLINK("https://www.lazada.vn/products/bia-tuoi-cam-chanh-lua-mach-toucan-wheat-1-thung-x-6-chai-x-330ml-i3052750836.html", "https://www.lazada.vn/products/bia-tuoi-cam-chanh-lua-mach-toucan-wheat-1-thung-x-6-chai-x-330ml-i3052750836.html")</f>
        <v>https://www.lazada.vn/products/bia-tuoi-cam-chanh-lua-mach-toucan-wheat-1-thung-x-6-chai-x-330ml-i3052750836.html</v>
      </c>
      <c r="C505" s="10" t="s">
        <v>505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8">
        <v>5360.0</v>
      </c>
      <c r="B506" s="9" t="str">
        <f>HYPERLINK("https://www.lazada.vn/products/tra-dong-trung-7-vi-hop-25-goi-i2802517110.html", "https://www.lazada.vn/products/tra-dong-trung-7-vi-hop-25-goi-i2802517110.html")</f>
        <v>https://www.lazada.vn/products/tra-dong-trung-7-vi-hop-25-goi-i2802517110.html</v>
      </c>
      <c r="C506" s="10" t="s">
        <v>506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8">
        <v>5361.0</v>
      </c>
      <c r="B507" s="9" t="str">
        <f>HYPERLINK("https://www.lazada.vn/products/sua-milo-thai-loc-8-hop-24-hop-170ml-date-moi-shop-ngoc-han88-i2521461760.html", "https://www.lazada.vn/products/sua-milo-thai-loc-8-hop-24-hop-170ml-date-moi-shop-ngoc-han88-i2521461760.html")</f>
        <v>https://www.lazada.vn/products/sua-milo-thai-loc-8-hop-24-hop-170ml-date-moi-shop-ngoc-han88-i2521461760.html</v>
      </c>
      <c r="C507" s="10" t="s">
        <v>507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8">
        <v>5362.0</v>
      </c>
      <c r="B508" s="9" t="str">
        <f>HYPERLINK("https://www.lazada.vn/products/banh-gao-tuyet-want-want-huong-gao-nhat-goi-84g-150g-gion-ngon-tien-loi-i2955198901.html", "https://www.lazada.vn/products/banh-gao-tuyet-want-want-huong-gao-nhat-goi-84g-150g-gion-ngon-tien-loi-i2955198901.html")</f>
        <v>https://www.lazada.vn/products/banh-gao-tuyet-want-want-huong-gao-nhat-goi-84g-150g-gion-ngon-tien-loi-i2955198901.html</v>
      </c>
      <c r="C508" s="10" t="s">
        <v>508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8">
        <v>5363.0</v>
      </c>
      <c r="B509" s="9" t="str">
        <f>HYPERLINK("https://www.lazada.vn/products/banh-thuyen-mix-hat-dinh-duong-tang-1-vien-luong-kho-i2841012801.html", "https://www.lazada.vn/products/banh-thuyen-mix-hat-dinh-duong-tang-1-vien-luong-kho-i2841012801.html")</f>
        <v>https://www.lazada.vn/products/banh-thuyen-mix-hat-dinh-duong-tang-1-vien-luong-kho-i2841012801.html</v>
      </c>
      <c r="C509" s="10" t="s">
        <v>509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8">
        <v>5364.0</v>
      </c>
      <c r="B510" s="9" t="str">
        <f>HYPERLINK("https://www.lazada.vn/products/tang-vien-hoan-nhaunuoc-cot-trai-nhau-tay-nguyen-500ml-thuc-duong-ngoc-minh-i2885190749.html", "https://www.lazada.vn/products/tang-vien-hoan-nhaunuoc-cot-trai-nhau-tay-nguyen-500ml-thuc-duong-ngoc-minh-i2885190749.html")</f>
        <v>https://www.lazada.vn/products/tang-vien-hoan-nhaunuoc-cot-trai-nhau-tay-nguyen-500ml-thuc-duong-ngoc-minh-i2885190749.html</v>
      </c>
      <c r="C510" s="10" t="s">
        <v>510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8">
        <v>5365.0</v>
      </c>
      <c r="B511" s="9" t="str">
        <f>HYPERLINK("https://www.lazada.vn/products/keo-le-an-phe-thanh-nhiet-tieu-dom-tui-500g-cho-mua-dong-phu-hop-moi-lua-tuoi-i2878407531.html", "https://www.lazada.vn/products/keo-le-an-phe-thanh-nhiet-tieu-dom-tui-500g-cho-mua-dong-phu-hop-moi-lua-tuoi-i2878407531.html")</f>
        <v>https://www.lazada.vn/products/keo-le-an-phe-thanh-nhiet-tieu-dom-tui-500g-cho-mua-dong-phu-hop-moi-lua-tuoi-i2878407531.html</v>
      </c>
      <c r="C511" s="10" t="s">
        <v>511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8">
        <v>5366.0</v>
      </c>
      <c r="B512" s="9" t="str">
        <f>HYPERLINK("https://www.lazada.vn/products/lindt-milk-chocolate-soft-heart-36g-snack-candy-small-packaged-winter-gift-non-handmade-ball-shaped-chocolate-swiss-made-i2965712334.html", "https://www.lazada.vn/products/lindt-milk-chocolate-soft-heart-36g-snack-candy-small-packaged-winter-gift-non-handmade-ball-shaped-chocolate-swiss-made-i2965712334.html")</f>
        <v>https://www.lazada.vn/products/lindt-milk-chocolate-soft-heart-36g-snack-candy-small-packaged-winter-gift-non-handmade-ball-shaped-chocolate-swiss-made-i2965712334.html</v>
      </c>
      <c r="C512" s="10" t="s">
        <v>512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8">
        <v>5367.0</v>
      </c>
      <c r="B513" s="9" t="str">
        <f>HYPERLINK("https://www.lazada.vn/products/banh-trang-vuong-lac-muoi-sac-mini-sieu-cay-an-vat-ogi-food-i2819349732.html", "https://www.lazada.vn/products/banh-trang-vuong-lac-muoi-sac-mini-sieu-cay-an-vat-ogi-food-i2819349732.html")</f>
        <v>https://www.lazada.vn/products/banh-trang-vuong-lac-muoi-sac-mini-sieu-cay-an-vat-ogi-food-i2819349732.html</v>
      </c>
      <c r="C513" s="10" t="s">
        <v>513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8">
        <v>5368.0</v>
      </c>
      <c r="B514" s="9" t="str">
        <f>HYPERLINK("https://www.lazada.vn/products/siro-hat-phi-longbeach-hazelnut-syrup-740ml-i2726952118.html", "https://www.lazada.vn/products/siro-hat-phi-longbeach-hazelnut-syrup-740ml-i2726952118.html")</f>
        <v>https://www.lazada.vn/products/siro-hat-phi-longbeach-hazelnut-syrup-740ml-i2726952118.html</v>
      </c>
      <c r="C514" s="10" t="s">
        <v>514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8">
        <v>5369.0</v>
      </c>
      <c r="B515" s="9" t="str">
        <f>HYPERLINK("https://www.lazada.vn/products/hop-qua-ruou-vang-chateau-bonsol-bordeaux-2018-750ml-135-va-maison-delalande-2018-750ml-135-i2880767267.html", "https://www.lazada.vn/products/hop-qua-ruou-vang-chateau-bonsol-bordeaux-2018-750ml-135-va-maison-delalande-2018-750ml-135-i2880767267.html")</f>
        <v>https://www.lazada.vn/products/hop-qua-ruou-vang-chateau-bonsol-bordeaux-2018-750ml-135-va-maison-delalande-2018-750ml-135-i2880767267.html</v>
      </c>
      <c r="C515" s="10" t="s">
        <v>515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8">
        <v>5370.0</v>
      </c>
      <c r="B516" s="9" t="str">
        <f>HYPERLINK("https://www.lazada.vn/products/2-hop-banh-2-packs-2-cai-custas-chocopie-tet-an-khanh-i2483717995.html", "https://www.lazada.vn/products/2-hop-banh-2-packs-2-cai-custas-chocopie-tet-an-khanh-i2483717995.html")</f>
        <v>https://www.lazada.vn/products/2-hop-banh-2-packs-2-cai-custas-chocopie-tet-an-khanh-i2483717995.html</v>
      </c>
      <c r="C516" s="10" t="s">
        <v>516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8">
        <v>5371.0</v>
      </c>
      <c r="B517" s="9" t="str">
        <f>HYPERLINK("https://www.lazada.vn/products/soju-han-quoc-korice-360ml-vi-nho-i2331946569.html", "https://www.lazada.vn/products/soju-han-quoc-korice-360ml-vi-nho-i2331946569.html")</f>
        <v>https://www.lazada.vn/products/soju-han-quoc-korice-360ml-vi-nho-i2331946569.html</v>
      </c>
      <c r="C517" s="10" t="s">
        <v>517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8">
        <v>5372.0</v>
      </c>
      <c r="B518" s="9" t="str">
        <f>HYPERLINK("https://www.lazada.vn/products/combo-3-goi-banh-gao-want-want-rong-bien-vi-sot-ca-ngu-bonito-118g-gion-ngon-dam-vi-i2955164276.html", "https://www.lazada.vn/products/combo-3-goi-banh-gao-want-want-rong-bien-vi-sot-ca-ngu-bonito-118g-gion-ngon-dam-vi-i2955164276.html")</f>
        <v>https://www.lazada.vn/products/combo-3-goi-banh-gao-want-want-rong-bien-vi-sot-ca-ngu-bonito-118g-gion-ngon-dam-vi-i2955164276.html</v>
      </c>
      <c r="C518" s="10" t="s">
        <v>518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8">
        <v>5373.0</v>
      </c>
      <c r="B519" s="9" t="str">
        <f>HYPERLINK("https://www.lazada.vn/products/vang-bich-cadahill-export-sauvignon-blanc-3l-vang-da-lat-vang-trang-i2802237261.html", "https://www.lazada.vn/products/vang-bich-cadahill-export-sauvignon-blanc-3l-vang-da-lat-vang-trang-i2802237261.html")</f>
        <v>https://www.lazada.vn/products/vang-bich-cadahill-export-sauvignon-blanc-3l-vang-da-lat-vang-trang-i2802237261.html</v>
      </c>
      <c r="C519" s="10" t="s">
        <v>519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8">
        <v>5374.0</v>
      </c>
      <c r="B520" s="9" t="str">
        <f>HYPERLINK("https://www.lazada.vn/products/bia-tuoi-mach-nha-hoa-bia-toucan-golden-pilsner-1-chai-x-330ml-i3052738455.html", "https://www.lazada.vn/products/bia-tuoi-mach-nha-hoa-bia-toucan-golden-pilsner-1-chai-x-330ml-i3052738455.html")</f>
        <v>https://www.lazada.vn/products/bia-tuoi-mach-nha-hoa-bia-toucan-golden-pilsner-1-chai-x-330ml-i3052738455.html</v>
      </c>
      <c r="C520" s="10" t="s">
        <v>520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8">
        <v>5375.0</v>
      </c>
      <c r="B521" s="9" t="str">
        <f>HYPERLINK("https://www.lazada.vn/products/thach-dai-headway-vina-huong-trai-cay-hinh-nhan-vat-larva-sieu-ngo-nghinh-chua-ngot-nhieu-vi-tui-760g-i2673821653.html", "https://www.lazada.vn/products/thach-dai-headway-vina-huong-trai-cay-hinh-nhan-vat-larva-sieu-ngo-nghinh-chua-ngot-nhieu-vi-tui-760g-i2673821653.html")</f>
        <v>https://www.lazada.vn/products/thach-dai-headway-vina-huong-trai-cay-hinh-nhan-vat-larva-sieu-ngo-nghinh-chua-ngot-nhieu-vi-tui-760g-i2673821653.html</v>
      </c>
      <c r="C521" s="10" t="s">
        <v>521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8">
        <v>5376.0</v>
      </c>
      <c r="B522" s="9" t="str">
        <f>HYPERLINK("https://www.lazada.vn/products/nuoc-ngot-co-ga-fanta-cam-lon-320ml-i2677097653.html", "https://www.lazada.vn/products/nuoc-ngot-co-ga-fanta-cam-lon-320ml-i2677097653.html")</f>
        <v>https://www.lazada.vn/products/nuoc-ngot-co-ga-fanta-cam-lon-320ml-i2677097653.html</v>
      </c>
      <c r="C522" s="10" t="s">
        <v>522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8">
        <v>5377.0</v>
      </c>
      <c r="B523" s="9" t="str">
        <f>HYPERLINK("https://www.lazada.vn/products/date-moi-vi-4-hop-sua-milo-nestle-it-duong-180ml-i2521333861.html", "https://www.lazada.vn/products/date-moi-vi-4-hop-sua-milo-nestle-it-duong-180ml-i2521333861.html")</f>
        <v>https://www.lazada.vn/products/date-moi-vi-4-hop-sua-milo-nestle-it-duong-180ml-i2521333861.html</v>
      </c>
      <c r="C523" s="10" t="s">
        <v>523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8">
        <v>5378.0</v>
      </c>
      <c r="B524" s="9" t="str">
        <f>HYPERLINK("https://www.lazada.vn/products/banh-in-tan-dan-loi-1-bich-i2839079068.html", "https://www.lazada.vn/products/banh-in-tan-dan-loi-1-bich-i2839079068.html")</f>
        <v>https://www.lazada.vn/products/banh-in-tan-dan-loi-1-bich-i2839079068.html</v>
      </c>
      <c r="C524" s="10" t="s">
        <v>524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8">
        <v>5379.0</v>
      </c>
      <c r="B525" s="9" t="str">
        <f>HYPERLINK("https://www.lazada.vn/products/vu-heo-uop-san-sieu-ngon-hop-500g-giao-tphcm-i2980365744.html", "https://www.lazada.vn/products/vu-heo-uop-san-sieu-ngon-hop-500g-giao-tphcm-i2980365744.html")</f>
        <v>https://www.lazada.vn/products/vu-heo-uop-san-sieu-ngon-hop-500g-giao-tphcm-i2980365744.html</v>
      </c>
      <c r="C525" s="10" t="s">
        <v>525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8">
        <v>5380.0</v>
      </c>
      <c r="B526" s="9" t="str">
        <f>HYPERLINK("https://www.lazada.vn/products/chinh-hang-hop-qua-ruou-vang-fenan-bordeaux-2018-750ml-135-va-chateau-bonsol-bordeaux-2018-750ml-135-i2880297827.html", "https://www.lazada.vn/products/chinh-hang-hop-qua-ruou-vang-fenan-bordeaux-2018-750ml-135-va-chateau-bonsol-bordeaux-2018-750ml-135-i2880297827.html")</f>
        <v>https://www.lazada.vn/products/chinh-hang-hop-qua-ruou-vang-fenan-bordeaux-2018-750ml-135-va-chateau-bonsol-bordeaux-2018-750ml-135-i2880297827.html</v>
      </c>
      <c r="C526" s="10" t="s">
        <v>526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8">
        <v>5381.0</v>
      </c>
      <c r="B527" s="9" t="str">
        <f>HYPERLINK("https://www.lazada.vn/products/keo-le-co-nhan-500g-ngot-thanh-giup-thanh-nhiet-nhuan-phe-giam-ho-tieu-dom-i2878399095.html", "https://www.lazada.vn/products/keo-le-co-nhan-500g-ngot-thanh-giup-thanh-nhiet-nhuan-phe-giam-ho-tieu-dom-i2878399095.html")</f>
        <v>https://www.lazada.vn/products/keo-le-co-nhan-500g-ngot-thanh-giup-thanh-nhiet-nhuan-phe-giam-ho-tieu-dom-i2878399095.html</v>
      </c>
      <c r="C527" s="10" t="s">
        <v>527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8">
        <v>5382.0</v>
      </c>
      <c r="B528" s="9" t="str">
        <f>HYPERLINK("https://www.lazada.vn/products/chocolate-middle-east-sweet-bread-snack-dubai-flavor-hazelnut-chocolate-heart-popular-series-30-chocolate-content-bar-shape-i2965708584.html", "https://www.lazada.vn/products/chocolate-middle-east-sweet-bread-snack-dubai-flavor-hazelnut-chocolate-heart-popular-series-30-chocolate-content-bar-shape-i2965708584.html")</f>
        <v>https://www.lazada.vn/products/chocolate-middle-east-sweet-bread-snack-dubai-flavor-hazelnut-chocolate-heart-popular-series-30-chocolate-content-bar-shape-i2965708584.html</v>
      </c>
      <c r="C528" s="10" t="s">
        <v>528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8">
        <v>5383.0</v>
      </c>
      <c r="B529" s="9" t="str">
        <f>HYPERLINK("https://www.lazada.vn/products/xot-golden-farm-310g-i2726770464.html", "https://www.lazada.vn/products/xot-golden-farm-310g-i2726770464.html")</f>
        <v>https://www.lazada.vn/products/xot-golden-farm-310g-i2726770464.html</v>
      </c>
      <c r="C529" s="10" t="s">
        <v>529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8">
        <v>5384.0</v>
      </c>
      <c r="B530" s="9" t="str">
        <f>HYPERLINK("https://www.lazada.vn/products/500g-banh-tai-heo-nhi-mix-nhieu-vi-tuy-chon-i2819273125.html", "https://www.lazada.vn/products/500g-banh-tai-heo-nhi-mix-nhieu-vi-tuy-chon-i2819273125.html")</f>
        <v>https://www.lazada.vn/products/500g-banh-tai-heo-nhi-mix-nhieu-vi-tuy-chon-i2819273125.html</v>
      </c>
      <c r="C530" s="10" t="s">
        <v>530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8">
        <v>5385.0</v>
      </c>
      <c r="B531" s="9" t="str">
        <f>HYPERLINK("https://www.lazada.vn/products/bia-tuoi-mach-nha-hoa-bia-toucan-golden-pilsner-1-thung-x-6-chai-x-330ml-i3052714982.html", "https://www.lazada.vn/products/bia-tuoi-mach-nha-hoa-bia-toucan-golden-pilsner-1-thung-x-6-chai-x-330ml-i3052714982.html")</f>
        <v>https://www.lazada.vn/products/bia-tuoi-mach-nha-hoa-bia-toucan-golden-pilsner-1-thung-x-6-chai-x-330ml-i3052714982.html</v>
      </c>
      <c r="C531" s="10" t="s">
        <v>531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8">
        <v>5386.0</v>
      </c>
      <c r="B532" s="9" t="str">
        <f>HYPERLINK("https://www.lazada.vn/products/thach-puri-trai-cay-tong-hop-nhap-khau-200g-i2669539433.html", "https://www.lazada.vn/products/thach-puri-trai-cay-tong-hop-nhap-khau-200g-i2669539433.html")</f>
        <v>https://www.lazada.vn/products/thach-puri-trai-cay-tong-hop-nhap-khau-200g-i2669539433.html</v>
      </c>
      <c r="C532" s="10" t="s">
        <v>532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8">
        <v>5387.0</v>
      </c>
      <c r="B533" s="9" t="str">
        <f>HYPERLINK("https://www.lazada.vn/products/thung-30-goi-mi-tom-unif-bo-rau-thom-72g-i2980319683.html", "https://www.lazada.vn/products/thung-30-goi-mi-tom-unif-bo-rau-thom-72g-i2980319683.html")</f>
        <v>https://www.lazada.vn/products/thung-30-goi-mi-tom-unif-bo-rau-thom-72g-i2980319683.html</v>
      </c>
      <c r="C533" s="10" t="s">
        <v>533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8">
        <v>5388.0</v>
      </c>
      <c r="B534" s="9" t="str">
        <f>HYPERLINK("https://www.lazada.vn/products/nuoc-ngot-co-ga-fanta-cam-lon-235ml-i2677094696.html", "https://www.lazada.vn/products/nuoc-ngot-co-ga-fanta-cam-lon-235ml-i2677094696.html")</f>
        <v>https://www.lazada.vn/products/nuoc-ngot-co-ga-fanta-cam-lon-235ml-i2677094696.html</v>
      </c>
      <c r="C534" s="10" t="s">
        <v>534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8">
        <v>5389.0</v>
      </c>
      <c r="B535" s="9" t="str">
        <f>HYPERLINK("https://www.lazada.vn/products/bot-milo-hu-400g-i2519714818.html", "https://www.lazada.vn/products/bot-milo-hu-400g-i2519714818.html")</f>
        <v>https://www.lazada.vn/products/bot-milo-hu-400g-i2519714818.html</v>
      </c>
      <c r="C535" s="10" t="s">
        <v>535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8">
        <v>5390.0</v>
      </c>
      <c r="B536" s="9" t="str">
        <f>HYPERLINK("https://www.lazada.vn/products/banh-mi-trung-vang-banh-mi-thit-long-banh-mi-sang-banh-mi-hoc-sinh-banh-mi-trua-banh-mi-nhe-banh-mi-so-co-la-banh-mi-so-co-la-i2830987841.html", "https://www.lazada.vn/products/banh-mi-trung-vang-banh-mi-thit-long-banh-mi-sang-banh-mi-hoc-sinh-banh-mi-trua-banh-mi-nhe-banh-mi-so-co-la-banh-mi-so-co-la-i2830987841.html")</f>
        <v>https://www.lazada.vn/products/banh-mi-trung-vang-banh-mi-thit-long-banh-mi-sang-banh-mi-hoc-sinh-banh-mi-trua-banh-mi-nhe-banh-mi-so-co-la-banh-mi-so-co-la-i2830987841.html</v>
      </c>
      <c r="C536" s="10" t="s">
        <v>536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8">
        <v>5391.0</v>
      </c>
      <c r="B537" s="9" t="str">
        <f>HYPERLINK("https://www.lazada.vn/products/keo-deo-le-an-phe-co-nhan-1kg-keo-le-the-mat-sang-khoai-mem-deo-thom-ngon-keo-deo-le-an-phe-mat-ong-the-mat-sang-khoai-mem-deo-thom-ngon-i2878393194.html", "https://www.lazada.vn/products/keo-deo-le-an-phe-co-nhan-1kg-keo-le-the-mat-sang-khoai-mem-deo-thom-ngon-keo-deo-le-an-phe-mat-ong-the-mat-sang-khoai-mem-deo-thom-ngon-i2878393194.html")</f>
        <v>https://www.lazada.vn/products/keo-deo-le-an-phe-co-nhan-1kg-keo-le-the-mat-sang-khoai-mem-deo-thom-ngon-keo-deo-le-an-phe-mat-ong-the-mat-sang-khoai-mem-deo-thom-ngon-i2878393194.html</v>
      </c>
      <c r="C537" s="10" t="s">
        <v>537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8">
        <v>5392.0</v>
      </c>
      <c r="B538" s="9" t="str">
        <f>HYPERLINK("https://www.lazada.vn/products/mat-keo-so-co-la-bong-bong-milka-caramel-100g-keo-so-co-la-huong-vi-sua-chua-bong-bong-huong-vi-so-co-la-huong-vi-hoa-qua-i2965684703.html", "https://www.lazada.vn/products/mat-keo-so-co-la-bong-bong-milka-caramel-100g-keo-so-co-la-huong-vi-sua-chua-bong-bong-huong-vi-so-co-la-huong-vi-hoa-qua-i2965684703.html")</f>
        <v>https://www.lazada.vn/products/mat-keo-so-co-la-bong-bong-milka-caramel-100g-keo-so-co-la-huong-vi-sua-chua-bong-bong-huong-vi-so-co-la-huong-vi-hoa-qua-i2965684703.html</v>
      </c>
      <c r="C538" s="10" t="s">
        <v>538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8">
        <v>5393.0</v>
      </c>
      <c r="B539" s="9" t="str">
        <f>HYPERLINK("https://www.lazada.vn/products/vang-da-lat-superior-do-12-750ml-i2865876624.html", "https://www.lazada.vn/products/vang-da-lat-superior-do-12-750ml-i2865876624.html")</f>
        <v>https://www.lazada.vn/products/vang-da-lat-superior-do-12-750ml-i2865876624.html</v>
      </c>
      <c r="C539" s="10" t="s">
        <v>539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8">
        <v>5394.0</v>
      </c>
      <c r="B540" s="9" t="str">
        <f>HYPERLINK("https://www.lazada.vn/products/combo-5-goi-banh-trang-tom-nuong-bo-toi-40g-dac-san-da-nang-gion-ngon-i2817893775.html", "https://www.lazada.vn/products/combo-5-goi-banh-trang-tom-nuong-bo-toi-40g-dac-san-da-nang-gion-ngon-i2817893775.html")</f>
        <v>https://www.lazada.vn/products/combo-5-goi-banh-trang-tom-nuong-bo-toi-40g-dac-san-da-nang-gion-ngon-i2817893775.html</v>
      </c>
      <c r="C540" s="10" t="s">
        <v>540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8">
        <v>5395.0</v>
      </c>
      <c r="B541" s="9" t="str">
        <f>HYPERLINK("https://www.lazada.vn/products/gia-tot-siro-sam-dua-vina-750ml-i2723102057.html", "https://www.lazada.vn/products/gia-tot-siro-sam-dua-vina-750ml-i2723102057.html")</f>
        <v>https://www.lazada.vn/products/gia-tot-siro-sam-dua-vina-750ml-i2723102057.html</v>
      </c>
      <c r="C541" s="10" t="s">
        <v>541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8">
        <v>5396.0</v>
      </c>
      <c r="B542" s="9" t="str">
        <f>HYPERLINK("https://www.lazada.vn/products/bia-tuoi-lua-mach-thao-moc-toucan-viet-nam-pale-ale-1-thung-24-chai-x-330ml-i3052659711.html", "https://www.lazada.vn/products/bia-tuoi-lua-mach-thao-moc-toucan-viet-nam-pale-ale-1-thung-24-chai-x-330ml-i3052659711.html")</f>
        <v>https://www.lazada.vn/products/bia-tuoi-lua-mach-thao-moc-toucan-viet-nam-pale-ale-1-thung-24-chai-x-330ml-i3052659711.html</v>
      </c>
      <c r="C542" s="10" t="s">
        <v>542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8">
        <v>5397.0</v>
      </c>
      <c r="B543" s="9" t="str">
        <f>HYPERLINK("https://www.lazada.vn/products/keo-le-an-phe-nha-ho-chu-thanh-nhiet-tieu-dom-250g-tot-cho-co-hong-mua-dong-i2878379623.html", "https://www.lazada.vn/products/keo-le-an-phe-nha-ho-chu-thanh-nhiet-tieu-dom-250g-tot-cho-co-hong-mua-dong-i2878379623.html")</f>
        <v>https://www.lazada.vn/products/keo-le-an-phe-nha-ho-chu-thanh-nhiet-tieu-dom-250g-tot-cho-co-hong-mua-dong-i2878379623.html</v>
      </c>
      <c r="C543" s="10" t="s">
        <v>543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8">
        <v>5398.0</v>
      </c>
      <c r="B544" s="9" t="str">
        <f>HYPERLINK("https://www.lazada.vn/products/ruou-vang-ngot-y-don-anto-primitivo-175-do-hop-qua-ruou-the-best-wine-i2853083124.html", "https://www.lazada.vn/products/ruou-vang-ngot-y-don-anto-primitivo-175-do-hop-qua-ruou-the-best-wine-i2853083124.html")</f>
        <v>https://www.lazada.vn/products/ruou-vang-ngot-y-don-anto-primitivo-175-do-hop-qua-ruou-the-best-wine-i2853083124.html</v>
      </c>
      <c r="C544" s="10" t="s">
        <v>544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8">
        <v>5399.0</v>
      </c>
      <c r="B545" s="9" t="str">
        <f>HYPERLINK("https://www.lazada.vn/products/chocolate-chips-godiva-imported-laminated-black-chocolate-snacks-nuts-special-products-white-chocolate-contain-coconut-oil-i2965675725.html", "https://www.lazada.vn/products/chocolate-chips-godiva-imported-laminated-black-chocolate-snacks-nuts-special-products-white-chocolate-contain-coconut-oil-i2965675725.html")</f>
        <v>https://www.lazada.vn/products/chocolate-chips-godiva-imported-laminated-black-chocolate-snacks-nuts-special-products-white-chocolate-contain-coconut-oil-i2965675725.html</v>
      </c>
      <c r="C545" s="10" t="s">
        <v>545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8">
        <v>5400.0</v>
      </c>
      <c r="B546" s="9" t="str">
        <f>HYPERLINK("https://www.lazada.vn/products/banh-chao-vit-tuoi-tho-sieu-ngon-1kg-banh-keo-an-vat-i2808518261.html", "https://www.lazada.vn/products/banh-chao-vit-tuoi-tho-sieu-ngon-1kg-banh-keo-an-vat-i2808518261.html")</f>
        <v>https://www.lazada.vn/products/banh-chao-vit-tuoi-tho-sieu-ngon-1kg-banh-keo-an-vat-i2808518261.html</v>
      </c>
      <c r="C546" s="10" t="s">
        <v>546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8">
        <v>5401.0</v>
      </c>
      <c r="B547" s="9" t="str">
        <f>HYPERLINK("https://www.lazada.vn/products/gia-tot-nha-dam-hat-luu-1kg-i2723058242.html", "https://www.lazada.vn/products/gia-tot-nha-dam-hat-luu-1kg-i2723058242.html")</f>
        <v>https://www.lazada.vn/products/gia-tot-nha-dam-hat-luu-1kg-i2723058242.html</v>
      </c>
      <c r="C547" s="10" t="s">
        <v>547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8">
        <v>5402.0</v>
      </c>
      <c r="B548" s="9" t="str">
        <f>HYPERLINK("https://www.lazada.vn/products/bia-tuoi-cam-chanh-lua-mach-toucan-wheat-1-thung-12-chai-x-330ml-i3052650707.html", "https://www.lazada.vn/products/bia-tuoi-cam-chanh-lua-mach-toucan-wheat-1-thung-12-chai-x-330ml-i3052650707.html")</f>
        <v>https://www.lazada.vn/products/bia-tuoi-cam-chanh-lua-mach-toucan-wheat-1-thung-12-chai-x-330ml-i3052650707.html</v>
      </c>
      <c r="C548" s="10" t="s">
        <v>548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8">
        <v>5403.0</v>
      </c>
      <c r="B549" s="9" t="str">
        <f>HYPERLINK("https://www.lazada.vn/products/keo-lac-tien-vua-dac-san-lang-nguyen-thai-binh-hop-to-350g-i2878275728.html", "https://www.lazada.vn/products/keo-lac-tien-vua-dac-san-lang-nguyen-thai-binh-hop-to-350g-i2878275728.html")</f>
        <v>https://www.lazada.vn/products/keo-lac-tien-vua-dac-san-lang-nguyen-thai-binh-hop-to-350g-i2878275728.html</v>
      </c>
      <c r="C549" s="10" t="s">
        <v>549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8">
        <v>5404.0</v>
      </c>
      <c r="B550" s="9" t="str">
        <f>HYPERLINK("https://www.lazada.vn/products/an-vat-hcm-1-kg-banh-gau-kem-thien-hong-tui-zip-hcm-i2481666172.html", "https://www.lazada.vn/products/an-vat-hcm-1-kg-banh-gau-kem-thien-hong-tui-zip-hcm-i2481666172.html")</f>
        <v>https://www.lazada.vn/products/an-vat-hcm-1-kg-banh-gau-kem-thien-hong-tui-zip-hcm-i2481666172.html</v>
      </c>
      <c r="C550" s="10" t="s">
        <v>550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8">
        <v>5405.0</v>
      </c>
      <c r="B551" s="9" t="str">
        <f>HYPERLINK("https://www.lazada.vn/products/banh-bao-nhan-thit-1-trungva-nhan-cade-nha-lam-i2827931792.html", "https://www.lazada.vn/products/banh-bao-nhan-thit-1-trungva-nhan-cade-nha-lam-i2827931792.html")</f>
        <v>https://www.lazada.vn/products/banh-bao-nhan-thit-1-trungva-nhan-cade-nha-lam-i2827931792.html</v>
      </c>
      <c r="C551" s="10" t="s">
        <v>551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8">
        <v>5406.0</v>
      </c>
      <c r="B552" s="9" t="str">
        <f>HYPERLINK("https://www.lazada.vn/products/date-moi-nhat-banh-mi-gran-panettone-madi-italian-cake-cua-y-1000g-hang-nhap-72025-i2826798631.html", "https://www.lazada.vn/products/date-moi-nhat-banh-mi-gran-panettone-madi-italian-cake-cua-y-1000g-hang-nhap-72025-i2826798631.html")</f>
        <v>https://www.lazada.vn/products/date-moi-nhat-banh-mi-gran-panettone-madi-italian-cake-cua-y-1000g-hang-nhap-72025-i2826798631.html</v>
      </c>
      <c r="C552" s="10" t="s">
        <v>552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8">
        <v>5407.0</v>
      </c>
      <c r="B553" s="9" t="str">
        <f>HYPERLINK("https://www.lazada.vn/products/vien-hai-san-banh-mi-lc-goi-300g-giao-hoa-toc-tphcm-i2826182187.html", "https://www.lazada.vn/products/vien-hai-san-banh-mi-lc-goi-300g-giao-hoa-toc-tphcm-i2826182187.html")</f>
        <v>https://www.lazada.vn/products/vien-hai-san-banh-mi-lc-goi-300g-giao-hoa-toc-tphcm-i2826182187.html</v>
      </c>
      <c r="C553" s="10" t="s">
        <v>553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8">
        <v>5408.0</v>
      </c>
      <c r="B554" s="9" t="str">
        <f>HYPERLINK("https://www.lazada.vn/products/banh-cha-bong-ga-trung-muoi-jambon-md-thai-lan-500g-i2823421135.html", "https://www.lazada.vn/products/banh-cha-bong-ga-trung-muoi-jambon-md-thai-lan-500g-i2823421135.html")</f>
        <v>https://www.lazada.vn/products/banh-cha-bong-ga-trung-muoi-jambon-md-thai-lan-500g-i2823421135.html</v>
      </c>
      <c r="C554" s="10" t="s">
        <v>554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8">
        <v>5409.0</v>
      </c>
      <c r="B555" s="9" t="str">
        <f>HYPERLINK("https://www.lazada.vn/products/banh-mi-sandwich-sua-chua-ong-gia-horsh-thung-2kg-34-chiec-i2822616923.html", "https://www.lazada.vn/products/banh-mi-sandwich-sua-chua-ong-gia-horsh-thung-2kg-34-chiec-i2822616923.html")</f>
        <v>https://www.lazada.vn/products/banh-mi-sandwich-sua-chua-ong-gia-horsh-thung-2kg-34-chiec-i2822616923.html</v>
      </c>
      <c r="C555" s="10" t="s">
        <v>555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8">
        <v>5410.0</v>
      </c>
      <c r="B556" s="9" t="str">
        <f>HYPERLINK("https://www.lazada.vn/products/banh-mi-tuoi-noi-dia-nhap-khau-vi-xoai-sieu-thom-sieu-ngon-i2822369482.html", "https://www.lazada.vn/products/banh-mi-tuoi-noi-dia-nhap-khau-vi-xoai-sieu-thom-sieu-ngon-i2822369482.html")</f>
        <v>https://www.lazada.vn/products/banh-mi-tuoi-noi-dia-nhap-khau-vi-xoai-sieu-thom-sieu-ngon-i2822369482.html</v>
      </c>
      <c r="C556" s="10" t="s">
        <v>556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8">
        <v>5411.0</v>
      </c>
      <c r="B557" s="9" t="str">
        <f>HYPERLINK("https://www.lazada.vn/products/banh-mi-tuoi-dang-xoan-oc-banh-mi-nhap-khau-noi-dia-2-vi-nguyen-ban-matcha-i2822369443.html", "https://www.lazada.vn/products/banh-mi-tuoi-dang-xoan-oc-banh-mi-nhap-khau-noi-dia-2-vi-nguyen-ban-matcha-i2822369443.html")</f>
        <v>https://www.lazada.vn/products/banh-mi-tuoi-dang-xoan-oc-banh-mi-nhap-khau-noi-dia-2-vi-nguyen-ban-matcha-i2822369443.html</v>
      </c>
      <c r="C557" s="10" t="s">
        <v>557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8">
        <v>5412.0</v>
      </c>
      <c r="B558" s="9" t="str">
        <f>HYPERLINK("https://www.lazada.vn/products/banh-chung-gao-nep-tu-le-gao-nep-cai-hoa-vang-nong-trang-thom-ngon-i2818068383.html", "https://www.lazada.vn/products/banh-chung-gao-nep-tu-le-gao-nep-cai-hoa-vang-nong-trang-thom-ngon-i2818068383.html")</f>
        <v>https://www.lazada.vn/products/banh-chung-gao-nep-tu-le-gao-nep-cai-hoa-vang-nong-trang-thom-ngon-i2818068383.html</v>
      </c>
      <c r="C558" s="10" t="s">
        <v>558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8">
        <v>5413.0</v>
      </c>
      <c r="B559" s="9" t="str">
        <f>HYPERLINK("https://www.lazada.vn/products/banh-mi-cha-bong-kido-banh-cha-bong-xot-singapore-i2817902472.html", "https://www.lazada.vn/products/banh-mi-cha-bong-kido-banh-cha-bong-xot-singapore-i2817902472.html")</f>
        <v>https://www.lazada.vn/products/banh-mi-cha-bong-kido-banh-cha-bong-xot-singapore-i2817902472.html</v>
      </c>
      <c r="C559" s="10" t="s">
        <v>559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8">
        <v>5414.0</v>
      </c>
      <c r="B560" s="9" t="str">
        <f>HYPERLINK("https://www.lazada.vn/products/combo-5-banh-mi-nhan-kem-chay-vi-socola-sua-chua-yogurt-hang-aidebao-b153-beegin-food-shop-i2811386040.html", "https://www.lazada.vn/products/combo-5-banh-mi-nhan-kem-chay-vi-socola-sua-chua-yogurt-hang-aidebao-b153-beegin-food-shop-i2811386040.html")</f>
        <v>https://www.lazada.vn/products/combo-5-banh-mi-nhan-kem-chay-vi-socola-sua-chua-yogurt-hang-aidebao-b153-beegin-food-shop-i2811386040.html</v>
      </c>
      <c r="C560" s="10" t="s">
        <v>560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8">
        <v>5415.0</v>
      </c>
      <c r="B561" s="9" t="str">
        <f>HYPERLINK("https://www.lazada.vn/products/vien-chanh-leo-tha-lau-chien-ran-deu-ngon-goi-500g-i2520803683.html", "https://www.lazada.vn/products/vien-chanh-leo-tha-lau-chien-ran-deu-ngon-goi-500g-i2520803683.html")</f>
        <v>https://www.lazada.vn/products/vien-chanh-leo-tha-lau-chien-ran-deu-ngon-goi-500g-i2520803683.html</v>
      </c>
      <c r="C561" s="10" t="s">
        <v>561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8">
        <v>5416.0</v>
      </c>
      <c r="B562" s="9" t="str">
        <f>HYPERLINK("https://www.lazada.vn/products/thung-1kg-khoang-14-15c-banh-mi-nhan-kem-chay-vi-socola-sua-chua-yogurt-hang-aidebao-b153-beegin-food-shop-i2811361141.html", "https://www.lazada.vn/products/thung-1kg-khoang-14-15c-banh-mi-nhan-kem-chay-vi-socola-sua-chua-yogurt-hang-aidebao-b153-beegin-food-shop-i2811361141.html")</f>
        <v>https://www.lazada.vn/products/thung-1kg-khoang-14-15c-banh-mi-nhan-kem-chay-vi-socola-sua-chua-yogurt-hang-aidebao-b153-beegin-food-shop-i2811361141.html</v>
      </c>
      <c r="C562" s="10" t="s">
        <v>562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8">
        <v>5417.0</v>
      </c>
      <c r="B563" s="9" t="str">
        <f>HYPERLINK("https://www.lazada.vn/products/thach-dua-wonderful-vi-dua-hop-4kg-i2667977636.html", "https://www.lazada.vn/products/thach-dua-wonderful-vi-dua-hop-4kg-i2667977636.html")</f>
        <v>https://www.lazada.vn/products/thach-dua-wonderful-vi-dua-hop-4kg-i2667977636.html</v>
      </c>
      <c r="C563" s="10" t="s">
        <v>563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8">
        <v>5418.0</v>
      </c>
      <c r="B564" s="9" t="str">
        <f>HYPERLINK("https://www.lazada.vn/products/thung-2kg-khoang-30c-banh-mi-nhan-kem-chay-vi-socola-sua-chua-yogurt-hang-aidebao-b153-beegin-food-shop-i2811235628.html", "https://www.lazada.vn/products/thung-2kg-khoang-30c-banh-mi-nhan-kem-chay-vi-socola-sua-chua-yogurt-hang-aidebao-b153-beegin-food-shop-i2811235628.html")</f>
        <v>https://www.lazada.vn/products/thung-2kg-khoang-30c-banh-mi-nhan-kem-chay-vi-socola-sua-chua-yogurt-hang-aidebao-b153-beegin-food-shop-i2811235628.html</v>
      </c>
      <c r="C564" s="10" t="s">
        <v>564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8">
        <v>5419.0</v>
      </c>
      <c r="B565" s="9" t="str">
        <f>HYPERLINK("https://www.lazada.vn/products/nuoc-ngot-co-ga-sprite-chai-300ml-i2677082668.html", "https://www.lazada.vn/products/nuoc-ngot-co-ga-sprite-chai-300ml-i2677082668.html")</f>
        <v>https://www.lazada.vn/products/nuoc-ngot-co-ga-sprite-chai-300ml-i2677082668.html</v>
      </c>
      <c r="C565" s="10" t="s">
        <v>565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8">
        <v>5420.0</v>
      </c>
      <c r="B566" s="9" t="str">
        <f>HYPERLINK("https://www.lazada.vn/products/tui-500gr-keo-tao-do-kep-sua-lac-da-nhan-hat-dieu-i2878266345.html", "https://www.lazada.vn/products/tui-500gr-keo-tao-do-kep-sua-lac-da-nhan-hat-dieu-i2878266345.html")</f>
        <v>https://www.lazada.vn/products/tui-500gr-keo-tao-do-kep-sua-lac-da-nhan-hat-dieu-i2878266345.html</v>
      </c>
      <c r="C566" s="10" t="s">
        <v>566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8">
        <v>5421.0</v>
      </c>
      <c r="B567" s="9" t="str">
        <f>HYPERLINK("https://www.lazada.vn/products/thach-dua-wonderful-vi-vai-hop-4kg-i2667942834.html", "https://www.lazada.vn/products/thach-dua-wonderful-vi-vai-hop-4kg-i2667942834.html")</f>
        <v>https://www.lazada.vn/products/thach-dua-wonderful-vi-vai-hop-4kg-i2667942834.html</v>
      </c>
      <c r="C567" s="10" t="s">
        <v>567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8">
        <v>5422.0</v>
      </c>
      <c r="B568" s="9" t="str">
        <f>HYPERLINK("https://www.lazada.vn/products/nuoc-ngot-co-ga-sprite-chai-185l-i2677069707.html", "https://www.lazada.vn/products/nuoc-ngot-co-ga-sprite-chai-185l-i2677069707.html")</f>
        <v>https://www.lazada.vn/products/nuoc-ngot-co-ga-sprite-chai-185l-i2677069707.html</v>
      </c>
      <c r="C568" s="10" t="s">
        <v>568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8">
        <v>5423.0</v>
      </c>
      <c r="B569" s="9" t="str">
        <f>HYPERLINK("https://www.lazada.vn/products/combo-5-banh-cuon-chu-nhat-weiseil-nhan-kem-b208-beegin-food-i2809149012.html", "https://www.lazada.vn/products/combo-5-banh-cuon-chu-nhat-weiseil-nhan-kem-b208-beegin-food-i2809149012.html")</f>
        <v>https://www.lazada.vn/products/combo-5-banh-cuon-chu-nhat-weiseil-nhan-kem-b208-beegin-food-i2809149012.html</v>
      </c>
      <c r="C569" s="10" t="s">
        <v>569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8">
        <v>5424.0</v>
      </c>
      <c r="B570" s="9" t="str">
        <f>HYPERLINK("https://www.lazada.vn/products/combo-3-goi-banh-gao-senbei-want-want-vi-nuoc-tuong-kieu-nhat-105g-gion-ngon-dam-vi-i2955078845.html", "https://www.lazada.vn/products/combo-3-goi-banh-gao-senbei-want-want-vi-nuoc-tuong-kieu-nhat-105g-gion-ngon-dam-vi-i2955078845.html")</f>
        <v>https://www.lazada.vn/products/combo-3-goi-banh-gao-senbei-want-want-vi-nuoc-tuong-kieu-nhat-105g-gion-ngon-dam-vi-i2955078845.html</v>
      </c>
      <c r="C570" s="10" t="s">
        <v>570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8">
        <v>5425.0</v>
      </c>
      <c r="B571" s="9" t="str">
        <f>HYPERLINK("https://www.lazada.vn/products/soju-han-quoc-jeju-360ml-vi-viet-quat-i2331938600.html", "https://www.lazada.vn/products/soju-han-quoc-jeju-360ml-vi-viet-quat-i2331938600.html")</f>
        <v>https://www.lazada.vn/products/soju-han-quoc-jeju-360ml-vi-viet-quat-i2331938600.html</v>
      </c>
      <c r="C571" s="10" t="s">
        <v>571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8">
        <v>5426.0</v>
      </c>
      <c r="B572" s="9" t="str">
        <f>HYPERLINK("https://www.lazada.vn/products/nuoc-cot-me-lafresh-da-lat-chai-650ml-i2881542538.html", "https://www.lazada.vn/products/nuoc-cot-me-lafresh-da-lat-chai-650ml-i2881542538.html")</f>
        <v>https://www.lazada.vn/products/nuoc-cot-me-lafresh-da-lat-chai-650ml-i2881542538.html</v>
      </c>
      <c r="C572" s="10" t="s">
        <v>572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8">
        <v>5427.0</v>
      </c>
      <c r="B573" s="9" t="str">
        <f>HYPERLINK("https://www.lazada.vn/products/n-cung-nguu-hoang-to-ken-angdong-noi-dia-han-quoc-thuc-pham-chuc-nang-phong-ngua-ho-tro-tai-bien-dot-quy-ngo-hong-seoul-hang-noi-dia-xach-tay-truc-tiep-tu-han-quoc-i2666775538.html", "https://www.lazada.vn/products/n-cung-nguu-hoang-to-ken-angdong-noi-dia-han-quoc-thuc-pham-chuc-nang-phong-ngua-ho-tro-tai-bien-dot-quy-ngo-hong-seoul-hang-noi-dia-xach-tay-truc-tiep-tu-han-quoc-i2666775538.html")</f>
        <v>https://www.lazada.vn/products/n-cung-nguu-hoang-to-ken-angdong-noi-dia-han-quoc-thuc-pham-chuc-nang-phong-ngua-ho-tro-tai-bien-dot-quy-ngo-hong-seoul-hang-noi-dia-xach-tay-truc-tiep-tu-han-quoc-i2666775538.html</v>
      </c>
      <c r="C573" s="10" t="s">
        <v>573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8">
        <v>5428.0</v>
      </c>
      <c r="B574" s="9" t="str">
        <f>HYPERLINK("https://www.lazada.vn/products/nuoc-ngot-co-ga-sprite-chai-390ml-i2677063734.html", "https://www.lazada.vn/products/nuoc-ngot-co-ga-sprite-chai-390ml-i2677063734.html")</f>
        <v>https://www.lazada.vn/products/nuoc-ngot-co-ga-sprite-chai-390ml-i2677063734.html</v>
      </c>
      <c r="C574" s="10" t="s">
        <v>574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8">
        <v>5429.0</v>
      </c>
      <c r="B575" s="9" t="str">
        <f>HYPERLINK("https://www.lazada.vn/products/thung-1kg-18c-banh-cuon-chu-nhat-weiseil-nhan-kem-b208-an-vat-beegin-i2809095255.html", "https://www.lazada.vn/products/thung-1kg-18c-banh-cuon-chu-nhat-weiseil-nhan-kem-b208-an-vat-beegin-i2809095255.html")</f>
        <v>https://www.lazada.vn/products/thung-1kg-18c-banh-cuon-chu-nhat-weiseil-nhan-kem-b208-an-vat-beegin-i2809095255.html</v>
      </c>
      <c r="C575" s="10" t="s">
        <v>575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8">
        <v>5430.0</v>
      </c>
      <c r="B576" s="9" t="str">
        <f>HYPERLINK("https://www.lazada.vn/products/hop-5-goi-thach-sua-huong-trai-cay-mix-vi-lothamilk-long-thanh-hang-mau-cong-ty-i2661015280.html", "https://www.lazada.vn/products/hop-5-goi-thach-sua-huong-trai-cay-mix-vi-lothamilk-long-thanh-hang-mau-cong-ty-i2661015280.html")</f>
        <v>https://www.lazada.vn/products/hop-5-goi-thach-sua-huong-trai-cay-mix-vi-lothamilk-long-thanh-hang-mau-cong-ty-i2661015280.html</v>
      </c>
      <c r="C576" s="10" t="s">
        <v>576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8">
        <v>5431.0</v>
      </c>
      <c r="B577" s="9" t="str">
        <f>HYPERLINK("https://www.lazada.vn/products/nuoc-ngot-co-ga-cocacola-light-lon-320ml-i2673382296.html", "https://www.lazada.vn/products/nuoc-ngot-co-ga-cocacola-light-lon-320ml-i2673382296.html")</f>
        <v>https://www.lazada.vn/products/nuoc-ngot-co-ga-cocacola-light-lon-320ml-i2673382296.html</v>
      </c>
      <c r="C577" s="10" t="s">
        <v>577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8">
        <v>5432.0</v>
      </c>
      <c r="B578" s="9" t="str">
        <f>HYPERLINK("https://www.lazada.vn/products/combo-10-banh-cuon-chu-nhat-weiseil-nhan-kem-b208-beegin-food-i2809030893.html", "https://www.lazada.vn/products/combo-10-banh-cuon-chu-nhat-weiseil-nhan-kem-b208-beegin-food-i2809030893.html")</f>
        <v>https://www.lazada.vn/products/combo-10-banh-cuon-chu-nhat-weiseil-nhan-kem-b208-beegin-food-i2809030893.html</v>
      </c>
      <c r="C578" s="10" t="s">
        <v>578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8">
        <v>5433.0</v>
      </c>
      <c r="B579" s="9" t="str">
        <f>HYPERLINK("https://www.lazada.vn/products/thach-3d-hinh-hoa-tim-sao-350g-i2660130170.html", "https://www.lazada.vn/products/thach-3d-hinh-hoa-tim-sao-350g-i2660130170.html")</f>
        <v>https://www.lazada.vn/products/thach-3d-hinh-hoa-tim-sao-350g-i2660130170.html</v>
      </c>
      <c r="C579" s="10" t="s">
        <v>579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8">
        <v>5434.0</v>
      </c>
      <c r="B580" s="9" t="str">
        <f>HYPERLINK("https://www.lazada.vn/products/nuoc-ngot-co-ga-cocacola-zero-khong-duong-chai-15-lit-i2673338415.html", "https://www.lazada.vn/products/nuoc-ngot-co-ga-cocacola-zero-khong-duong-chai-15-lit-i2673338415.html")</f>
        <v>https://www.lazada.vn/products/nuoc-ngot-co-ga-cocacola-zero-khong-duong-chai-15-lit-i2673338415.html</v>
      </c>
      <c r="C580" s="10" t="s">
        <v>580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8">
        <v>5435.0</v>
      </c>
      <c r="B581" s="9" t="str">
        <f>HYPERLINK("https://www.lazada.vn/products/thung-1kg-18c-banh-cuon-chu-nhat-weiseil-nhan-kem-b208-beegin-food-i2809013949.html", "https://www.lazada.vn/products/thung-1kg-18c-banh-cuon-chu-nhat-weiseil-nhan-kem-b208-beegin-food-i2809013949.html")</f>
        <v>https://www.lazada.vn/products/thung-1kg-18c-banh-cuon-chu-nhat-weiseil-nhan-kem-b208-beegin-food-i2809013949.html</v>
      </c>
      <c r="C581" s="10" t="s">
        <v>581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8">
        <v>5436.0</v>
      </c>
      <c r="B582" s="9" t="str">
        <f>HYPERLINK("https://www.lazada.vn/products/thach-3d-hinh-hoa-tim-sao-350g-i2660029347.html", "https://www.lazada.vn/products/thach-3d-hinh-hoa-tim-sao-350g-i2660029347.html")</f>
        <v>https://www.lazada.vn/products/thach-3d-hinh-hoa-tim-sao-350g-i2660029347.html</v>
      </c>
      <c r="C582" s="10" t="s">
        <v>582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8">
        <v>5437.0</v>
      </c>
      <c r="B583" s="9" t="str">
        <f>HYPERLINK("https://www.lazada.vn/products/nuoc-ngot-co-ga-cocacola-zero-khong-duong-chai-600ml-i2673320382.html", "https://www.lazada.vn/products/nuoc-ngot-co-ga-cocacola-zero-khong-duong-chai-600ml-i2673320382.html")</f>
        <v>https://www.lazada.vn/products/nuoc-ngot-co-ga-cocacola-zero-khong-duong-chai-600ml-i2673320382.html</v>
      </c>
      <c r="C583" s="10" t="s">
        <v>583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8">
        <v>5438.0</v>
      </c>
      <c r="B584" s="9" t="str">
        <f>HYPERLINK("https://www.lazada.vn/products/combo-5-cai-banh-bong-lan-tuoi-kido-vi-pho-mai-castella-40g-huong-vi-ngon-dam-da-mem-min-tung-mieng-i2808869566.html", "https://www.lazada.vn/products/combo-5-cai-banh-bong-lan-tuoi-kido-vi-pho-mai-castella-40g-huong-vi-ngon-dam-da-mem-min-tung-mieng-i2808869566.html")</f>
        <v>https://www.lazada.vn/products/combo-5-cai-banh-bong-lan-tuoi-kido-vi-pho-mai-castella-40g-huong-vi-ngon-dam-da-mem-min-tung-mieng-i2808869566.html</v>
      </c>
      <c r="C584" s="10" t="s">
        <v>584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8">
        <v>5439.0</v>
      </c>
      <c r="B585" s="9" t="str">
        <f>HYPERLINK("https://www.lazada.vn/products/tran-chau-konjac-vi-xoi-dua-thai-800gr-longbeach-konjac-jelly-i2659512625.html", "https://www.lazada.vn/products/tran-chau-konjac-vi-xoi-dua-thai-800gr-longbeach-konjac-jelly-i2659512625.html")</f>
        <v>https://www.lazada.vn/products/tran-chau-konjac-vi-xoi-dua-thai-800gr-longbeach-konjac-jelly-i2659512625.html</v>
      </c>
      <c r="C585" s="10" t="s">
        <v>585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8">
        <v>5440.0</v>
      </c>
      <c r="B586" s="9" t="str">
        <f>HYPERLINK("https://www.lazada.vn/products/nuoc-ngot-co-ga-cocacola-nguyen-ban-lon-235ml-i2673317407.html", "https://www.lazada.vn/products/nuoc-ngot-co-ga-cocacola-nguyen-ban-lon-235ml-i2673317407.html")</f>
        <v>https://www.lazada.vn/products/nuoc-ngot-co-ga-cocacola-nguyen-ban-lon-235ml-i2673317407.html</v>
      </c>
      <c r="C586" s="10" t="s">
        <v>586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8">
        <v>5441.0</v>
      </c>
      <c r="B587" s="9" t="str">
        <f>HYPERLINK("https://www.lazada.vn/products/combo-3-tui-banh-mi-hoa-cuc-ngan-lop-festa-richy-date-30-ngay-ke-tu-nsx-i2807714547.html", "https://www.lazada.vn/products/combo-3-tui-banh-mi-hoa-cuc-ngan-lop-festa-richy-date-30-ngay-ke-tu-nsx-i2807714547.html")</f>
        <v>https://www.lazada.vn/products/combo-3-tui-banh-mi-hoa-cuc-ngan-lop-festa-richy-date-30-ngay-ke-tu-nsx-i2807714547.html</v>
      </c>
      <c r="C587" s="10" t="s">
        <v>587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8">
        <v>5442.0</v>
      </c>
      <c r="B588" s="9" t="str">
        <f>HYPERLINK("https://www.lazada.vn/products/ruou-vang-do-the-sun-the-moon-750ml-14-xuat-xu-y-i2853076096.html", "https://www.lazada.vn/products/ruou-vang-do-the-sun-the-moon-750ml-14-xuat-xu-y-i2853076096.html")</f>
        <v>https://www.lazada.vn/products/ruou-vang-do-the-sun-the-moon-750ml-14-xuat-xu-y-i2853076096.html</v>
      </c>
      <c r="C588" s="10" t="s">
        <v>588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8">
        <v>5443.0</v>
      </c>
      <c r="B589" s="9" t="str">
        <f>HYPERLINK("https://www.lazada.vn/products/banh-quy-thap-cam-ritaz-gold-cong-hop-thiec-cao-cap-75g-malaysia-tet-an-khang-2025-i2473617597.html", "https://www.lazada.vn/products/banh-quy-thap-cam-ritaz-gold-cong-hop-thiec-cao-cap-75g-malaysia-tet-an-khang-2025-i2473617597.html")</f>
        <v>https://www.lazada.vn/products/banh-quy-thap-cam-ritaz-gold-cong-hop-thiec-cao-cap-75g-malaysia-tet-an-khang-2025-i2473617597.html</v>
      </c>
      <c r="C589" s="10" t="s">
        <v>589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8">
        <v>5444.0</v>
      </c>
      <c r="B590" s="9" t="str">
        <f>HYPERLINK("https://www.lazada.vn/products/date-moi-loai-ngon-keo-tao-do-kep-sua-lac-da-nhan-hat-dieu-tan-cuong-cao-cap-hieu-co-gai-tan-cuong-i2878184830.html", "https://www.lazada.vn/products/date-moi-loai-ngon-keo-tao-do-kep-sua-lac-da-nhan-hat-dieu-tan-cuong-cao-cap-hieu-co-gai-tan-cuong-i2878184830.html")</f>
        <v>https://www.lazada.vn/products/date-moi-loai-ngon-keo-tao-do-kep-sua-lac-da-nhan-hat-dieu-tan-cuong-cao-cap-hieu-co-gai-tan-cuong-i2878184830.html</v>
      </c>
      <c r="C590" s="10" t="s">
        <v>590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8">
        <v>5445.0</v>
      </c>
      <c r="B591" s="9" t="str">
        <f>HYPERLINK("https://www.lazada.vn/products/kitkat-half-sugar-wafer-chocolate-456g-individually-packaged-classic-flavor-maltitol-100-snackhazelnutspecialty-chocolate-i2965673992.html", "https://www.lazada.vn/products/kitkat-half-sugar-wafer-chocolate-456g-individually-packaged-classic-flavor-maltitol-100-snackhazelnutspecialty-chocolate-i2965673992.html")</f>
        <v>https://www.lazada.vn/products/kitkat-half-sugar-wafer-chocolate-456g-individually-packaged-classic-flavor-maltitol-100-snackhazelnutspecialty-chocolate-i2965673992.html</v>
      </c>
      <c r="C591" s="10" t="s">
        <v>591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8">
        <v>5446.0</v>
      </c>
      <c r="B592" s="9" t="str">
        <f>HYPERLINK("https://www.lazada.vn/products/snack-ba-khia-lets-nuts-tui-500g-gion-rum-do-an-vat-thom-ngon-dam-vi-i2808414332.html", "https://www.lazada.vn/products/snack-ba-khia-lets-nuts-tui-500g-gion-rum-do-an-vat-thom-ngon-dam-vi-i2808414332.html")</f>
        <v>https://www.lazada.vn/products/snack-ba-khia-lets-nuts-tui-500g-gion-rum-do-an-vat-thom-ngon-dam-vi-i2808414332.html</v>
      </c>
      <c r="C592" s="10" t="s">
        <v>592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8">
        <v>5447.0</v>
      </c>
      <c r="B593" s="9" t="str">
        <f>HYPERLINK("https://www.lazada.vn/products/combo-dung-thu-bia-tuoi-lua-mach-mix-vi-toucan-3-chai-x-330ml-i3052649765.html", "https://www.lazada.vn/products/combo-dung-thu-bia-tuoi-lua-mach-mix-vi-toucan-3-chai-x-330ml-i3052649765.html")</f>
        <v>https://www.lazada.vn/products/combo-dung-thu-bia-tuoi-lua-mach-mix-vi-toucan-3-chai-x-330ml-i3052649765.html</v>
      </c>
      <c r="C593" s="10" t="s">
        <v>593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8">
        <v>5448.0</v>
      </c>
      <c r="B594" s="9" t="str">
        <f>HYPERLINK("https://www.lazada.vn/products/dong-trung-ha-thao-organic-ngam-ruou-dalat-cordyceps-i2718750189.html", "https://www.lazada.vn/products/dong-trung-ha-thao-organic-ngam-ruou-dalat-cordyceps-i2718750189.html")</f>
        <v>https://www.lazada.vn/products/dong-trung-ha-thao-organic-ngam-ruou-dalat-cordyceps-i2718750189.html</v>
      </c>
      <c r="C594" s="10" t="s">
        <v>594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8">
        <v>5449.0</v>
      </c>
      <c r="B595" s="9" t="str">
        <f>HYPERLINK("https://www.lazada.vn/products/thach-trai-cay-nhieu-vi-tam-giac-mh-35-chiec-1-tui-320gr-i2656493141.html", "https://www.lazada.vn/products/thach-trai-cay-nhieu-vi-tam-giac-mh-35-chiec-1-tui-320gr-i2656493141.html")</f>
        <v>https://www.lazada.vn/products/thach-trai-cay-nhieu-vi-tam-giac-mh-35-chiec-1-tui-320gr-i2656493141.html</v>
      </c>
      <c r="C595" s="10" t="s">
        <v>595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8">
        <v>5450.0</v>
      </c>
      <c r="B596" s="9" t="str">
        <f>HYPERLINK("https://www.lazada.vn/products/10-cai-banh-da-nuong-san-an-lien-do-luong-dac-san-nghe-an-gion-tan-thom-ngon-vung-den-tuyen-chon-i2954583326.html", "https://www.lazada.vn/products/10-cai-banh-da-nuong-san-an-lien-do-luong-dac-san-nghe-an-gion-tan-thom-ngon-vung-den-tuyen-chon-i2954583326.html")</f>
        <v>https://www.lazada.vn/products/10-cai-banh-da-nuong-san-an-lien-do-luong-dac-san-nghe-an-gion-tan-thom-ngon-vung-den-tuyen-chon-i2954583326.html</v>
      </c>
      <c r="C596" s="10" t="s">
        <v>596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8">
        <v>5451.0</v>
      </c>
      <c r="B597" s="9" t="str">
        <f>HYPERLINK("https://www.lazada.vn/products/thach-sua-chua-pho-mai-zai-zai-duc-hanh-hop-6-hu-sieu-ngon-i2655888114.html", "https://www.lazada.vn/products/thach-sua-chua-pho-mai-zai-zai-duc-hanh-hop-6-hu-sieu-ngon-i2655888114.html")</f>
        <v>https://www.lazada.vn/products/thach-sua-chua-pho-mai-zai-zai-duc-hanh-hop-6-hu-sieu-ngon-i2655888114.html</v>
      </c>
      <c r="C597" s="10" t="s">
        <v>597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8">
        <v>5452.0</v>
      </c>
      <c r="B598" s="9" t="str">
        <f>HYPERLINK("https://www.lazada.vn/products/banh-quy-bo-imperial-danish-butter-cookies-huong-vi-hoang-gia-dam-chat-dan-mach-i2952832318.html", "https://www.lazada.vn/products/banh-quy-bo-imperial-danish-butter-cookies-huong-vi-hoang-gia-dam-chat-dan-mach-i2952832318.html")</f>
        <v>https://www.lazada.vn/products/banh-quy-bo-imperial-danish-butter-cookies-huong-vi-hoang-gia-dam-chat-dan-mach-i2952832318.html</v>
      </c>
      <c r="C598" s="10" t="s">
        <v>598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8">
        <v>5453.0</v>
      </c>
      <c r="B599" s="9" t="str">
        <f>HYPERLINK("https://www.lazada.vn/products/thach-sua-chua-pho-mai-zai-zai-duc-hanh-hop-6-hu-sieu-ngon-i2655843715.html", "https://www.lazada.vn/products/thach-sua-chua-pho-mai-zai-zai-duc-hanh-hop-6-hu-sieu-ngon-i2655843715.html")</f>
        <v>https://www.lazada.vn/products/thach-sua-chua-pho-mai-zai-zai-duc-hanh-hop-6-hu-sieu-ngon-i2655843715.html</v>
      </c>
      <c r="C599" s="10" t="s">
        <v>599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8">
        <v>5454.0</v>
      </c>
      <c r="B600" s="9" t="str">
        <f>HYPERLINK("https://www.lazada.vn/products/qua-tang-banh-quy-huong-hanh-nhan-mat-ong-quaker-250g-i2952538131.html", "https://www.lazada.vn/products/qua-tang-banh-quy-huong-hanh-nhan-mat-ong-quaker-250g-i2952538131.html")</f>
        <v>https://www.lazada.vn/products/qua-tang-banh-quy-huong-hanh-nhan-mat-ong-quaker-250g-i2952538131.html</v>
      </c>
      <c r="C600" s="10" t="s">
        <v>600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8">
        <v>5455.0</v>
      </c>
      <c r="B601" s="9" t="str">
        <f>HYPERLINK("https://www.lazada.vn/products/thach-sua-chua-pho-mai-zai-zai-duc-hanh-hop-6-hu-sieu-ngon-i2655829407.html", "https://www.lazada.vn/products/thach-sua-chua-pho-mai-zai-zai-duc-hanh-hop-6-hu-sieu-ngon-i2655829407.html")</f>
        <v>https://www.lazada.vn/products/thach-sua-chua-pho-mai-zai-zai-duc-hanh-hop-6-hu-sieu-ngon-i2655829407.html</v>
      </c>
      <c r="C601" s="10" t="s">
        <v>601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8">
        <v>5456.0</v>
      </c>
      <c r="B602" s="9" t="str">
        <f>HYPERLINK("https://www.lazada.vn/products/banh-quy-hat-dinh-duong-mesi-trang-an-tui-240g-mesi-biscuit-true-nut-i2951969178.html", "https://www.lazada.vn/products/banh-quy-hat-dinh-duong-mesi-trang-an-tui-240g-mesi-biscuit-true-nut-i2951969178.html")</f>
        <v>https://www.lazada.vn/products/banh-quy-hat-dinh-duong-mesi-trang-an-tui-240g-mesi-biscuit-true-nut-i2951969178.html</v>
      </c>
      <c r="C602" s="10" t="s">
        <v>602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8">
        <v>5457.0</v>
      </c>
      <c r="B603" s="9" t="str">
        <f>HYPERLINK("https://www.lazada.vn/products/bot-thach-pudding-vai-hoa-anh-dao-500g-lam-pudding-topping-tra-sua-vi-vai-mau-hoa-anh-dao-i2651409901.html", "https://www.lazada.vn/products/bot-thach-pudding-vai-hoa-anh-dao-500g-lam-pudding-topping-tra-sua-vi-vai-mau-hoa-anh-dao-i2651409901.html")</f>
        <v>https://www.lazada.vn/products/bot-thach-pudding-vai-hoa-anh-dao-500g-lam-pudding-topping-tra-sua-vi-vai-mau-hoa-anh-dao-i2651409901.html</v>
      </c>
      <c r="C603" s="10" t="s">
        <v>603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8">
        <v>5458.0</v>
      </c>
      <c r="B604" s="9" t="str">
        <f>HYPERLINK("https://www.lazada.vn/products/banh-quy-vi-dua-kokola-xo-400g-thom-ngon-bo-duong-i2951700956.html", "https://www.lazada.vn/products/banh-quy-vi-dua-kokola-xo-400g-thom-ngon-bo-duong-i2951700956.html")</f>
        <v>https://www.lazada.vn/products/banh-quy-vi-dua-kokola-xo-400g-thom-ngon-bo-duong-i2951700956.html</v>
      </c>
      <c r="C604" s="10" t="s">
        <v>604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8">
        <v>5459.0</v>
      </c>
      <c r="B605" s="9" t="str">
        <f>HYPERLINK("https://www.lazada.vn/products/bot-thach-pudding-vai-mau-la-cam-500g-lam-pudding-topping-tra-sua-vi-vai-mau-la-cam-thom-beo-i2651389994.html", "https://www.lazada.vn/products/bot-thach-pudding-vai-mau-la-cam-500g-lam-pudding-topping-tra-sua-vi-vai-mau-la-cam-thom-beo-i2651389994.html")</f>
        <v>https://www.lazada.vn/products/bot-thach-pudding-vai-mau-la-cam-500g-lam-pudding-topping-tra-sua-vi-vai-mau-la-cam-thom-beo-i2651389994.html</v>
      </c>
      <c r="C605" s="10" t="s">
        <v>605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8">
        <v>5460.0</v>
      </c>
      <c r="B606" s="9" t="str">
        <f>HYPERLINK("https://www.lazada.vn/products/banh-quy-dong-tien-hop-1kg-hang-noi-dia-trung-i2948909437.html", "https://www.lazada.vn/products/banh-quy-dong-tien-hop-1kg-hang-noi-dia-trung-i2948909437.html")</f>
        <v>https://www.lazada.vn/products/banh-quy-dong-tien-hop-1kg-hang-noi-dia-trung-i2948909437.html</v>
      </c>
      <c r="C606" s="10" t="s">
        <v>606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8">
        <v>5461.0</v>
      </c>
      <c r="B607" s="9" t="str">
        <f>HYPERLINK("https://www.lazada.vn/products/bot-khuc-bach-vai-la-cam-500g-lam-khuc-bach-topping-tra-sua-vi-vai-mau-la-cam-i2651354151.html", "https://www.lazada.vn/products/bot-khuc-bach-vai-la-cam-500g-lam-khuc-bach-topping-tra-sua-vi-vai-mau-la-cam-i2651354151.html")</f>
        <v>https://www.lazada.vn/products/bot-khuc-bach-vai-la-cam-500g-lam-khuc-bach-topping-tra-sua-vi-vai-mau-la-cam-i2651354151.html</v>
      </c>
      <c r="C607" s="10" t="s">
        <v>607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8">
        <v>5462.0</v>
      </c>
      <c r="B608" s="9" t="str">
        <f>HYPERLINK("https://www.lazada.vn/products/bo-doi-sieu-hoi-1-bich-banh-mi-que-tuoi-1-bich-banh-ti-hon-tuoi-khach-mua-ve-tru-ngan-mat-tu-lanh-dung-dan-rat-tien-loi-lo-banh-mi-tu-phuong-banh-mi-chuot-banh-mi-phap-banh-mi-que-banh-ti-hon-mini-i2807178261.html", "https://www.lazada.vn/products/bo-doi-sieu-hoi-1-bich-banh-mi-que-tuoi-1-bich-banh-ti-hon-tuoi-khach-mua-ve-tru-ngan-mat-tu-lanh-dung-dan-rat-tien-loi-lo-banh-mi-tu-phuong-banh-mi-chuot-banh-mi-phap-banh-mi-que-banh-ti-hon-mini-i2807178261.html")</f>
        <v>https://www.lazada.vn/products/bo-doi-sieu-hoi-1-bich-banh-mi-que-tuoi-1-bich-banh-ti-hon-tuoi-khach-mua-ve-tru-ngan-mat-tu-lanh-dung-dan-rat-tien-loi-lo-banh-mi-tu-phuong-banh-mi-chuot-banh-mi-phap-banh-mi-que-banh-ti-hon-mini-i2807178261.html</v>
      </c>
      <c r="C608" s="10" t="s">
        <v>608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8">
        <v>5463.0</v>
      </c>
      <c r="B609" s="9" t="str">
        <f>HYPERLINK("https://www.lazada.vn/products/banh-gao-vi-dua-say-oishi-1-goi-khoang-15-16-cai-hang-luon-moi-date-xa-i2948903013.html", "https://www.lazada.vn/products/banh-gao-vi-dua-say-oishi-1-goi-khoang-15-16-cai-hang-luon-moi-date-xa-i2948903013.html")</f>
        <v>https://www.lazada.vn/products/banh-gao-vi-dua-say-oishi-1-goi-khoang-15-16-cai-hang-luon-moi-date-xa-i2948903013.html</v>
      </c>
      <c r="C609" s="10" t="s">
        <v>609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8">
        <v>5464.0</v>
      </c>
      <c r="B610" s="9" t="str">
        <f>HYPERLINK("https://www.lazada.vn/products/bot-thach-panna-cotta-vi-vai-la-cam-thom-beo-500g-thuong-hieu-calay-mem-min-nun-ninh-nhu-banh-plan-i2651293502.html", "https://www.lazada.vn/products/bot-thach-panna-cotta-vi-vai-la-cam-thom-beo-500g-thuong-hieu-calay-mem-min-nun-ninh-nhu-banh-plan-i2651293502.html")</f>
        <v>https://www.lazada.vn/products/bot-thach-panna-cotta-vi-vai-la-cam-thom-beo-500g-thuong-hieu-calay-mem-min-nun-ninh-nhu-banh-plan-i2651293502.html</v>
      </c>
      <c r="C610" s="10" t="s">
        <v>610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8">
        <v>5465.0</v>
      </c>
      <c r="B611" s="9" t="str">
        <f>HYPERLINK("https://www.lazada.vn/products/ruou-vang-domaine-laurenceau-bordeaux-2017-125-i2852820954.html", "https://www.lazada.vn/products/ruou-vang-domaine-laurenceau-bordeaux-2017-125-i2852820954.html")</f>
        <v>https://www.lazada.vn/products/ruou-vang-domaine-laurenceau-bordeaux-2017-125-i2852820954.html</v>
      </c>
      <c r="C611" s="10" t="s">
        <v>611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8">
        <v>5466.0</v>
      </c>
      <c r="B612" s="9" t="str">
        <f>HYPERLINK("https://www.lazada.vn/products/1kg-banh-ngu-coc-dinh-duong-nagano-nut-cake-banh-quy-mix-vi-hat-dieu-dua-hanh-nhan-b128-beegin-food-store-i2948750031.html", "https://www.lazada.vn/products/1kg-banh-ngu-coc-dinh-duong-nagano-nut-cake-banh-quy-mix-vi-hat-dieu-dua-hanh-nhan-b128-beegin-food-store-i2948750031.html")</f>
        <v>https://www.lazada.vn/products/1kg-banh-ngu-coc-dinh-duong-nagano-nut-cake-banh-quy-mix-vi-hat-dieu-dua-hanh-nhan-b128-beegin-food-store-i2948750031.html</v>
      </c>
      <c r="C612" s="10" t="s">
        <v>612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8">
        <v>5467.0</v>
      </c>
      <c r="B613" s="9" t="str">
        <f>HYPERLINK("https://www.lazada.vn/products/keo-hong-i2878169615.html", "https://www.lazada.vn/products/keo-hong-i2878169615.html")</f>
        <v>https://www.lazada.vn/products/keo-hong-i2878169615.html</v>
      </c>
      <c r="C613" s="10" t="s">
        <v>613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8">
        <v>5468.0</v>
      </c>
      <c r="B614" s="9" t="str">
        <f>HYPERLINK("https://www.lazada.vn/products/banh-trung-custas-hop-282g-i2472628526.html", "https://www.lazada.vn/products/banh-trung-custas-hop-282g-i2472628526.html")</f>
        <v>https://www.lazada.vn/products/banh-trung-custas-hop-282g-i2472628526.html</v>
      </c>
      <c r="C614" s="10" t="s">
        <v>614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8">
        <v>5469.0</v>
      </c>
      <c r="B615" s="9" t="str">
        <f>HYPERLINK("https://www.lazada.vn/products/bot-thach-panna-cotta-vi-vai-hoa-anh-dao-thom-beo-500g-thuong-hieu-calay-mem-min-nun-ninh-nhu-banh-plan-i2651269561.html", "https://www.lazada.vn/products/bot-thach-panna-cotta-vi-vai-hoa-anh-dao-thom-beo-500g-thuong-hieu-calay-mem-min-nun-ninh-nhu-banh-plan-i2651269561.html")</f>
        <v>https://www.lazada.vn/products/bot-thach-panna-cotta-vi-vai-hoa-anh-dao-thom-beo-500g-thuong-hieu-calay-mem-min-nun-ninh-nhu-banh-plan-i2651269561.html</v>
      </c>
      <c r="C615" s="10" t="s">
        <v>615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8">
        <v>5470.0</v>
      </c>
      <c r="B616" s="9" t="str">
        <f>HYPERLINK("https://www.lazada.vn/products/vang-my-19-crimes-cali-red-blend-19-toi-loi-i2848391605.html", "https://www.lazada.vn/products/vang-my-19-crimes-cali-red-blend-19-toi-loi-i2848391605.html")</f>
        <v>https://www.lazada.vn/products/vang-my-19-crimes-cali-red-blend-19-toi-loi-i2848391605.html</v>
      </c>
      <c r="C616" s="10" t="s">
        <v>616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8">
        <v>5471.0</v>
      </c>
      <c r="B617" s="9" t="str">
        <f>HYPERLINK("https://www.lazada.vn/products/500g-banh-ngu-coc-dinh-duong-nagano-nut-cake-banh-quy-mix-vi-hat-dieu-dua-hanh-nhan-b128-tknk-beegin-i2948744005.html", "https://www.lazada.vn/products/500g-banh-ngu-coc-dinh-duong-nagano-nut-cake-banh-quy-mix-vi-hat-dieu-dua-hanh-nhan-b128-tknk-beegin-i2948744005.html")</f>
        <v>https://www.lazada.vn/products/500g-banh-ngu-coc-dinh-duong-nagano-nut-cake-banh-quy-mix-vi-hat-dieu-dua-hanh-nhan-b128-tknk-beegin-i2948744005.html</v>
      </c>
      <c r="C617" s="10" t="s">
        <v>617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8">
        <v>5472.0</v>
      </c>
      <c r="B618" s="9" t="str">
        <f>HYPERLINK("https://www.lazada.vn/products/bot-so-co-la-acacao-hoa-tan-vi-gung-uong-lien-dinh-duong-bot-so-co-la-huong-thom-cay-nhe-hop-286g-i2509811175.html", "https://www.lazada.vn/products/bot-so-co-la-acacao-hoa-tan-vi-gung-uong-lien-dinh-duong-bot-so-co-la-huong-thom-cay-nhe-hop-286g-i2509811175.html")</f>
        <v>https://www.lazada.vn/products/bot-so-co-la-acacao-hoa-tan-vi-gung-uong-lien-dinh-duong-bot-so-co-la-huong-thom-cay-nhe-hop-286g-i2509811175.html</v>
      </c>
      <c r="C618" s="10" t="s">
        <v>618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8">
        <v>5473.0</v>
      </c>
      <c r="B619" s="9" t="str">
        <f>HYPERLINK("https://www.lazada.vn/products/mi-an-lien-chum-ngay-heathy-i2976839814.html", "https://www.lazada.vn/products/mi-an-lien-chum-ngay-heathy-i2976839814.html")</f>
        <v>https://www.lazada.vn/products/mi-an-lien-chum-ngay-heathy-i2976839814.html</v>
      </c>
      <c r="C619" s="10" t="s">
        <v>619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8">
        <v>5474.0</v>
      </c>
      <c r="B620" s="9" t="str">
        <f>HYPERLINK("https://www.lazada.vn/products/thach-trai-cay-orihiro-nhat-ban-i2650210955.html", "https://www.lazada.vn/products/thach-trai-cay-orihiro-nhat-ban-i2650210955.html")</f>
        <v>https://www.lazada.vn/products/thach-trai-cay-orihiro-nhat-ban-i2650210955.html</v>
      </c>
      <c r="C620" s="10" t="s">
        <v>620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8">
        <v>5475.0</v>
      </c>
      <c r="B621" s="9" t="str">
        <f>HYPERLINK("https://www.lazada.vn/products/ruou-vang-do-jacobs-creek-reserve-cabernet-sauvignon-nong-do-alc-145-750ml-khong-kem-hop-i2847474313.html", "https://www.lazada.vn/products/ruou-vang-do-jacobs-creek-reserve-cabernet-sauvignon-nong-do-alc-145-750ml-khong-kem-hop-i2847474313.html")</f>
        <v>https://www.lazada.vn/products/ruou-vang-do-jacobs-creek-reserve-cabernet-sauvignon-nong-do-alc-145-750ml-khong-kem-hop-i2847474313.html</v>
      </c>
      <c r="C621" s="10" t="s">
        <v>621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8">
        <v>5476.0</v>
      </c>
      <c r="B622" s="9" t="str">
        <f>HYPERLINK("https://www.lazada.vn/products/1kg-banh-ngu-coc-dinh-duong-nagano-nut-cake-banh-quy-mix-vi-hat-dieu-dua-hanh-nhan-b128-beegin-mart-i2948717044.html", "https://www.lazada.vn/products/1kg-banh-ngu-coc-dinh-duong-nagano-nut-cake-banh-quy-mix-vi-hat-dieu-dua-hanh-nhan-b128-beegin-mart-i2948717044.html")</f>
        <v>https://www.lazada.vn/products/1kg-banh-ngu-coc-dinh-duong-nagano-nut-cake-banh-quy-mix-vi-hat-dieu-dua-hanh-nhan-b128-beegin-mart-i2948717044.html</v>
      </c>
      <c r="C622" s="10" t="s">
        <v>622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8">
        <v>5477.0</v>
      </c>
      <c r="B623" s="9" t="str">
        <f>HYPERLINK("https://www.lazada.vn/products/ruou-vang-do-jacobs-creek-reserve-shiraz-nong-do-alc-145-750ml-khong-kem-hop-i2847344597.html", "https://www.lazada.vn/products/ruou-vang-do-jacobs-creek-reserve-shiraz-nong-do-alc-145-750ml-khong-kem-hop-i2847344597.html")</f>
        <v>https://www.lazada.vn/products/ruou-vang-do-jacobs-creek-reserve-shiraz-nong-do-alc-145-750ml-khong-kem-hop-i2847344597.html</v>
      </c>
      <c r="C623" s="10" t="s">
        <v>623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8">
        <v>5478.0</v>
      </c>
      <c r="B624" s="9" t="str">
        <f>HYPERLINK("https://www.lazada.vn/products/thach-dua-tong-hop-jin-jin-assorted-goi-400g-i2650179938.html", "https://www.lazada.vn/products/thach-dua-tong-hop-jin-jin-assorted-goi-400g-i2650179938.html")</f>
        <v>https://www.lazada.vn/products/thach-dua-tong-hop-jin-jin-assorted-goi-400g-i2650179938.html</v>
      </c>
      <c r="C624" s="10" t="s">
        <v>624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8">
        <v>5479.0</v>
      </c>
      <c r="B625" s="9" t="str">
        <f>HYPERLINK("https://www.lazada.vn/products/1kg-banh-ngu-coc-dinh-duong-nagano-nut-cake-banh-quy-mix-vi-hat-dieu-dua-hanh-nhan-b128-sieu-thi-beegin-i2948680040.html", "https://www.lazada.vn/products/1kg-banh-ngu-coc-dinh-duong-nagano-nut-cake-banh-quy-mix-vi-hat-dieu-dua-hanh-nhan-b128-sieu-thi-beegin-i2948680040.html")</f>
        <v>https://www.lazada.vn/products/1kg-banh-ngu-coc-dinh-duong-nagano-nut-cake-banh-quy-mix-vi-hat-dieu-dua-hanh-nhan-b128-sieu-thi-beegin-i2948680040.html</v>
      </c>
      <c r="C625" s="10" t="s">
        <v>625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8">
        <v>5480.0</v>
      </c>
      <c r="B626" s="9" t="str">
        <f>HYPERLINK("https://www.lazada.vn/products/km-hop-12-goi-tang-1-goi-bot-rau-cau-deo-gummy-lam-thach-tra-sua-thach-cafe-thanh-pham-thach-deo-gion-i2649177047.html", "https://www.lazada.vn/products/km-hop-12-goi-tang-1-goi-bot-rau-cau-deo-gummy-lam-thach-tra-sua-thach-cafe-thanh-pham-thach-deo-gion-i2649177047.html")</f>
        <v>https://www.lazada.vn/products/km-hop-12-goi-tang-1-goi-bot-rau-cau-deo-gummy-lam-thach-tra-sua-thach-cafe-thanh-pham-thach-deo-gion-i2649177047.html</v>
      </c>
      <c r="C626" s="10" t="s">
        <v>626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8">
        <v>5481.0</v>
      </c>
      <c r="B627" s="9" t="str">
        <f>HYPERLINK("https://www.lazada.vn/products/vang-trong-santa-loreto-cabernet-sauvignon-merlot-13-i2843594003.html", "https://www.lazada.vn/products/vang-trong-santa-loreto-cabernet-sauvignon-merlot-13-i2843594003.html")</f>
        <v>https://www.lazada.vn/products/vang-trong-santa-loreto-cabernet-sauvignon-merlot-13-i2843594003.html</v>
      </c>
      <c r="C627" s="10" t="s">
        <v>627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8">
        <v>5482.0</v>
      </c>
      <c r="B628" s="9" t="str">
        <f>HYPERLINK("https://www.lazada.vn/products/500g-banh-ngu-coc-dinh-duong-nagano-nut-cake-banh-quy-mix-vi-hat-dieu-dua-hanh-nhan-b128-sieu-thi-beegin-i2948673387.html", "https://www.lazada.vn/products/500g-banh-ngu-coc-dinh-duong-nagano-nut-cake-banh-quy-mix-vi-hat-dieu-dua-hanh-nhan-b128-sieu-thi-beegin-i2948673387.html")</f>
        <v>https://www.lazada.vn/products/500g-banh-ngu-coc-dinh-duong-nagano-nut-cake-banh-quy-mix-vi-hat-dieu-dua-hanh-nhan-b128-sieu-thi-beegin-i2948673387.html</v>
      </c>
      <c r="C628" s="10" t="s">
        <v>628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8">
        <v>5483.0</v>
      </c>
      <c r="B629" s="9" t="str">
        <f>HYPERLINK("https://www.lazada.vn/products/tac-hat-dac-duong-phen-tan-loc-hu-900g-i2645182827.html", "https://www.lazada.vn/products/tac-hat-dac-duong-phen-tan-loc-hu-900g-i2645182827.html")</f>
        <v>https://www.lazada.vn/products/tac-hat-dac-duong-phen-tan-loc-hu-900g-i2645182827.html</v>
      </c>
      <c r="C629" s="10" t="s">
        <v>629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8">
        <v>5484.0</v>
      </c>
      <c r="B630" s="9" t="str">
        <f>HYPERLINK("https://www.lazada.vn/products/ruou-vang-do-santa-loreto-merlot-13-cabernet-sauvignon-13-i2843017616.html", "https://www.lazada.vn/products/ruou-vang-do-santa-loreto-merlot-13-cabernet-sauvignon-13-i2843017616.html")</f>
        <v>https://www.lazada.vn/products/ruou-vang-do-santa-loreto-merlot-13-cabernet-sauvignon-13-i2843017616.html</v>
      </c>
      <c r="C630" s="10" t="s">
        <v>630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8">
        <v>5485.0</v>
      </c>
      <c r="B631" s="9" t="str">
        <f>HYPERLINK("https://www.lazada.vn/products/500g-banh-ngu-coc-dinh-duong-nagano-nut-cake-banh-quy-mix-vi-hat-dieu-dua-hanh-nhan-b128-beegin-mart-i2948666528.html", "https://www.lazada.vn/products/500g-banh-ngu-coc-dinh-duong-nagano-nut-cake-banh-quy-mix-vi-hat-dieu-dua-hanh-nhan-b128-beegin-mart-i2948666528.html")</f>
        <v>https://www.lazada.vn/products/500g-banh-ngu-coc-dinh-duong-nagano-nut-cake-banh-quy-mix-vi-hat-dieu-dua-hanh-nhan-b128-beegin-mart-i2948666528.html</v>
      </c>
      <c r="C631" s="10" t="s">
        <v>631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8">
        <v>5486.0</v>
      </c>
      <c r="B632" s="9" t="str">
        <f>HYPERLINK("https://www.lazada.vn/products/thach-no-cu-nang-mao-mao-xiong-lon-850g-i2641907771.html", "https://www.lazada.vn/products/thach-no-cu-nang-mao-mao-xiong-lon-850g-i2641907771.html")</f>
        <v>https://www.lazada.vn/products/thach-no-cu-nang-mao-mao-xiong-lon-850g-i2641907771.html</v>
      </c>
      <c r="C632" s="10" t="s">
        <v>632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8">
        <v>5487.0</v>
      </c>
      <c r="B633" s="9" t="str">
        <f>HYPERLINK("https://www.lazada.vn/products/ruou-vang-do-santa-loreto-cabernet-sauvignon-reserva-135-xuat-xu-chile-i2842913600.html", "https://www.lazada.vn/products/ruou-vang-do-santa-loreto-cabernet-sauvignon-reserva-135-xuat-xu-chile-i2842913600.html")</f>
        <v>https://www.lazada.vn/products/ruou-vang-do-santa-loreto-cabernet-sauvignon-reserva-135-xuat-xu-chile-i2842913600.html</v>
      </c>
      <c r="C633" s="10" t="s">
        <v>633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8">
        <v>5488.0</v>
      </c>
      <c r="B634" s="9" t="str">
        <f>HYPERLINK("https://www.lazada.vn/products/500g-banh-ngu-coc-dinh-duong-nagano-nut-cake-banh-quy-mix-vi-hat-dieu-dua-hanh-nhan-b128-beegin-food-store-i2948662144.html", "https://www.lazada.vn/products/500g-banh-ngu-coc-dinh-duong-nagano-nut-cake-banh-quy-mix-vi-hat-dieu-dua-hanh-nhan-b128-beegin-food-store-i2948662144.html")</f>
        <v>https://www.lazada.vn/products/500g-banh-ngu-coc-dinh-duong-nagano-nut-cake-banh-quy-mix-vi-hat-dieu-dua-hanh-nhan-b128-beegin-food-store-i2948662144.html</v>
      </c>
      <c r="C634" s="10" t="s">
        <v>634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8">
        <v>5489.0</v>
      </c>
      <c r="B635" s="9" t="str">
        <f>HYPERLINK("https://www.lazada.vn/products/boppa-hat-thuy-tinh-huong-luu-i2641159814.html", "https://www.lazada.vn/products/boppa-hat-thuy-tinh-huong-luu-i2641159814.html")</f>
        <v>https://www.lazada.vn/products/boppa-hat-thuy-tinh-huong-luu-i2641159814.html</v>
      </c>
      <c r="C635" s="10" t="s">
        <v>635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8">
        <v>5490.0</v>
      </c>
      <c r="B636" s="9" t="str">
        <f>HYPERLINK("https://www.lazada.vn/products/500g-banh-ngu-coc-dinh-duong-nagano-nut-cake-banh-quy-mix-vi-hat-dieu-dua-hanh-nhan-b128-an-vat-beegin-i2948643154.html", "https://www.lazada.vn/products/500g-banh-ngu-coc-dinh-duong-nagano-nut-cake-banh-quy-mix-vi-hat-dieu-dua-hanh-nhan-b128-an-vat-beegin-i2948643154.html")</f>
        <v>https://www.lazada.vn/products/500g-banh-ngu-coc-dinh-duong-nagano-nut-cake-banh-quy-mix-vi-hat-dieu-dua-hanh-nhan-b128-an-vat-beegin-i2948643154.html</v>
      </c>
      <c r="C636" s="10" t="s">
        <v>636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8">
        <v>5491.0</v>
      </c>
      <c r="B637" s="9" t="str">
        <f>HYPERLINK("https://www.lazada.vn/products/vang-y-cao-cap-1919-anno-domini-19-do-i2842889864.html", "https://www.lazada.vn/products/vang-y-cao-cap-1919-anno-domini-19-do-i2842889864.html")</f>
        <v>https://www.lazada.vn/products/vang-y-cao-cap-1919-anno-domini-19-do-i2842889864.html</v>
      </c>
      <c r="C637" s="10" t="s">
        <v>637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8">
        <v>5492.0</v>
      </c>
      <c r="B638" s="9" t="str">
        <f>HYPERLINK("https://www.lazada.vn/products/bot-khuc-bach-vai-hoa-anh-dao-500g-lam-khuc-bach-topping-tra-sua-vi-vai-mau-hoa-anh-dao-i2639627047.html", "https://www.lazada.vn/products/bot-khuc-bach-vai-hoa-anh-dao-500g-lam-khuc-bach-topping-tra-sua-vi-vai-mau-hoa-anh-dao-i2639627047.html")</f>
        <v>https://www.lazada.vn/products/bot-khuc-bach-vai-hoa-anh-dao-500g-lam-khuc-bach-topping-tra-sua-vi-vai-mau-hoa-anh-dao-i2639627047.html</v>
      </c>
      <c r="C638" s="10" t="s">
        <v>638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8">
        <v>5493.0</v>
      </c>
      <c r="B639" s="9" t="str">
        <f>HYPERLINK("https://www.lazada.vn/products/1kg-banh-ngu-coc-dinh-duong-nagano-nut-cake-banh-quy-mix-vi-hat-dieu-dua-hanh-nhan-b128-beegin-food-shop-i2948636136.html", "https://www.lazada.vn/products/1kg-banh-ngu-coc-dinh-duong-nagano-nut-cake-banh-quy-mix-vi-hat-dieu-dua-hanh-nhan-b128-beegin-food-shop-i2948636136.html")</f>
        <v>https://www.lazada.vn/products/1kg-banh-ngu-coc-dinh-duong-nagano-nut-cake-banh-quy-mix-vi-hat-dieu-dua-hanh-nhan-b128-beegin-food-shop-i2948636136.html</v>
      </c>
      <c r="C639" s="10" t="s">
        <v>639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8">
        <v>5494.0</v>
      </c>
      <c r="B640" s="9" t="str">
        <f>HYPERLINK("https://www.lazada.vn/products/ruou-vang-y-maya-bay-159-do-i2842886881.html", "https://www.lazada.vn/products/ruou-vang-y-maya-bay-159-do-i2842886881.html")</f>
        <v>https://www.lazada.vn/products/ruou-vang-y-maya-bay-159-do-i2842886881.html</v>
      </c>
      <c r="C640" s="10" t="s">
        <v>640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8">
        <v>5495.0</v>
      </c>
      <c r="B641" s="9" t="str">
        <f>HYPERLINK("https://www.lazada.vn/products/thach-tam-giac-vi-trai-cay-300g-i2637154832.html", "https://www.lazada.vn/products/thach-tam-giac-vi-trai-cay-300g-i2637154832.html")</f>
        <v>https://www.lazada.vn/products/thach-tam-giac-vi-trai-cay-300g-i2637154832.html</v>
      </c>
      <c r="C641" s="10" t="s">
        <v>641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8">
        <v>5496.0</v>
      </c>
      <c r="B642" s="9" t="str">
        <f>HYPERLINK("https://www.lazada.vn/products/500g-banh-ngu-coc-dinh-duong-nagano-nut-cake-banh-quy-mix-vi-hat-dieu-dua-hanh-nhan-b128-beegin-food-shop-i2948631263.html", "https://www.lazada.vn/products/500g-banh-ngu-coc-dinh-duong-nagano-nut-cake-banh-quy-mix-vi-hat-dieu-dua-hanh-nhan-b128-beegin-food-shop-i2948631263.html")</f>
        <v>https://www.lazada.vn/products/500g-banh-ngu-coc-dinh-duong-nagano-nut-cake-banh-quy-mix-vi-hat-dieu-dua-hanh-nhan-b128-beegin-food-shop-i2948631263.html</v>
      </c>
      <c r="C642" s="10" t="s">
        <v>642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8">
        <v>5497.0</v>
      </c>
      <c r="B643" s="9" t="str">
        <f>HYPERLINK("https://www.lazada.vn/products/ruou-vang-y-terre-di-mario-vino-rosso-17-do-i2841882108.html", "https://www.lazada.vn/products/ruou-vang-y-terre-di-mario-vino-rosso-17-do-i2841882108.html")</f>
        <v>https://www.lazada.vn/products/ruou-vang-y-terre-di-mario-vino-rosso-17-do-i2841882108.html</v>
      </c>
      <c r="C643" s="10" t="s">
        <v>643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8">
        <v>5498.0</v>
      </c>
      <c r="B644" s="9" t="str">
        <f>HYPERLINK("https://www.lazada.vn/products/combo-5-thach-tam-giac-mh-goi-300g-mau-moi-2024-i2635321230.html", "https://www.lazada.vn/products/combo-5-thach-tam-giac-mh-goi-300g-mau-moi-2024-i2635321230.html")</f>
        <v>https://www.lazada.vn/products/combo-5-thach-tam-giac-mh-goi-300g-mau-moi-2024-i2635321230.html</v>
      </c>
      <c r="C644" s="10" t="s">
        <v>644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8">
        <v>5499.0</v>
      </c>
      <c r="B645" s="9" t="str">
        <f>HYPERLINK("https://www.lazada.vn/products/1kg-banh-ngu-coc-dinh-duong-nagano-nut-cake-banh-quy-mix-vi-hat-dieu-dua-hanh-nhan-b128-tknk-beegin-i2948613830.html", "https://www.lazada.vn/products/1kg-banh-ngu-coc-dinh-duong-nagano-nut-cake-banh-quy-mix-vi-hat-dieu-dua-hanh-nhan-b128-tknk-beegin-i2948613830.html")</f>
        <v>https://www.lazada.vn/products/1kg-banh-ngu-coc-dinh-duong-nagano-nut-cake-banh-quy-mix-vi-hat-dieu-dua-hanh-nhan-b128-tknk-beegin-i2948613830.html</v>
      </c>
      <c r="C645" s="10" t="s">
        <v>645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8">
        <v>5500.0</v>
      </c>
      <c r="B646" s="9" t="str">
        <f>HYPERLINK("https://www.lazada.vn/products/chinh-hang-co-hop-vang-y-nhan-chia-khoa-segreto-i2840891903.html", "https://www.lazada.vn/products/chinh-hang-co-hop-vang-y-nhan-chia-khoa-segreto-i2840891903.html")</f>
        <v>https://www.lazada.vn/products/chinh-hang-co-hop-vang-y-nhan-chia-khoa-segreto-i2840891903.html</v>
      </c>
      <c r="C646" s="10" t="s">
        <v>646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8">
        <v>5501.0</v>
      </c>
      <c r="B647" s="9" t="str">
        <f>HYPERLINK("https://www.lazada.vn/products/bot-thach-pudding-huong-xoai-goi-200gr-i2631628393.html", "https://www.lazada.vn/products/bot-thach-pudding-huong-xoai-goi-200gr-i2631628393.html")</f>
        <v>https://www.lazada.vn/products/bot-thach-pudding-huong-xoai-goi-200gr-i2631628393.html</v>
      </c>
      <c r="C647" s="10" t="s">
        <v>647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8">
        <v>5502.0</v>
      </c>
      <c r="B648" s="9" t="str">
        <f>HYPERLINK("https://www.lazada.vn/products/1kg-banh-ngu-coc-dinh-duong-nagano-nut-cake-banh-quy-mix-vi-hat-dieu-dua-hanh-nhan-b128-beegin-food-i2948613600.html", "https://www.lazada.vn/products/1kg-banh-ngu-coc-dinh-duong-nagano-nut-cake-banh-quy-mix-vi-hat-dieu-dua-hanh-nhan-b128-beegin-food-i2948613600.html")</f>
        <v>https://www.lazada.vn/products/1kg-banh-ngu-coc-dinh-duong-nagano-nut-cake-banh-quy-mix-vi-hat-dieu-dua-hanh-nhan-b128-beegin-food-i2948613600.html</v>
      </c>
      <c r="C648" s="10" t="s">
        <v>648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8">
        <v>5503.0</v>
      </c>
      <c r="B649" s="9" t="str">
        <f>HYPERLINK("https://www.lazada.vn/products/vang-uc-penfolds-maxs-shiraz-cabernet-750ml-vang-do-the-best-wine-i2840239747.html", "https://www.lazada.vn/products/vang-uc-penfolds-maxs-shiraz-cabernet-750ml-vang-do-the-best-wine-i2840239747.html")</f>
        <v>https://www.lazada.vn/products/vang-uc-penfolds-maxs-shiraz-cabernet-750ml-vang-do-the-best-wine-i2840239747.html</v>
      </c>
      <c r="C649" s="10" t="s">
        <v>649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8">
        <v>5504.0</v>
      </c>
      <c r="B650" s="9" t="str">
        <f>HYPERLINK("https://www.lazada.vn/products/tran-chau-sieu-toc-goi-500g-i2800564547.html", "https://www.lazada.vn/products/tran-chau-sieu-toc-goi-500g-i2800564547.html")</f>
        <v>https://www.lazada.vn/products/tran-chau-sieu-toc-goi-500g-i2800564547.html</v>
      </c>
      <c r="C650" s="10" t="s">
        <v>650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8">
        <v>5505.0</v>
      </c>
      <c r="B651" s="9" t="str">
        <f>HYPERLINK("https://www.lazada.vn/products/500g-banh-ngu-coc-dinh-duong-nagano-nut-cake-banh-quy-mix-vi-hat-dieu-dua-hanh-nhan-b128-beegin-food-i2948612779.html", "https://www.lazada.vn/products/500g-banh-ngu-coc-dinh-duong-nagano-nut-cake-banh-quy-mix-vi-hat-dieu-dua-hanh-nhan-b128-beegin-food-i2948612779.html")</f>
        <v>https://www.lazada.vn/products/500g-banh-ngu-coc-dinh-duong-nagano-nut-cake-banh-quy-mix-vi-hat-dieu-dua-hanh-nhan-b128-beegin-food-i2948612779.html</v>
      </c>
      <c r="C651" s="10" t="s">
        <v>651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8">
        <v>5506.0</v>
      </c>
      <c r="B652" s="9" t="str">
        <f>HYPERLINK("https://www.lazada.vn/products/combo-thung-go-6-chai-vang-uc-olivia-tuy-chon-2-loai-vang-i2837756515.html", "https://www.lazada.vn/products/combo-thung-go-6-chai-vang-uc-olivia-tuy-chon-2-loai-vang-i2837756515.html")</f>
        <v>https://www.lazada.vn/products/combo-thung-go-6-chai-vang-uc-olivia-tuy-chon-2-loai-vang-i2837756515.html</v>
      </c>
      <c r="C652" s="10" t="s">
        <v>652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8">
        <v>5507.0</v>
      </c>
      <c r="B653" s="9" t="str">
        <f>HYPERLINK("https://www.lazada.vn/products/banh-choco-pie-tinh-orion-hop-20-chiec-660g-i2472566706.html", "https://www.lazada.vn/products/banh-choco-pie-tinh-orion-hop-20-chiec-660g-i2472566706.html")</f>
        <v>https://www.lazada.vn/products/banh-choco-pie-tinh-orion-hop-20-chiec-660g-i2472566706.html</v>
      </c>
      <c r="C653" s="10" t="s">
        <v>653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8">
        <v>5508.0</v>
      </c>
      <c r="B654" s="9" t="str">
        <f>HYPERLINK("https://www.lazada.vn/products/banh_karo_gau-richy-banh-tuoi-cha-bong-nhan-kem-pho-mai-trung-the-he-moi-i2806711037.html", "https://www.lazada.vn/products/banh_karo_gau-richy-banh-tuoi-cha-bong-nhan-kem-pho-mai-trung-the-he-moi-i2806711037.html")</f>
        <v>https://www.lazada.vn/products/banh_karo_gau-richy-banh-tuoi-cha-bong-nhan-kem-pho-mai-trung-the-he-moi-i2806711037.html</v>
      </c>
      <c r="C654" s="10" t="s">
        <v>654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8">
        <v>5509.0</v>
      </c>
      <c r="B655" s="9" t="str">
        <f>HYPERLINK("https://www.lazada.vn/products/500gr-keo-tao-do-kep-sua-lac-da-va-nhan-hat-dieu-de-an-thom-ngon-hang-loai-1-sieu-ngon-i2877506633.html", "https://www.lazada.vn/products/500gr-keo-tao-do-kep-sua-lac-da-va-nhan-hat-dieu-de-an-thom-ngon-hang-loai-1-sieu-ngon-i2877506633.html")</f>
        <v>https://www.lazada.vn/products/500gr-keo-tao-do-kep-sua-lac-da-va-nhan-hat-dieu-de-an-thom-ngon-hang-loai-1-sieu-ngon-i2877506633.html</v>
      </c>
      <c r="C655" s="10" t="s">
        <v>655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8">
        <v>5510.0</v>
      </c>
      <c r="B656" s="9" t="str">
        <f>HYPERLINK("https://www.lazada.vn/products/soju-han-quoc-7drops-360ml-vi-dao-i2331936493.html", "https://www.lazada.vn/products/soju-han-quoc-7drops-360ml-vi-dao-i2331936493.html")</f>
        <v>https://www.lazada.vn/products/soju-han-quoc-7drops-360ml-vi-dao-i2331936493.html</v>
      </c>
      <c r="C656" s="10" t="s">
        <v>656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8">
        <v>5511.0</v>
      </c>
      <c r="B657" s="9" t="str">
        <f>HYPERLINK("https://www.lazada.vn/products/sinh-to-berrino-viet-quat-i2881406400.html", "https://www.lazada.vn/products/sinh-to-berrino-viet-quat-i2881406400.html")</f>
        <v>https://www.lazada.vn/products/sinh-to-berrino-viet-quat-i2881406400.html</v>
      </c>
      <c r="C657" s="10" t="s">
        <v>657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8">
        <v>5512.0</v>
      </c>
      <c r="B658" s="9" t="str">
        <f>HYPERLINK("https://www.lazada.vn/products/keo-cay-gay-hamlet-giang-sinh-170gr-12-cay-i2877397702.html", "https://www.lazada.vn/products/keo-cay-gay-hamlet-giang-sinh-170gr-12-cay-i2877397702.html")</f>
        <v>https://www.lazada.vn/products/keo-cay-gay-hamlet-giang-sinh-170gr-12-cay-i2877397702.html</v>
      </c>
      <c r="C658" s="10" t="s">
        <v>658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8">
        <v>5513.0</v>
      </c>
      <c r="B659" s="9" t="str">
        <f>HYPERLINK("https://www.lazada.vn/products/keo-tao-do-sua-lac-da-nhan-hat-dieu-tui-300g-va-che-duong-nhan-10-vi-bich-350g-i2877176365.html", "https://www.lazada.vn/products/keo-tao-do-sua-lac-da-nhan-hat-dieu-tui-300g-va-che-duong-nhan-10-vi-bich-350g-i2877176365.html")</f>
        <v>https://www.lazada.vn/products/keo-tao-do-sua-lac-da-nhan-hat-dieu-tui-300g-va-che-duong-nhan-10-vi-bich-350g-i2877176365.html</v>
      </c>
      <c r="C659" s="10" t="s">
        <v>659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8">
        <v>5514.0</v>
      </c>
      <c r="B660" s="9" t="str">
        <f>HYPERLINK("https://www.lazada.vn/products/1-vien-keo-chanh-thai-i2874154285.html", "https://www.lazada.vn/products/1-vien-keo-chanh-thai-i2874154285.html")</f>
        <v>https://www.lazada.vn/products/1-vien-keo-chanh-thai-i2874154285.html</v>
      </c>
      <c r="C660" s="10" t="s">
        <v>660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8">
        <v>5515.0</v>
      </c>
      <c r="B661" s="9" t="str">
        <f>HYPERLINK("https://www.lazada.vn/products/keo-tao-do-sua-lac-da-nhan-hat-dieu-hang-loai-1-hop-300gr-i2871798975.html", "https://www.lazada.vn/products/keo-tao-do-sua-lac-da-nhan-hat-dieu-hang-loai-1-hop-300gr-i2871798975.html")</f>
        <v>https://www.lazada.vn/products/keo-tao-do-sua-lac-da-nhan-hat-dieu-hang-loai-1-hop-300gr-i2871798975.html</v>
      </c>
      <c r="C661" s="10" t="s">
        <v>661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8">
        <v>5516.0</v>
      </c>
      <c r="B662" s="9" t="str">
        <f>HYPERLINK("https://www.lazada.vn/products/do-an-nhe-nhang-thu-cong-truyen-thong-500g-old-fashioned-handmade-wedding-candy-retro-snacks-mid-air-peanut-caramel-candy-i2866642126.html", "https://www.lazada.vn/products/do-an-nhe-nhang-thu-cong-truyen-thong-500g-old-fashioned-handmade-wedding-candy-retro-snacks-mid-air-peanut-caramel-candy-i2866642126.html")</f>
        <v>https://www.lazada.vn/products/do-an-nhe-nhang-thu-cong-truyen-thong-500g-old-fashioned-handmade-wedding-candy-retro-snacks-mid-air-peanut-caramel-candy-i2866642126.html</v>
      </c>
      <c r="C662" s="10" t="s">
        <v>662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8">
        <v>5517.0</v>
      </c>
      <c r="B663" s="9" t="str">
        <f>HYPERLINK("https://www.lazada.vn/products/keo-deo-gion-trai-cay-disney-hop-thiec-105g-i2866340046.html", "https://www.lazada.vn/products/keo-deo-gion-trai-cay-disney-hop-thiec-105g-i2866340046.html")</f>
        <v>https://www.lazada.vn/products/keo-deo-gion-trai-cay-disney-hop-thiec-105g-i2866340046.html</v>
      </c>
      <c r="C663" s="10" t="s">
        <v>663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8">
        <v>5518.0</v>
      </c>
      <c r="B664" s="9" t="str">
        <f>HYPERLINK("https://www.lazada.vn/products/set-4-goi-thach-bong-bong-vi-trai-cay-i2866219317.html", "https://www.lazada.vn/products/set-4-goi-thach-bong-bong-vi-trai-cay-i2866219317.html")</f>
        <v>https://www.lazada.vn/products/set-4-goi-thach-bong-bong-vi-trai-cay-i2866219317.html</v>
      </c>
      <c r="C664" s="10" t="s">
        <v>664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8">
        <v>5519.0</v>
      </c>
      <c r="B665" s="9" t="str">
        <f>HYPERLINK("https://www.lazada.vn/products/combo-5-cai-banh-bong-lan-tam-giac-3-vi-dai-loan-i2519413867.html", "https://www.lazada.vn/products/combo-5-cai-banh-bong-lan-tam-giac-3-vi-dai-loan-i2519413867.html")</f>
        <v>https://www.lazada.vn/products/combo-5-cai-banh-bong-lan-tam-giac-3-vi-dai-loan-i2519413867.html</v>
      </c>
      <c r="C665" s="10" t="s">
        <v>665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8">
        <v>5520.0</v>
      </c>
      <c r="B666" s="9" t="str">
        <f>HYPERLINK("https://www.lazada.vn/products/1kg-keo-deo-xoai-mui-keo-xoai-lot-vo-keo-moi-mem-ngon-da-nghien-an-sieu-cuon-banh-keo-an-vat-ngon-i2864980635.html", "https://www.lazada.vn/products/1kg-keo-deo-xoai-mui-keo-xoai-lot-vo-keo-moi-mem-ngon-da-nghien-an-sieu-cuon-banh-keo-an-vat-ngon-i2864980635.html")</f>
        <v>https://www.lazada.vn/products/1kg-keo-deo-xoai-mui-keo-xoai-lot-vo-keo-moi-mem-ngon-da-nghien-an-sieu-cuon-banh-keo-an-vat-ngon-i2864980635.html</v>
      </c>
      <c r="C666" s="10" t="s">
        <v>666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8">
        <v>5521.0</v>
      </c>
      <c r="B667" s="9" t="str">
        <f>HYPERLINK("https://www.lazada.vn/products/chao-tuoi-thit-bo-cay-thi-goi-260g-i2967981420.html", "https://www.lazada.vn/products/chao-tuoi-thit-bo-cay-thi-goi-260g-i2967981420.html")</f>
        <v>https://www.lazada.vn/products/chao-tuoi-thit-bo-cay-thi-goi-260g-i2967981420.html</v>
      </c>
      <c r="C667" s="10" t="s">
        <v>667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8">
        <v>5522.0</v>
      </c>
      <c r="B668" s="9" t="str">
        <f>HYPERLINK("https://www.lazada.vn/products/100gr-keo-ngam-trai-cay-vitamin-c-mat-lanh-co-mix-12-vi-keo-mint-the-mat-thom-mieng-i2864656514.html", "https://www.lazada.vn/products/100gr-keo-ngam-trai-cay-vitamin-c-mat-lanh-co-mix-12-vi-keo-mint-the-mat-thom-mieng-i2864656514.html")</f>
        <v>https://www.lazada.vn/products/100gr-keo-ngam-trai-cay-vitamin-c-mat-lanh-co-mix-12-vi-keo-mint-the-mat-thom-mieng-i2864656514.html</v>
      </c>
      <c r="C668" s="10" t="s">
        <v>668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8">
        <v>5523.0</v>
      </c>
      <c r="B669" s="9" t="str">
        <f>HYPERLINK("https://www.lazada.vn/products/chan-ga-rut-xuong-an-cung-ba-tuyet-2-vi-i2967837904.html", "https://www.lazada.vn/products/chan-ga-rut-xuong-an-cung-ba-tuyet-2-vi-i2967837904.html")</f>
        <v>https://www.lazada.vn/products/chan-ga-rut-xuong-an-cung-ba-tuyet-2-vi-i2967837904.html</v>
      </c>
      <c r="C669" s="10" t="s">
        <v>669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8">
        <v>5524.0</v>
      </c>
      <c r="B670" s="9" t="str">
        <f>HYPERLINK("https://www.lazada.vn/products/hot-500gr-keo-deo-chip-chip-huong-trai-cay-hcm-i2864643069.html", "https://www.lazada.vn/products/hot-500gr-keo-deo-chip-chip-huong-trai-cay-hcm-i2864643069.html")</f>
        <v>https://www.lazada.vn/products/hot-500gr-keo-deo-chip-chip-huong-trai-cay-hcm-i2864643069.html</v>
      </c>
      <c r="C670" s="10" t="s">
        <v>670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8">
        <v>5525.0</v>
      </c>
      <c r="B671" s="9" t="str">
        <f>HYPERLINK("https://www.lazada.vn/products/123lifevn-uc-ga-phile-khong-da-1kg-i2967102295.html", "https://www.lazada.vn/products/123lifevn-uc-ga-phile-khong-da-1kg-i2967102295.html")</f>
        <v>https://www.lazada.vn/products/123lifevn-uc-ga-phile-khong-da-1kg-i2967102295.html</v>
      </c>
      <c r="C671" s="10" t="s">
        <v>671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8">
        <v>5526.0</v>
      </c>
      <c r="B672" s="9" t="str">
        <f>HYPERLINK("https://www.lazada.vn/products/combo-5-goi-keo-mat-cuoi-huong-vi-trai-cay-thom-matxinh-xan-i2863965040.html", "https://www.lazada.vn/products/combo-5-goi-keo-mat-cuoi-huong-vi-trai-cay-thom-matxinh-xan-i2863965040.html")</f>
        <v>https://www.lazada.vn/products/combo-5-goi-keo-mat-cuoi-huong-vi-trai-cay-thom-matxinh-xan-i2863965040.html</v>
      </c>
      <c r="C672" s="10" t="s">
        <v>672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8">
        <v>5527.0</v>
      </c>
      <c r="B673" s="9" t="str">
        <f>HYPERLINK("https://www.lazada.vn/products/hcmthung-mi-hao-hao-vi-tom-chua-ca-75g-x-30-goi-acecook-i2960834124.html", "https://www.lazada.vn/products/hcmthung-mi-hao-hao-vi-tom-chua-ca-75g-x-30-goi-acecook-i2960834124.html")</f>
        <v>https://www.lazada.vn/products/hcmthung-mi-hao-hao-vi-tom-chua-ca-75g-x-30-goi-acecook-i2960834124.html</v>
      </c>
      <c r="C673" s="10" t="s">
        <v>673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8">
        <v>5528.0</v>
      </c>
      <c r="B674" s="9" t="str">
        <f>HYPERLINK("https://www.lazada.vn/products/keo-ca-phe-sua-kopiko-i2862649457.html", "https://www.lazada.vn/products/keo-ca-phe-sua-kopiko-i2862649457.html")</f>
        <v>https://www.lazada.vn/products/keo-ca-phe-sua-kopiko-i2862649457.html</v>
      </c>
      <c r="C674" s="10" t="s">
        <v>674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8">
        <v>5529.0</v>
      </c>
      <c r="B675" s="9" t="str">
        <f>HYPERLINK("https://www.lazada.vn/products/combo-2-hop-nem-chua-hue-x-10-cai-hop-dac-biet-ba-loc-i2960829179.html", "https://www.lazada.vn/products/combo-2-hop-nem-chua-hue-x-10-cai-hop-dac-biet-ba-loc-i2960829179.html")</f>
        <v>https://www.lazada.vn/products/combo-2-hop-nem-chua-hue-x-10-cai-hop-dac-biet-ba-loc-i2960829179.html</v>
      </c>
      <c r="C675" s="10" t="s">
        <v>675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8">
        <v>5530.0</v>
      </c>
      <c r="B676" s="9" t="str">
        <f>HYPERLINK("https://www.lazada.vn/products/buon-si-re-combo-3-bich-keo-me-xung-hue-loai-1-re-i2862427175.html", "https://www.lazada.vn/products/buon-si-re-combo-3-bich-keo-me-xung-hue-loai-1-re-i2862427175.html")</f>
        <v>https://www.lazada.vn/products/buon-si-re-combo-3-bich-keo-me-xung-hue-loai-1-re-i2862427175.html</v>
      </c>
      <c r="C676" s="10" t="s">
        <v>676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8">
        <v>5531.0</v>
      </c>
      <c r="B677" s="9" t="str">
        <f>HYPERLINK("https://www.lazada.vn/products/keo-tao-do-kep-sua-lac-da-takla-mix-hat-dieu-an-sieu-ngon-hop-300g-tbd-i2861943096.html", "https://www.lazada.vn/products/keo-tao-do-kep-sua-lac-da-takla-mix-hat-dieu-an-sieu-ngon-hop-300g-tbd-i2861943096.html")</f>
        <v>https://www.lazada.vn/products/keo-tao-do-kep-sua-lac-da-takla-mix-hat-dieu-an-sieu-ngon-hop-300g-tbd-i2861943096.html</v>
      </c>
      <c r="C677" s="10" t="s">
        <v>677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8">
        <v>5532.0</v>
      </c>
      <c r="B678" s="9" t="str">
        <f>HYPERLINK("https://www.lazada.vn/products/moi-thung-30-goi-mi-hao-hao-big-100gr-tom-chua-ca-acecook-i2960751970.html", "https://www.lazada.vn/products/moi-thung-30-goi-mi-hao-hao-big-100gr-tom-chua-ca-acecook-i2960751970.html")</f>
        <v>https://www.lazada.vn/products/moi-thung-30-goi-mi-hao-hao-big-100gr-tom-chua-ca-acecook-i2960751970.html</v>
      </c>
      <c r="C678" s="10" t="s">
        <v>678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8">
        <v>5533.0</v>
      </c>
      <c r="B679" s="9" t="str">
        <f>HYPERLINK("https://www.lazada.vn/products/coop-online-keo-thao-moc-khong-duong-huong-bac-ha-ricola-alpin-fresh-40g-i2860390132.html", "https://www.lazada.vn/products/coop-online-keo-thao-moc-khong-duong-huong-bac-ha-ricola-alpin-fresh-40g-i2860390132.html")</f>
        <v>https://www.lazada.vn/products/coop-online-keo-thao-moc-khong-duong-huong-bac-ha-ricola-alpin-fresh-40g-i2860390132.html</v>
      </c>
      <c r="C679" s="10" t="s">
        <v>679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8">
        <v>5534.0</v>
      </c>
      <c r="B680" s="9" t="str">
        <f>HYPERLINK("https://www.lazada.vn/products/chao-tuoi-baby-cua-bap-ca-rot-240g-sg-food-i2956138077.html", "https://www.lazada.vn/products/chao-tuoi-baby-cua-bap-ca-rot-240g-sg-food-i2956138077.html")</f>
        <v>https://www.lazada.vn/products/chao-tuoi-baby-cua-bap-ca-rot-240g-sg-food-i2956138077.html</v>
      </c>
      <c r="C680" s="10" t="s">
        <v>680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8">
        <v>5535.0</v>
      </c>
      <c r="B681" s="9" t="str">
        <f>HYPERLINK("https://www.lazada.vn/products/coop-online-keo-orion-quat-mat-ong-goi-84g-i2860379153.html", "https://www.lazada.vn/products/coop-online-keo-orion-quat-mat-ong-goi-84g-i2860379153.html")</f>
        <v>https://www.lazada.vn/products/coop-online-keo-orion-quat-mat-ong-goi-84g-i2860379153.html</v>
      </c>
      <c r="C681" s="10" t="s">
        <v>681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8">
        <v>5536.0</v>
      </c>
      <c r="B682" s="9" t="str">
        <f>HYPERLINK("https://www.lazada.vn/products/chao-tuoi-baby-ech-dau-ngu-240g-sgf-i2955686890.html", "https://www.lazada.vn/products/chao-tuoi-baby-ech-dau-ngu-240g-sgf-i2955686890.html")</f>
        <v>https://www.lazada.vn/products/chao-tuoi-baby-ech-dau-ngu-240g-sgf-i2955686890.html</v>
      </c>
      <c r="C682" s="10" t="s">
        <v>682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8">
        <v>5537.0</v>
      </c>
      <c r="B683" s="9" t="str">
        <f>HYPERLINK("https://www.lazada.vn/products/coop-online-keo-khong-duong-mentos-clean-breath-bac-ha-hop-thiec-35g-i2860362262.html", "https://www.lazada.vn/products/coop-online-keo-khong-duong-mentos-clean-breath-bac-ha-hop-thiec-35g-i2860362262.html")</f>
        <v>https://www.lazada.vn/products/coop-online-keo-khong-duong-mentos-clean-breath-bac-ha-hop-thiec-35g-i2860362262.html</v>
      </c>
      <c r="C683" s="10" t="s">
        <v>683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8">
        <v>5538.0</v>
      </c>
      <c r="B684" s="9" t="str">
        <f>HYPERLINK("https://www.lazada.vn/products/gia-tot-thung-30-goi-mi-kokomi-dai-mot-goi-ruoi-113g-vi-tom-chua-cay-chanh-ot-i2954900029.html", "https://www.lazada.vn/products/gia-tot-thung-30-goi-mi-kokomi-dai-mot-goi-ruoi-113g-vi-tom-chua-cay-chanh-ot-i2954900029.html")</f>
        <v>https://www.lazada.vn/products/gia-tot-thung-30-goi-mi-kokomi-dai-mot-goi-ruoi-113g-vi-tom-chua-cay-chanh-ot-i2954900029.html</v>
      </c>
      <c r="C684" s="10" t="s">
        <v>684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8">
        <v>5539.0</v>
      </c>
      <c r="B685" s="9" t="str">
        <f>HYPERLINK("https://www.lazada.vn/products/coop-online-keo-deo-boom-vi-xoai-lac-muoi-ot-50g-i2860350290.html", "https://www.lazada.vn/products/coop-online-keo-deo-boom-vi-xoai-lac-muoi-ot-50g-i2860350290.html")</f>
        <v>https://www.lazada.vn/products/coop-online-keo-deo-boom-vi-xoai-lac-muoi-ot-50g-i2860350290.html</v>
      </c>
      <c r="C685" s="10" t="s">
        <v>685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8">
        <v>5540.0</v>
      </c>
      <c r="B686" s="9" t="str">
        <f>HYPERLINK("https://www.lazada.vn/products/500gr-mam-dua-gang-da-tron-san-toi-ot-thom-ngon-loai-dac-biet-i2953747969.html", "https://www.lazada.vn/products/500gr-mam-dua-gang-da-tron-san-toi-ot-thom-ngon-loai-dac-biet-i2953747969.html")</f>
        <v>https://www.lazada.vn/products/500gr-mam-dua-gang-da-tron-san-toi-ot-thom-ngon-loai-dac-biet-i2953747969.html</v>
      </c>
      <c r="C686" s="10" t="s">
        <v>686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8">
        <v>5541.0</v>
      </c>
      <c r="B687" s="9" t="str">
        <f>HYPERLINK("https://www.lazada.vn/products/coop-online-keo-deo-alpenliebe-jelly-tim-dao-ngot-ngao-goi-91g-i2860348275.html", "https://www.lazada.vn/products/coop-online-keo-deo-alpenliebe-jelly-tim-dao-ngot-ngao-goi-91g-i2860348275.html")</f>
        <v>https://www.lazada.vn/products/coop-online-keo-deo-alpenliebe-jelly-tim-dao-ngot-ngao-goi-91g-i2860348275.html</v>
      </c>
      <c r="C687" s="10" t="s">
        <v>687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8">
        <v>5542.0</v>
      </c>
      <c r="B688" s="9" t="str">
        <f>HYPERLINK("https://www.lazada.vn/products/mi-tom-chua-cay-kokomi-dai-90g-thung-30-goi-i2948048962.html", "https://www.lazada.vn/products/mi-tom-chua-cay-kokomi-dai-90g-thung-30-goi-i2948048962.html")</f>
        <v>https://www.lazada.vn/products/mi-tom-chua-cay-kokomi-dai-90g-thung-30-goi-i2948048962.html</v>
      </c>
      <c r="C688" s="10" t="s">
        <v>688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8">
        <v>5543.0</v>
      </c>
      <c r="B689" s="9" t="str">
        <f>HYPERLINK("https://www.lazada.vn/products/coop-online-keo-dynamine-vi-oi-hong-nhan-muoi-ot-96g-i2860348273.html", "https://www.lazada.vn/products/coop-online-keo-dynamine-vi-oi-hong-nhan-muoi-ot-96g-i2860348273.html")</f>
        <v>https://www.lazada.vn/products/coop-online-keo-dynamine-vi-oi-hong-nhan-muoi-ot-96g-i2860348273.html</v>
      </c>
      <c r="C689" s="10" t="s">
        <v>689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8">
        <v>5544.0</v>
      </c>
      <c r="B690" s="9" t="str">
        <f>HYPERLINK("https://www.lazada.vn/products/gia-vi-haidilao-com-tu-soi-vi-thit-kho-kieu-dai-loan-com-van-phong-dinh-duong-tien-loi-175g-i2946792506.html", "https://www.lazada.vn/products/gia-vi-haidilao-com-tu-soi-vi-thit-kho-kieu-dai-loan-com-van-phong-dinh-duong-tien-loi-175g-i2946792506.html")</f>
        <v>https://www.lazada.vn/products/gia-vi-haidilao-com-tu-soi-vi-thit-kho-kieu-dai-loan-com-van-phong-dinh-duong-tien-loi-175g-i2946792506.html</v>
      </c>
      <c r="C690" s="10" t="s">
        <v>690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8">
        <v>5545.0</v>
      </c>
      <c r="B691" s="9" t="str">
        <f>HYPERLINK("https://www.lazada.vn/products/coop-online-keo-dynamite-huong-xoai-xanh-nhan-muoi-ot-i2860345317.html", "https://www.lazada.vn/products/coop-online-keo-dynamite-huong-xoai-xanh-nhan-muoi-ot-i2860345317.html")</f>
        <v>https://www.lazada.vn/products/coop-online-keo-dynamite-huong-xoai-xanh-nhan-muoi-ot-i2860345317.html</v>
      </c>
      <c r="C691" s="10" t="s">
        <v>691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8">
        <v>5546.0</v>
      </c>
      <c r="B692" s="9" t="str">
        <f>HYPERLINK("https://www.lazada.vn/products/gia-vi-haidilao-com-tu-soi-vi-ca-ri-ga-com-van-phong-dinh-duong-tien-loi-205g-i2946788503.html", "https://www.lazada.vn/products/gia-vi-haidilao-com-tu-soi-vi-ca-ri-ga-com-van-phong-dinh-duong-tien-loi-205g-i2946788503.html")</f>
        <v>https://www.lazada.vn/products/gia-vi-haidilao-com-tu-soi-vi-ca-ri-ga-com-van-phong-dinh-duong-tien-loi-205g-i2946788503.html</v>
      </c>
      <c r="C692" s="10" t="s">
        <v>692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8">
        <v>5547.0</v>
      </c>
      <c r="B693" s="9" t="str">
        <f>HYPERLINK("https://www.lazada.vn/products/si-5-bich-banh-trang-tron-tac-sate-cay-muoi-nhuyen-banh-moi-mem-deo-i2792472336.html", "https://www.lazada.vn/products/si-5-bich-banh-trang-tron-tac-sate-cay-muoi-nhuyen-banh-moi-mem-deo-i2792472336.html")</f>
        <v>https://www.lazada.vn/products/si-5-bich-banh-trang-tron-tac-sate-cay-muoi-nhuyen-banh-moi-mem-deo-i2792472336.html</v>
      </c>
      <c r="C693" s="10" t="s">
        <v>693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8">
        <v>5548.0</v>
      </c>
      <c r="B694" s="9" t="str">
        <f>HYPERLINK("https://www.lazada.vn/products/bia-vedett-extra-white-belgian-wheat-beer-47-24-chai-33cl-i3020959002.html", "https://www.lazada.vn/products/bia-vedett-extra-white-belgian-wheat-beer-47-24-chai-33cl-i3020959002.html")</f>
        <v>https://www.lazada.vn/products/bia-vedett-extra-white-belgian-wheat-beer-47-24-chai-33cl-i3020959002.html</v>
      </c>
      <c r="C694" s="10" t="s">
        <v>694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8">
        <v>5549.0</v>
      </c>
      <c r="B695" s="9" t="str">
        <f>HYPERLINK("https://www.lazada.vn/products/ruou-toi-den-ly-son-len-men-90-ngay-dalat-cordyceps-i2718694214.html", "https://www.lazada.vn/products/ruou-toi-den-ly-son-len-men-90-ngay-dalat-cordyceps-i2718694214.html")</f>
        <v>https://www.lazada.vn/products/ruou-toi-den-ly-son-len-men-90-ngay-dalat-cordyceps-i2718694214.html</v>
      </c>
      <c r="C695" s="10" t="s">
        <v>695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8">
        <v>5550.0</v>
      </c>
      <c r="B696" s="9" t="str">
        <f>HYPERLINK("https://www.lazada.vn/products/8-goi-mien-phu-huong-tron-vi-ga-xao-chua-ngot-hai-san-cay-acecook-i2944545198.html", "https://www.lazada.vn/products/8-goi-mien-phu-huong-tron-vi-ga-xao-chua-ngot-hai-san-cay-acecook-i2944545198.html")</f>
        <v>https://www.lazada.vn/products/8-goi-mien-phu-huong-tron-vi-ga-xao-chua-ngot-hai-san-cay-acecook-i2944545198.html</v>
      </c>
      <c r="C696" s="10" t="s">
        <v>696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8">
        <v>5551.0</v>
      </c>
      <c r="B697" s="9" t="str">
        <f>HYPERLINK("https://www.lazada.vn/products/lau-tu-soi-panda-250g-i2944384960.html", "https://www.lazada.vn/products/lau-tu-soi-panda-250g-i2944384960.html")</f>
        <v>https://www.lazada.vn/products/lau-tu-soi-panda-250g-i2944384960.html</v>
      </c>
      <c r="C697" s="10" t="s">
        <v>697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8">
        <v>5552.0</v>
      </c>
      <c r="B698" s="9" t="str">
        <f>HYPERLINK("https://www.lazada.vn/products/coop-online-mi-tron-khoai-tay-omachi-xot-spaghetti-90g-i2944134302.html", "https://www.lazada.vn/products/coop-online-mi-tron-khoai-tay-omachi-xot-spaghetti-90g-i2944134302.html")</f>
        <v>https://www.lazada.vn/products/coop-online-mi-tron-khoai-tay-omachi-xot-spaghetti-90g-i2944134302.html</v>
      </c>
      <c r="C698" s="10" t="s">
        <v>698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8">
        <v>5553.0</v>
      </c>
      <c r="B699" s="9" t="str">
        <f>HYPERLINK("https://www.lazada.vn/products/coop-online-mien-vifon-suon-heo-goi-58g-i2944095427.html", "https://www.lazada.vn/products/coop-online-mien-vifon-suon-heo-goi-58g-i2944095427.html")</f>
        <v>https://www.lazada.vn/products/coop-online-mien-vifon-suon-heo-goi-58g-i2944095427.html</v>
      </c>
      <c r="C699" s="10" t="s">
        <v>699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8">
        <v>5554.0</v>
      </c>
      <c r="B700" s="9" t="str">
        <f>HYPERLINK("https://www.lazada.vn/products/coop-online-mi-kokomi-dai-tom-chua-cay-ly-65g-i2944051616.html", "https://www.lazada.vn/products/coop-online-mi-kokomi-dai-tom-chua-cay-ly-65g-i2944051616.html")</f>
        <v>https://www.lazada.vn/products/coop-online-mi-kokomi-dai-tom-chua-cay-ly-65g-i2944051616.html</v>
      </c>
      <c r="C700" s="10" t="s">
        <v>700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8">
        <v>5555.0</v>
      </c>
      <c r="B701" s="9" t="str">
        <f>HYPERLINK("https://www.lazada.vn/products/coop-online-mi-gau-do-ga-soi-pho-goi-63g-i2944045643.html", "https://www.lazada.vn/products/coop-online-mi-gau-do-ga-soi-pho-goi-63g-i2944045643.html")</f>
        <v>https://www.lazada.vn/products/coop-online-mi-gau-do-ga-soi-pho-goi-63g-i2944045643.html</v>
      </c>
      <c r="C701" s="10" t="s">
        <v>701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8">
        <v>5556.0</v>
      </c>
      <c r="B702" s="9" t="str">
        <f>HYPERLINK("https://www.lazada.vn/products/coop-online-mi-dinh-duong-omachi-tom-chua-cay-thai-80g-i2944040652.html", "https://www.lazada.vn/products/coop-online-mi-dinh-duong-omachi-tom-chua-cay-thai-80g-i2944040652.html")</f>
        <v>https://www.lazada.vn/products/coop-online-mi-dinh-duong-omachi-tom-chua-cay-thai-80g-i2944040652.html</v>
      </c>
      <c r="C702" s="10" t="s">
        <v>702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8">
        <v>5557.0</v>
      </c>
      <c r="B703" s="9" t="str">
        <f>HYPERLINK("https://www.lazada.vn/products/thach-ngoc-trai-tran-chau-3q-trang-caramen-trai-cay-olong-bibi-goi-2kg-i2800199392.html", "https://www.lazada.vn/products/thach-ngoc-trai-tran-chau-3q-trang-caramen-trai-cay-olong-bibi-goi-2kg-i2800199392.html")</f>
        <v>https://www.lazada.vn/products/thach-ngoc-trai-tran-chau-3q-trang-caramen-trai-cay-olong-bibi-goi-2kg-i2800199392.html</v>
      </c>
      <c r="C703" s="10" t="s">
        <v>703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8">
        <v>5558.0</v>
      </c>
      <c r="B704" s="9" t="str">
        <f>HYPERLINK("https://www.lazada.vn/products/navrattan-snack-banh-snack-namkeen-navrattan-200gm-i2471121193.html", "https://www.lazada.vn/products/navrattan-snack-banh-snack-namkeen-navrattan-200gm-i2471121193.html")</f>
        <v>https://www.lazada.vn/products/navrattan-snack-banh-snack-namkeen-navrattan-200gm-i2471121193.html</v>
      </c>
      <c r="C704" s="10" t="s">
        <v>704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8">
        <v>5559.0</v>
      </c>
      <c r="B705" s="9" t="str">
        <f>HYPERLINK("https://www.lazada.vn/products/coop-online-mien-vifon-mang-vit-58g-i2944030677.html", "https://www.lazada.vn/products/coop-online-mien-vifon-mang-vit-58g-i2944030677.html")</f>
        <v>https://www.lazada.vn/products/coop-online-mien-vifon-mang-vit-58g-i2944030677.html</v>
      </c>
      <c r="C705" s="10" t="s">
        <v>705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8">
        <v>5560.0</v>
      </c>
      <c r="B706" s="9" t="str">
        <f>HYPERLINK("https://www.lazada.vn/products/sua-beo-nuoc-carnation-thai-lan-i2798800714.html", "https://www.lazada.vn/products/sua-beo-nuoc-carnation-thai-lan-i2798800714.html")</f>
        <v>https://www.lazada.vn/products/sua-beo-nuoc-carnation-thai-lan-i2798800714.html</v>
      </c>
      <c r="C706" s="10" t="s">
        <v>706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8">
        <v>5561.0</v>
      </c>
      <c r="B707" s="9" t="str">
        <f>HYPERLINK("https://www.lazada.vn/products/coop-online-chao-yen-thien-hoang-vi-tom-50g-i2944028702.html", "https://www.lazada.vn/products/coop-online-chao-yen-thien-hoang-vi-tom-50g-i2944028702.html")</f>
        <v>https://www.lazada.vn/products/coop-online-chao-yen-thien-hoang-vi-tom-50g-i2944028702.html</v>
      </c>
      <c r="C707" s="10" t="s">
        <v>707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8">
        <v>5562.0</v>
      </c>
      <c r="B708" s="9" t="str">
        <f>HYPERLINK("https://www.lazada.vn/products/nuoc-khoang-thien-nhien-thach-bich-co-ga-ban-theo-loc-va-thung-i2797139834.html", "https://www.lazada.vn/products/nuoc-khoang-thien-nhien-thach-bich-co-ga-ban-theo-loc-va-thung-i2797139834.html")</f>
        <v>https://www.lazada.vn/products/nuoc-khoang-thien-nhien-thach-bich-co-ga-ban-theo-loc-va-thung-i2797139834.html</v>
      </c>
      <c r="C708" s="10" t="s">
        <v>708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8">
        <v>5563.0</v>
      </c>
      <c r="B709" s="9" t="str">
        <f>HYPERLINK("https://www.lazada.vn/products/coop-online-mi-tron-udon-bo-xot-teriyaki-goi-82g-i2944025662.html", "https://www.lazada.vn/products/coop-online-mi-tron-udon-bo-xot-teriyaki-goi-82g-i2944025662.html")</f>
        <v>https://www.lazada.vn/products/coop-online-mi-tron-udon-bo-xot-teriyaki-goi-82g-i2944025662.html</v>
      </c>
      <c r="C709" s="10" t="s">
        <v>709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8">
        <v>5564.0</v>
      </c>
      <c r="B710" s="9" t="str">
        <f>HYPERLINK("https://www.lazada.vn/products/sinh-to-golden-farm-500ml-dao-dau-chanh-kiwi-viet-quat-20738-i2796150274.html", "https://www.lazada.vn/products/sinh-to-golden-farm-500ml-dao-dau-chanh-kiwi-viet-quat-20738-i2796150274.html")</f>
        <v>https://www.lazada.vn/products/sinh-to-golden-farm-500ml-dao-dau-chanh-kiwi-viet-quat-20738-i2796150274.html</v>
      </c>
      <c r="C710" s="10" t="s">
        <v>710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8">
        <v>5565.0</v>
      </c>
      <c r="B711" s="9" t="str">
        <f>HYPERLINK("https://www.lazada.vn/products/coop-online-mien-phu-huong-vi-ga-53g-i2944020736.html", "https://www.lazada.vn/products/coop-online-mien-phu-huong-vi-ga-53g-i2944020736.html")</f>
        <v>https://www.lazada.vn/products/coop-online-mien-phu-huong-vi-ga-53g-i2944020736.html</v>
      </c>
      <c r="C711" s="10" t="s">
        <v>711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8">
        <v>5566.0</v>
      </c>
      <c r="B712" s="9" t="str">
        <f>HYPERLINK("https://www.lazada.vn/products/siro-trinh-350ml-sam-dua-cam-dau-nho-vai-bac-ha-13330-i2796051750.html", "https://www.lazada.vn/products/siro-trinh-350ml-sam-dua-cam-dau-nho-vai-bac-ha-13330-i2796051750.html")</f>
        <v>https://www.lazada.vn/products/siro-trinh-350ml-sam-dua-cam-dau-nho-vai-bac-ha-13330-i2796051750.html</v>
      </c>
      <c r="C712" s="10" t="s">
        <v>712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8">
        <v>5567.0</v>
      </c>
      <c r="B713" s="9" t="str">
        <f>HYPERLINK("https://www.lazada.vn/products/nuoc-ngot-co-ga-cocacola-plus-lon-320ml-i2673316403.html", "https://www.lazada.vn/products/nuoc-ngot-co-ga-cocacola-plus-lon-320ml-i2673316403.html")</f>
        <v>https://www.lazada.vn/products/nuoc-ngot-co-ga-cocacola-plus-lon-320ml-i2673316403.html</v>
      </c>
      <c r="C713" s="10" t="s">
        <v>713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8">
        <v>5568.0</v>
      </c>
      <c r="B714" s="9" t="str">
        <f>HYPERLINK("https://www.lazada.vn/products/coop-online-pho-bo-vifon-loc-325g-5goi-x-65g-i2943925954.html", "https://www.lazada.vn/products/coop-online-pho-bo-vifon-loc-325g-5goi-x-65g-i2943925954.html")</f>
        <v>https://www.lazada.vn/products/coop-online-pho-bo-vifon-loc-325g-5goi-x-65g-i2943925954.html</v>
      </c>
      <c r="C714" s="10" t="s">
        <v>714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8">
        <v>5569.0</v>
      </c>
      <c r="B715" s="9" t="str">
        <f>HYPERLINK("https://www.lazada.vn/products/banh-bl-hokkaido-dua-9-i2502093760.html", "https://www.lazada.vn/products/banh-bl-hokkaido-dua-9-i2502093760.html")</f>
        <v>https://www.lazada.vn/products/banh-bl-hokkaido-dua-9-i2502093760.html</v>
      </c>
      <c r="C715" s="10" t="s">
        <v>715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8">
        <v>5570.0</v>
      </c>
      <c r="B716" s="9" t="str">
        <f>HYPERLINK("https://www.lazada.vn/products/bot-cam-nutri-c-750gr-06360-i2794351677.html", "https://www.lazada.vn/products/bot-cam-nutri-c-750gr-06360-i2794351677.html")</f>
        <v>https://www.lazada.vn/products/bot-cam-nutri-c-750gr-06360-i2794351677.html</v>
      </c>
      <c r="C716" s="10" t="s">
        <v>716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8">
        <v>5571.0</v>
      </c>
      <c r="B717" s="9" t="str">
        <f>HYPERLINK("https://www.lazada.vn/products/bia-la-chouffe-belgian-blonde-beer-8-thung-24-chai-33cl-i3020948368.html", "https://www.lazada.vn/products/bia-la-chouffe-belgian-blonde-beer-8-thung-24-chai-33cl-i3020948368.html")</f>
        <v>https://www.lazada.vn/products/bia-la-chouffe-belgian-blonde-beer-8-thung-24-chai-33cl-i3020948368.html</v>
      </c>
      <c r="C717" s="10" t="s">
        <v>717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8">
        <v>5572.0</v>
      </c>
      <c r="B718" s="9" t="str">
        <f>HYPERLINK("https://www.lazada.vn/products/banh-gau-socola-thai-lan-loai-1-choco-bear-bisbuits-hop-250gr-i2440009483.html", "https://www.lazada.vn/products/banh-gau-socola-thai-lan-loai-1-choco-bear-bisbuits-hop-250gr-i2440009483.html")</f>
        <v>https://www.lazada.vn/products/banh-gau-socola-thai-lan-loai-1-choco-bear-bisbuits-hop-250gr-i2440009483.html</v>
      </c>
      <c r="C718" s="10" t="s">
        <v>718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8">
        <v>5573.0</v>
      </c>
      <c r="B719" s="9" t="str">
        <f>HYPERLINK("https://www.lazada.vn/products/sua-milo-thung-48-hop-110ml-i2507884041.html", "https://www.lazada.vn/products/sua-milo-thung-48-hop-110ml-i2507884041.html")</f>
        <v>https://www.lazada.vn/products/sua-milo-thung-48-hop-110ml-i2507884041.html</v>
      </c>
      <c r="C719" s="10" t="s">
        <v>719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8">
        <v>5574.0</v>
      </c>
      <c r="B720" s="9" t="str">
        <f>HYPERLINK("https://www.lazada.vn/products/ruou-vang-uc-margheria-tuy-chon-trang-hay-do-i2837609539.html", "https://www.lazada.vn/products/ruou-vang-uc-margheria-tuy-chon-trang-hay-do-i2837609539.html")</f>
        <v>https://www.lazada.vn/products/ruou-vang-uc-margheria-tuy-chon-trang-hay-do-i2837609539.html</v>
      </c>
      <c r="C720" s="10" t="s">
        <v>720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8">
        <v>5575.0</v>
      </c>
      <c r="B721" s="9" t="str">
        <f>HYPERLINK("https://www.lazada.vn/products/banh-quy-bo-thap-cam-lu-hop-540g-13922-tet-2025-i2438439415.html", "https://www.lazada.vn/products/banh-quy-bo-thap-cam-lu-hop-540g-13922-tet-2025-i2438439415.html")</f>
        <v>https://www.lazada.vn/products/banh-quy-bo-thap-cam-lu-hop-540g-13922-tet-2025-i2438439415.html</v>
      </c>
      <c r="C721" s="10" t="s">
        <v>721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8">
        <v>5576.0</v>
      </c>
      <c r="B722" s="9" t="str">
        <f>HYPERLINK("https://www.lazada.vn/products/banh-quy-sweetory-cheese-cookie-vi-pho-mai-cheddar-camembert-60ggoi-nhap-khau-han-quoc-i2428218375.html", "https://www.lazada.vn/products/banh-quy-sweetory-cheese-cookie-vi-pho-mai-cheddar-camembert-60ggoi-nhap-khau-han-quoc-i2428218375.html")</f>
        <v>https://www.lazada.vn/products/banh-quy-sweetory-cheese-cookie-vi-pho-mai-cheddar-camembert-60ggoi-nhap-khau-han-quoc-i2428218375.html</v>
      </c>
      <c r="C722" s="10" t="s">
        <v>722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8">
        <v>5577.0</v>
      </c>
      <c r="B723" s="9" t="str">
        <f>HYPERLINK("https://www.lazada.vn/products/banh-pia-xua-goi-giay-thanh-huong-350gcay-4cai-i2427399972.html", "https://www.lazada.vn/products/banh-pia-xua-goi-giay-thanh-huong-350gcay-4cai-i2427399972.html")</f>
        <v>https://www.lazada.vn/products/banh-pia-xua-goi-giay-thanh-huong-350gcay-4cai-i2427399972.html</v>
      </c>
      <c r="C723" s="10" t="s">
        <v>723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8">
        <v>5578.0</v>
      </c>
      <c r="B724" s="9" t="str">
        <f>HYPERLINK("https://www.lazada.vn/products/banh-quy-thap-cam-ritaz-gold-rong-phung-ca-sen-noi-hop-thiec-cao-cap-255g-malaysia-tet-2025-i2426916697.html", "https://www.lazada.vn/products/banh-quy-thap-cam-ritaz-gold-rong-phung-ca-sen-noi-hop-thiec-cao-cap-255g-malaysia-tet-2025-i2426916697.html")</f>
        <v>https://www.lazada.vn/products/banh-quy-thap-cam-ritaz-gold-rong-phung-ca-sen-noi-hop-thiec-cao-cap-255g-malaysia-tet-2025-i2426916697.html</v>
      </c>
      <c r="C724" s="10" t="s">
        <v>724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8">
        <v>5579.0</v>
      </c>
      <c r="B725" s="9" t="str">
        <f>HYPERLINK("https://www.lazada.vn/products/banh-quy-nhan-mut-dua-slai-olai-cay-128g-i2424932511.html", "https://www.lazada.vn/products/banh-quy-nhan-mut-dua-slai-olai-cay-128g-i2424932511.html")</f>
        <v>https://www.lazada.vn/products/banh-quy-nhan-mut-dua-slai-olai-cay-128g-i2424932511.html</v>
      </c>
      <c r="C725" s="10" t="s">
        <v>725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8">
        <v>5580.0</v>
      </c>
      <c r="B726" s="9" t="str">
        <f>HYPERLINK("https://www.lazada.vn/products/banh-que-pocky-kem-vi-cookies-cream-hop-40g-i2424868438.html", "https://www.lazada.vn/products/banh-que-pocky-kem-vi-cookies-cream-hop-40g-i2424868438.html")</f>
        <v>https://www.lazada.vn/products/banh-que-pocky-kem-vi-cookies-cream-hop-40g-i2424868438.html</v>
      </c>
      <c r="C726" s="10" t="s">
        <v>726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8">
        <v>5581.0</v>
      </c>
      <c r="B727" s="9" t="str">
        <f>HYPERLINK("https://www.lazada.vn/products/500g1kg-banh-gau-nhan-kem-hieu-thien-hong-i2422619348.html", "https://www.lazada.vn/products/500g1kg-banh-gau-nhan-kem-hieu-thien-hong-i2422619348.html")</f>
        <v>https://www.lazada.vn/products/500g1kg-banh-gau-nhan-kem-hieu-thien-hong-i2422619348.html</v>
      </c>
      <c r="C727" s="10" t="s">
        <v>727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8">
        <v>5582.0</v>
      </c>
      <c r="B728" s="9" t="str">
        <f>HYPERLINK("https://www.lazada.vn/products/banh-quy-ito-cookies-original-assort-nhat-ban-450g-i2421202863.html", "https://www.lazada.vn/products/banh-quy-ito-cookies-original-assort-nhat-ban-450g-i2421202863.html")</f>
        <v>https://www.lazada.vn/products/banh-quy-ito-cookies-original-assort-nhat-ban-450g-i2421202863.html</v>
      </c>
      <c r="C728" s="10" t="s">
        <v>728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8">
        <v>5583.0</v>
      </c>
      <c r="B729" s="9" t="str">
        <f>HYPERLINK("https://www.lazada.vn/products/combo-3-hop-tipo-cookies-chocochip-75g-i2418182016.html", "https://www.lazada.vn/products/combo-3-hop-tipo-cookies-chocochip-75g-i2418182016.html")</f>
        <v>https://www.lazada.vn/products/combo-3-hop-tipo-cookies-chocochip-75g-i2418182016.html</v>
      </c>
      <c r="C729" s="10" t="s">
        <v>729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8">
        <v>5584.0</v>
      </c>
      <c r="B730" s="9" t="str">
        <f>HYPERLINK("https://www.lazada.vn/products/vi-sua-date-07062024-pho-mai-tuoi-hochland-dang-kem-200g-i2417872117.html", "https://www.lazada.vn/products/vi-sua-date-07062024-pho-mai-tuoi-hochland-dang-kem-200g-i2417872117.html")</f>
        <v>https://www.lazada.vn/products/vi-sua-date-07062024-pho-mai-tuoi-hochland-dang-kem-200g-i2417872117.html</v>
      </c>
      <c r="C730" s="10" t="s">
        <v>730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8">
        <v>5585.0</v>
      </c>
      <c r="B731" s="9" t="str">
        <f>HYPERLINK("https://www.lazada.vn/products/banh-tipo-cookies-chocochip-75g-i2417041603.html", "https://www.lazada.vn/products/banh-tipo-cookies-chocochip-75g-i2417041603.html")</f>
        <v>https://www.lazada.vn/products/banh-tipo-cookies-chocochip-75g-i2417041603.html</v>
      </c>
      <c r="C731" s="10" t="s">
        <v>731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8">
        <v>5586.0</v>
      </c>
      <c r="B732" s="9" t="str">
        <f>HYPERLINK("https://www.lazada.vn/products/banh-tipo-cookie-butter-75g-i2416997649.html", "https://www.lazada.vn/products/banh-tipo-cookie-butter-75g-i2416997649.html")</f>
        <v>https://www.lazada.vn/products/banh-tipo-cookie-butter-75g-i2416997649.html</v>
      </c>
      <c r="C732" s="10" t="s">
        <v>732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8">
        <v>5587.0</v>
      </c>
      <c r="B733" s="9" t="str">
        <f>HYPERLINK("https://www.lazada.vn/products/levain-cookies-200gr-i2416143953.html", "https://www.lazada.vn/products/levain-cookies-200gr-i2416143953.html")</f>
        <v>https://www.lazada.vn/products/levain-cookies-200gr-i2416143953.html</v>
      </c>
      <c r="C733" s="10" t="s">
        <v>733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8">
        <v>5588.0</v>
      </c>
      <c r="B734" s="9" t="str">
        <f>HYPERLINK("https://www.lazada.vn/products/banh-pia-tan-hung-khong-trung-i2415276240.html", "https://www.lazada.vn/products/banh-pia-tan-hung-khong-trung-i2415276240.html")</f>
        <v>https://www.lazada.vn/products/banh-pia-tan-hung-khong-trung-i2415276240.html</v>
      </c>
      <c r="C734" s="10" t="s">
        <v>734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8">
        <v>5589.0</v>
      </c>
      <c r="B735" s="9" t="str">
        <f>HYPERLINK("https://www.lazada.vn/products/ruou-vang-y-nhan-cay-dan-la-chitarra-18-do-i2837539801.html", "https://www.lazada.vn/products/ruou-vang-y-nhan-cay-dan-la-chitarra-18-do-i2837539801.html")</f>
        <v>https://www.lazada.vn/products/ruou-vang-y-nhan-cay-dan-la-chitarra-18-do-i2837539801.html</v>
      </c>
      <c r="C735" s="10" t="s">
        <v>735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8">
        <v>5590.0</v>
      </c>
      <c r="B736" s="9" t="str">
        <f>HYPERLINK("https://www.lazada.vn/products/banh-phap-challot-trang-an-tui-275g-i2414489874.html", "https://www.lazada.vn/products/banh-phap-challot-trang-an-tui-275g-i2414489874.html")</f>
        <v>https://www.lazada.vn/products/banh-phap-challot-trang-an-tui-275g-i2414489874.html</v>
      </c>
      <c r="C736" s="10" t="s">
        <v>736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8">
        <v>5591.0</v>
      </c>
      <c r="B737" s="9" t="str">
        <f>HYPERLINK("https://www.lazada.vn/products/banh-cream-crackers-roma-malkist-goi-135g-i2405602176.html", "https://www.lazada.vn/products/banh-cream-crackers-roma-malkist-goi-135g-i2405602176.html")</f>
        <v>https://www.lazada.vn/products/banh-cream-crackers-roma-malkist-goi-135g-i2405602176.html</v>
      </c>
      <c r="C737" s="10" t="s">
        <v>737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8">
        <v>5592.0</v>
      </c>
      <c r="B738" s="9" t="str">
        <f>HYPERLINK("https://www.lazada.vn/products/banh-gao-an-du-vi-i2405596162.html", "https://www.lazada.vn/products/banh-gao-an-du-vi-i2405596162.html")</f>
        <v>https://www.lazada.vn/products/banh-gao-an-du-vi-i2405596162.html</v>
      </c>
      <c r="C738" s="10" t="s">
        <v>738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8">
        <v>5593.0</v>
      </c>
      <c r="B739" s="9" t="str">
        <f>HYPERLINK("https://www.lazada.vn/products/banh-quy-ca-man-bo-thom-ngon-tui-120g-300g-500g-i2405093671.html", "https://www.lazada.vn/products/banh-quy-ca-man-bo-thom-ngon-tui-120g-300g-500g-i2405093671.html")</f>
        <v>https://www.lazada.vn/products/banh-quy-ca-man-bo-thom-ngon-tui-120g-300g-500g-i2405093671.html</v>
      </c>
      <c r="C739" s="10" t="s">
        <v>739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8">
        <v>5594.0</v>
      </c>
      <c r="B740" s="9" t="str">
        <f>HYPERLINK("https://www.lazada.vn/products/banh-quy-de-marie-orion-hop-12-goi-384g-i2397003328.html", "https://www.lazada.vn/products/banh-quy-de-marie-orion-hop-12-goi-384g-i2397003328.html")</f>
        <v>https://www.lazada.vn/products/banh-quy-de-marie-orion-hop-12-goi-384g-i2397003328.html</v>
      </c>
      <c r="C740" s="10" t="s">
        <v>740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8">
        <v>5595.0</v>
      </c>
      <c r="B741" s="9" t="str">
        <f>HYPERLINK("https://www.lazada.vn/products/luong-kho-mini-20-vi-dinh-duong-an-vat-bo-sung-nang-luong-i2392050369.html", "https://www.lazada.vn/products/luong-kho-mini-20-vi-dinh-duong-an-vat-bo-sung-nang-luong-i2392050369.html")</f>
        <v>https://www.lazada.vn/products/luong-kho-mini-20-vi-dinh-duong-an-vat-bo-sung-nang-luong-i2392050369.html</v>
      </c>
      <c r="C741" s="10" t="s">
        <v>741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8">
        <v>5596.0</v>
      </c>
      <c r="B742" s="9" t="str">
        <f>HYPERLINK("https://www.lazada.vn/products/1kg-snack-bim-bim-suong-cho-i1689673719.html", "https://www.lazada.vn/products/1kg-snack-bim-bim-suong-cho-i1689673719.html")</f>
        <v>https://www.lazada.vn/products/1kg-snack-bim-bim-suong-cho-i1689673719.html</v>
      </c>
      <c r="C742" s="10" t="s">
        <v>742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8">
        <v>5597.0</v>
      </c>
      <c r="B743" s="9" t="str">
        <f>HYPERLINK("https://www.lazada.vn/products/1-hop-nuoc-dua-vico-fresh-330ml-vi-organic-i2880774310.html", "https://www.lazada.vn/products/1-hop-nuoc-dua-vico-fresh-330ml-vi-organic-i2880774310.html")</f>
        <v>https://www.lazada.vn/products/1-hop-nuoc-dua-vico-fresh-330ml-vi-organic-i2880774310.html</v>
      </c>
      <c r="C743" s="10" t="s">
        <v>743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8">
        <v>5598.0</v>
      </c>
      <c r="B744" s="9" t="str">
        <f>HYPERLINK("https://www.lazada.vn/products/luong-kho-an-kieng-yen-mach-tui-475g-i2391760857.html", "https://www.lazada.vn/products/luong-kho-an-kieng-yen-mach-tui-475g-i2391760857.html")</f>
        <v>https://www.lazada.vn/products/luong-kho-an-kieng-yen-mach-tui-475g-i2391760857.html</v>
      </c>
      <c r="C744" s="10" t="s">
        <v>744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8">
        <v>5599.0</v>
      </c>
      <c r="B745" s="9" t="str">
        <f>HYPERLINK("https://www.lazada.vn/products/soju-han-quoc-good-day-360ml-vi-nho-i2331935723.html", "https://www.lazada.vn/products/soju-han-quoc-good-day-360ml-vi-nho-i2331935723.html")</f>
        <v>https://www.lazada.vn/products/soju-han-quoc-good-day-360ml-vi-nho-i2331935723.html</v>
      </c>
      <c r="C745" s="10" t="s">
        <v>745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8">
        <v>5600.0</v>
      </c>
      <c r="B746" s="9" t="str">
        <f>HYPERLINK("https://www.lazada.vn/products/500g-banh-ngu-coc-dinh-duong-nagano-nut-cake-banh-quy-mix-vi-hat-dieu-dua-hanh-nhan-b128-gia-ngan-food-i2948611897.html", "https://www.lazada.vn/products/500g-banh-ngu-coc-dinh-duong-nagano-nut-cake-banh-quy-mix-vi-hat-dieu-dua-hanh-nhan-b128-gia-ngan-food-i2948611897.html")</f>
        <v>https://www.lazada.vn/products/500g-banh-ngu-coc-dinh-duong-nagano-nut-cake-banh-quy-mix-vi-hat-dieu-dua-hanh-nhan-b128-gia-ngan-food-i2948611897.html</v>
      </c>
      <c r="C746" s="10" t="s">
        <v>746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8">
        <v>5601.0</v>
      </c>
      <c r="B747" s="9" t="str">
        <f>HYPERLINK("https://www.lazada.vn/products/vang-do-y-pirovano-davola-collention-14-750ml-i2833923235.html", "https://www.lazada.vn/products/vang-do-y-pirovano-davola-collention-14-750ml-i2833923235.html")</f>
        <v>https://www.lazada.vn/products/vang-do-y-pirovano-davola-collention-14-750ml-i2833923235.html</v>
      </c>
      <c r="C747" s="10" t="s">
        <v>747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8">
        <v>5602.0</v>
      </c>
      <c r="B748" s="9" t="str">
        <f>HYPERLINK("https://www.lazada.vn/products/si-5-bich-banh-trang-tron-tac-ot-rim-cay-muoi-tom-banh-moi-mem-deo-i2792387594.html", "https://www.lazada.vn/products/si-5-bich-banh-trang-tron-tac-ot-rim-cay-muoi-tom-banh-moi-mem-deo-i2792387594.html")</f>
        <v>https://www.lazada.vn/products/si-5-bich-banh-trang-tron-tac-ot-rim-cay-muoi-tom-banh-moi-mem-deo-i2792387594.html</v>
      </c>
      <c r="C748" s="10" t="s">
        <v>748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8">
        <v>5603.0</v>
      </c>
      <c r="B749" s="9" t="str">
        <f>HYPERLINK("https://www.lazada.vn/products/sinh-to-trai-cay-vina-mut-chai-tach-le-200ml-lam-tra-trai-cay-sua-chua-trai-cay-pana-cotta-i2717937102.html", "https://www.lazada.vn/products/sinh-to-trai-cay-vina-mut-chai-tach-le-200ml-lam-tra-trai-cay-sua-chua-trai-cay-pana-cotta-i2717937102.html")</f>
        <v>https://www.lazada.vn/products/sinh-to-trai-cay-vina-mut-chai-tach-le-200ml-lam-tra-trai-cay-sua-chua-trai-cay-pana-cotta-i2717937102.html</v>
      </c>
      <c r="C749" s="10" t="s">
        <v>749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8">
        <v>5604.0</v>
      </c>
      <c r="B750" s="9" t="str">
        <f>HYPERLINK("https://www.lazada.vn/products/bot-tra-sua-tra-xanh-matcha-milk-kataoka-vi-dam-da-160g-i2792623163.html", "https://www.lazada.vn/products/bot-tra-sua-tra-xanh-matcha-milk-kataoka-vi-dam-da-160g-i2792623163.html")</f>
        <v>https://www.lazada.vn/products/bot-tra-sua-tra-xanh-matcha-milk-kataoka-vi-dam-da-160g-i2792623163.html</v>
      </c>
      <c r="C750" s="10" t="s">
        <v>750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8">
        <v>5605.0</v>
      </c>
      <c r="B751" s="9" t="str">
        <f>HYPERLINK("https://www.lazada.vn/products/banh-bl-hokkaido-9-i2502041868.html", "https://www.lazada.vn/products/banh-bl-hokkaido-9-i2502041868.html")</f>
        <v>https://www.lazada.vn/products/banh-bl-hokkaido-9-i2502041868.html</v>
      </c>
      <c r="C751" s="10" t="s">
        <v>751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8">
        <v>5606.0</v>
      </c>
      <c r="B752" s="9" t="str">
        <f>HYPERLINK("https://www.lazada.vn/products/bia-vedett-extra-ipa-belgian-ipa-beer-55-24-chai-33cl-i3020942216.html", "https://www.lazada.vn/products/bia-vedett-extra-ipa-belgian-ipa-beer-55-24-chai-33cl-i3020942216.html")</f>
        <v>https://www.lazada.vn/products/bia-vedett-extra-ipa-belgian-ipa-beer-55-24-chai-33cl-i3020942216.html</v>
      </c>
      <c r="C752" s="10" t="s">
        <v>752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8">
        <v>5607.0</v>
      </c>
      <c r="B753" s="9" t="str">
        <f>HYPERLINK("https://www.lazada.vn/products/ayam-lon-230g-ca-thu-sot-ca-malaysia-mackerel-in-tomato-sauce-halal-i3058312910.html", "https://www.lazada.vn/products/ayam-lon-230g-ca-thu-sot-ca-malaysia-mackerel-in-tomato-sauce-halal-i3058312910.html")</f>
        <v>https://www.lazada.vn/products/ayam-lon-230g-ca-thu-sot-ca-malaysia-mackerel-in-tomato-sauce-halal-i3058312910.html</v>
      </c>
      <c r="C753" s="10" t="s">
        <v>753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8">
        <v>5608.0</v>
      </c>
      <c r="B754" s="9" t="str">
        <f>HYPERLINK("https://www.lazada.vn/products/combo-12-goi-snack-mi-an-lien-snack-mi-spaghetti-snack-que-cay-snack-dai-cay-khong-lo-do-an-vat-thai-taokaenia-sn06-tknk-beegin-i2778550197.html", "https://www.lazada.vn/products/combo-12-goi-snack-mi-an-lien-snack-mi-spaghetti-snack-que-cay-snack-dai-cay-khong-lo-do-an-vat-thai-taokaenia-sn06-tknk-beegin-i2778550197.html")</f>
        <v>https://www.lazada.vn/products/combo-12-goi-snack-mi-an-lien-snack-mi-spaghetti-snack-que-cay-snack-dai-cay-khong-lo-do-an-vat-thai-taokaenia-sn06-tknk-beegin-i2778550197.html</v>
      </c>
      <c r="C754" s="10" t="s">
        <v>754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8">
        <v>5609.0</v>
      </c>
      <c r="B755" s="9" t="str">
        <f>HYPERLINK("https://www.lazada.vn/products/vang-do-enchanted-red-wine-13-750ml-i2833890387.html", "https://www.lazada.vn/products/vang-do-enchanted-red-wine-13-750ml-i2833890387.html")</f>
        <v>https://www.lazada.vn/products/vang-do-enchanted-red-wine-13-750ml-i2833890387.html</v>
      </c>
      <c r="C755" s="10" t="s">
        <v>755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8">
        <v>5610.0</v>
      </c>
      <c r="B756" s="9" t="str">
        <f>HYPERLINK("https://www.lazada.vn/products/thung-24-lon-nuoc-xa-xi-chuong-duong-330ml-i2687599958.html", "https://www.lazada.vn/products/thung-24-lon-nuoc-xa-xi-chuong-duong-330ml-i2687599958.html")</f>
        <v>https://www.lazada.vn/products/thung-24-lon-nuoc-xa-xi-chuong-duong-330ml-i2687599958.html</v>
      </c>
      <c r="C756" s="10" t="s">
        <v>756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8">
        <v>5611.0</v>
      </c>
      <c r="B757" s="9" t="str">
        <f>HYPERLINK("https://www.lazada.vn/products/nuoc-ngot-co-ga-cocacola-zero-khong-duong-chai-390ml-i2673308374.html", "https://www.lazada.vn/products/nuoc-ngot-co-ga-cocacola-zero-khong-duong-chai-390ml-i2673308374.html")</f>
        <v>https://www.lazada.vn/products/nuoc-ngot-co-ga-cocacola-zero-khong-duong-chai-390ml-i2673308374.html</v>
      </c>
      <c r="C757" s="10" t="s">
        <v>757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8">
        <v>5612.0</v>
      </c>
      <c r="B758" s="9" t="str">
        <f>HYPERLINK("https://www.lazada.vn/products/sinh-to-trai-cay-vina-mut-chai-tach-le-200ml-lam-tra-trai-cay-sua-chua-trai-cay-pana-cotta-i2717908311.html", "https://www.lazada.vn/products/sinh-to-trai-cay-vina-mut-chai-tach-le-200ml-lam-tra-trai-cay-sua-chua-trai-cay-pana-cotta-i2717908311.html")</f>
        <v>https://www.lazada.vn/products/sinh-to-trai-cay-vina-mut-chai-tach-le-200ml-lam-tra-trai-cay-sua-chua-trai-cay-pana-cotta-i2717908311.html</v>
      </c>
      <c r="C758" s="10" t="s">
        <v>758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8">
        <v>5613.0</v>
      </c>
      <c r="B759" s="9" t="str">
        <f>HYPERLINK("https://www.lazada.vn/products/bia-duvel-666-belgian-blond-666-thung-12-chai-33cl-i3020896475.html", "https://www.lazada.vn/products/bia-duvel-666-belgian-blond-666-thung-12-chai-33cl-i3020896475.html")</f>
        <v>https://www.lazada.vn/products/bia-duvel-666-belgian-blond-666-thung-12-chai-33cl-i3020896475.html</v>
      </c>
      <c r="C759" s="10" t="s">
        <v>759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8">
        <v>5614.0</v>
      </c>
      <c r="B760" s="9" t="str">
        <f>HYPERLINK("https://www.lazada.vn/products/mien-tron250gr-goi-lon-mien-khoai-mo-hoai-son-dai-ngon-i2941216188.html", "https://www.lazada.vn/products/mien-tron250gr-goi-lon-mien-khoai-mo-hoai-son-dai-ngon-i2941216188.html")</f>
        <v>https://www.lazada.vn/products/mien-tron250gr-goi-lon-mien-khoai-mo-hoai-son-dai-ngon-i2941216188.html</v>
      </c>
      <c r="C760" s="10" t="s">
        <v>760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8">
        <v>5615.0</v>
      </c>
      <c r="B761" s="9" t="str">
        <f>HYPERLINK("https://www.lazada.vn/products/sua-milo-110ml-loc-4-hop-i2507879084.html", "https://www.lazada.vn/products/sua-milo-110ml-loc-4-hop-i2507879084.html")</f>
        <v>https://www.lazada.vn/products/sua-milo-110ml-loc-4-hop-i2507879084.html</v>
      </c>
      <c r="C761" s="10" t="s">
        <v>761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8">
        <v>5616.0</v>
      </c>
      <c r="B762" s="9" t="str">
        <f>HYPERLINK("https://www.lazada.vn/products/bia-duvel-tripel-hop-belgian-ipa-95-24-chai-33cl-i3020587567.html", "https://www.lazada.vn/products/bia-duvel-tripel-hop-belgian-ipa-95-24-chai-33cl-i3020587567.html")</f>
        <v>https://www.lazada.vn/products/bia-duvel-tripel-hop-belgian-ipa-95-24-chai-33cl-i3020587567.html</v>
      </c>
      <c r="C762" s="10" t="s">
        <v>762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8">
        <v>5617.0</v>
      </c>
      <c r="B763" s="9" t="str">
        <f>HYPERLINK("https://www.lazada.vn/products/bia-moc-pacific-pale-ale-52-ibu-25-lon-330ml-thung-24-i3013242090.html", "https://www.lazada.vn/products/bia-moc-pacific-pale-ale-52-ibu-25-lon-330ml-thung-24-i3013242090.html")</f>
        <v>https://www.lazada.vn/products/bia-moc-pacific-pale-ale-52-ibu-25-lon-330ml-thung-24-i3013242090.html</v>
      </c>
      <c r="C763" s="10" t="s">
        <v>763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8">
        <v>5618.0</v>
      </c>
      <c r="B764" s="9" t="str">
        <f>HYPERLINK("https://www.lazada.vn/products/hang-equate-my-gioi-thieu-san-pham-siro-ho-cam-cho-tre-tu-12-tuoi-adult-cough-chest-congestion-dm-237-ml-i2714818756.html", "https://www.lazada.vn/products/hang-equate-my-gioi-thieu-san-pham-siro-ho-cam-cho-tre-tu-12-tuoi-adult-cough-chest-congestion-dm-237-ml-i2714818756.html")</f>
        <v>https://www.lazada.vn/products/hang-equate-my-gioi-thieu-san-pham-siro-ho-cam-cho-tre-tu-12-tuoi-adult-cough-chest-congestion-dm-237-ml-i2714818756.html</v>
      </c>
      <c r="C764" s="10" t="s">
        <v>764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8">
        <v>5619.0</v>
      </c>
      <c r="B765" s="9" t="str">
        <f>HYPERLINK("https://www.lazada.vn/products/bot-thach-chanh-lucky-vn-star-aiyu-10x-nguyen-lieu-tra-sua-thom-deo-1kg-i2714713184.html", "https://www.lazada.vn/products/bot-thach-chanh-lucky-vn-star-aiyu-10x-nguyen-lieu-tra-sua-thom-deo-1kg-i2714713184.html")</f>
        <v>https://www.lazada.vn/products/bot-thach-chanh-lucky-vn-star-aiyu-10x-nguyen-lieu-tra-sua-thom-deo-1kg-i2714713184.html</v>
      </c>
      <c r="C765" s="10" t="s">
        <v>765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8">
        <v>5620.0</v>
      </c>
      <c r="B766" s="9" t="str">
        <f>HYPERLINK("https://www.lazada.vn/products/1kg-bot-thach-suong-sao-lucky-vn-star-18x-bot-thach-tien-thao-nguyen-lieu-topping-tra-sua-i2714614837.html", "https://www.lazada.vn/products/1kg-bot-thach-suong-sao-lucky-vn-star-18x-bot-thach-tien-thao-nguyen-lieu-topping-tra-sua-i2714614837.html")</f>
        <v>https://www.lazada.vn/products/1kg-bot-thach-suong-sao-lucky-vn-star-18x-bot-thach-tien-thao-nguyen-lieu-topping-tra-sua-i2714614837.html</v>
      </c>
      <c r="C766" s="10" t="s">
        <v>766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8">
        <v>5621.0</v>
      </c>
      <c r="B767" s="9" t="str">
        <f>HYPERLINK("https://www.lazada.vn/products/2kg-thach-tran-chau-trang-3q-nguyen-vi-wonderful-topping-tra-sua-dai-gon-lucky-vn-star-i2714597929.html", "https://www.lazada.vn/products/2kg-thach-tran-chau-trang-3q-nguyen-vi-wonderful-topping-tra-sua-dai-gon-lucky-vn-star-i2714597929.html")</f>
        <v>https://www.lazada.vn/products/2kg-thach-tran-chau-trang-3q-nguyen-vi-wonderful-topping-tra-sua-dai-gon-lucky-vn-star-i2714597929.html</v>
      </c>
      <c r="C767" s="10" t="s">
        <v>767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8">
        <v>5622.0</v>
      </c>
      <c r="B768" s="9" t="str">
        <f>HYPERLINK("https://www.lazada.vn/products/bristol-hop-do-340g-thit-ham-xat-nho-my-chopped-ham-i3058144522.html", "https://www.lazada.vn/products/bristol-hop-do-340g-thit-ham-xat-nho-my-chopped-ham-i3058144522.html")</f>
        <v>https://www.lazada.vn/products/bristol-hop-do-340g-thit-ham-xat-nho-my-chopped-ham-i3058144522.html</v>
      </c>
      <c r="C768" s="10" t="s">
        <v>768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8">
        <v>5623.0</v>
      </c>
      <c r="B769" s="9" t="str">
        <f>HYPERLINK("https://www.lazada.vn/products/new-loc-24-chai-nuoc-tinh-khiet-dasani-350ml-hang-chinh-hang-i2880769226.html", "https://www.lazada.vn/products/new-loc-24-chai-nuoc-tinh-khiet-dasani-350ml-hang-chinh-hang-i2880769226.html")</f>
        <v>https://www.lazada.vn/products/new-loc-24-chai-nuoc-tinh-khiet-dasani-350ml-hang-chinh-hang-i2880769226.html</v>
      </c>
      <c r="C769" s="10" t="s">
        <v>769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8">
        <v>5624.0</v>
      </c>
      <c r="B770" s="9" t="str">
        <f>HYPERLINK("https://www.lazada.vn/products/soju-han-quoc-korice-360ml-vi-man-i2331934602.html", "https://www.lazada.vn/products/soju-han-quoc-korice-360ml-vi-man-i2331934602.html")</f>
        <v>https://www.lazada.vn/products/soju-han-quoc-korice-360ml-vi-man-i2331934602.html</v>
      </c>
      <c r="C770" s="10" t="s">
        <v>770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8">
        <v>5625.0</v>
      </c>
      <c r="B771" s="9" t="str">
        <f>HYPERLINK("https://www.lazada.vn/products/set-nguyen-lieu-nau-tra-sua-gao-rang-han-quoc-thom-ngon-chuan-vi-de-nauset-15-ly-carrott-house-i2792387852.html", "https://www.lazada.vn/products/set-nguyen-lieu-nau-tra-sua-gao-rang-han-quoc-thom-ngon-chuan-vi-de-nauset-15-ly-carrott-house-i2792387852.html")</f>
        <v>https://www.lazada.vn/products/set-nguyen-lieu-nau-tra-sua-gao-rang-han-quoc-thom-ngon-chuan-vi-de-nauset-15-ly-carrott-house-i2792387852.html</v>
      </c>
      <c r="C771" s="10" t="s">
        <v>771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8">
        <v>5626.0</v>
      </c>
      <c r="B772" s="9" t="str">
        <f>HYPERLINK("https://www.lazada.vn/products/500g-banh-ngu-coc-dinh-duong-nagano-nut-cake-banh-quy-mix-vi-hat-dieu-dua-hanh-nhan-b128-chuyen-si-tpnk-i2948589912.html", "https://www.lazada.vn/products/500g-banh-ngu-coc-dinh-duong-nagano-nut-cake-banh-quy-mix-vi-hat-dieu-dua-hanh-nhan-b128-chuyen-si-tpnk-i2948589912.html")</f>
        <v>https://www.lazada.vn/products/500g-banh-ngu-coc-dinh-duong-nagano-nut-cake-banh-quy-mix-vi-hat-dieu-dua-hanh-nhan-b128-chuyen-si-tpnk-i2948589912.html</v>
      </c>
      <c r="C772" s="10" t="s">
        <v>772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8">
        <v>5627.0</v>
      </c>
      <c r="B773" s="9" t="str">
        <f>HYPERLINK("https://www.lazada.vn/products/tran-chau-hoang-kim-baby-tran-chau-den-baby-krubo-tui-500g1kg-thom-ngon-kem-cong-thuc-i2713740128.html", "https://www.lazada.vn/products/tran-chau-hoang-kim-baby-tran-chau-den-baby-krubo-tui-500g1kg-thom-ngon-kem-cong-thuc-i2713740128.html")</f>
        <v>https://www.lazada.vn/products/tran-chau-hoang-kim-baby-tran-chau-den-baby-krubo-tui-500g1kg-thom-ngon-kem-cong-thuc-i2713740128.html</v>
      </c>
      <c r="C773" s="10" t="s">
        <v>773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8">
        <v>5628.0</v>
      </c>
      <c r="B774" s="9" t="str">
        <f>HYPERLINK("https://www.lazada.vn/products/bia-hoa-piery-red-ale-68-ibu-23-lon-330ml-thung-24-lon-i3013237116.html", "https://www.lazada.vn/products/bia-hoa-piery-red-ale-68-ibu-23-lon-330ml-thung-24-lon-i3013237116.html")</f>
        <v>https://www.lazada.vn/products/bia-hoa-piery-red-ale-68-ibu-23-lon-330ml-thung-24-lon-i3013237116.html</v>
      </c>
      <c r="C774" s="10" t="s">
        <v>774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8">
        <v>5629.0</v>
      </c>
      <c r="B775" s="9" t="str">
        <f>HYPERLINK("https://www.lazada.vn/products/1kg-banh-ngu-coc-dinh-duong-nagano-nut-cake-banh-quy-mix-vi-hat-dieu-dua-hanh-nhan-b128-gia-ngan-food-i2948555403.html", "https://www.lazada.vn/products/1kg-banh-ngu-coc-dinh-duong-nagano-nut-cake-banh-quy-mix-vi-hat-dieu-dua-hanh-nhan-b128-gia-ngan-food-i2948555403.html")</f>
        <v>https://www.lazada.vn/products/1kg-banh-ngu-coc-dinh-duong-nagano-nut-cake-banh-quy-mix-vi-hat-dieu-dua-hanh-nhan-b128-gia-ngan-food-i2948555403.html</v>
      </c>
      <c r="C775" s="10" t="s">
        <v>775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8">
        <v>5630.0</v>
      </c>
      <c r="B776" s="9" t="str">
        <f>HYPERLINK("https://www.lazada.vn/products/gia-si-bot-matcha-sua-gong-cha-dai-loan-1kg-i2791586307.html", "https://www.lazada.vn/products/gia-si-bot-matcha-sua-gong-cha-dai-loan-1kg-i2791586307.html")</f>
        <v>https://www.lazada.vn/products/gia-si-bot-matcha-sua-gong-cha-dai-loan-1kg-i2791586307.html</v>
      </c>
      <c r="C776" s="10" t="s">
        <v>776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8">
        <v>5631.0</v>
      </c>
      <c r="B777" s="9" t="str">
        <f>HYPERLINK("https://www.lazada.vn/products/siro-chanh-huong-bitter-bickfords-750ml-hang-uc-nhap-khau-i2711515564.html", "https://www.lazada.vn/products/siro-chanh-huong-bitter-bickfords-750ml-hang-uc-nhap-khau-i2711515564.html")</f>
        <v>https://www.lazada.vn/products/siro-chanh-huong-bitter-bickfords-750ml-hang-uc-nhap-khau-i2711515564.html</v>
      </c>
      <c r="C777" s="10" t="s">
        <v>777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8">
        <v>5632.0</v>
      </c>
      <c r="B778" s="9" t="str">
        <f>HYPERLINK("https://www.lazada.vn/products/gas-mosa-kem-tuoi-soda-10-vien-i2791527705.html", "https://www.lazada.vn/products/gas-mosa-kem-tuoi-soda-10-vien-i2791527705.html")</f>
        <v>https://www.lazada.vn/products/gas-mosa-kem-tuoi-soda-10-vien-i2791527705.html</v>
      </c>
      <c r="C778" s="10" t="s">
        <v>778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8">
        <v>5633.0</v>
      </c>
      <c r="B779" s="9" t="str">
        <f>HYPERLINK("https://www.lazada.vn/products/1kg-banh-ngu-coc-dinh-duong-nagano-nut-cake-banh-quy-mix-vi-hat-dieu-dua-hanh-nhan-b128-store-gia-ngan-i2948551379.html", "https://www.lazada.vn/products/1kg-banh-ngu-coc-dinh-duong-nagano-nut-cake-banh-quy-mix-vi-hat-dieu-dua-hanh-nhan-b128-store-gia-ngan-i2948551379.html")</f>
        <v>https://www.lazada.vn/products/1kg-banh-ngu-coc-dinh-duong-nagano-nut-cake-banh-quy-mix-vi-hat-dieu-dua-hanh-nhan-b128-store-gia-ngan-i2948551379.html</v>
      </c>
      <c r="C779" s="10" t="s">
        <v>779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8">
        <v>5634.0</v>
      </c>
      <c r="B780" s="9" t="str">
        <f>HYPERLINK("https://www.lazada.vn/products/siro-syrup-hestia-chom-chom-750ml-i2709423530.html", "https://www.lazada.vn/products/siro-syrup-hestia-chom-chom-750ml-i2709423530.html")</f>
        <v>https://www.lazada.vn/products/siro-syrup-hestia-chom-chom-750ml-i2709423530.html</v>
      </c>
      <c r="C780" s="10" t="s">
        <v>780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8">
        <v>5635.0</v>
      </c>
      <c r="B781" s="9" t="str">
        <f>HYPERLINK("https://www.lazada.vn/products/bo-ly-whisky-xi-ga-2-12oz-ly-old-fashioned-co-gia-do-ben-ly-pha-le-cho-tail-scotch-bourbon-qua-tang-cho-nam-gioi-i3036828079.html", "https://www.lazada.vn/products/bo-ly-whisky-xi-ga-2-12oz-ly-old-fashioned-co-gia-do-ben-ly-pha-le-cho-tail-scotch-bourbon-qua-tang-cho-nam-gioi-i3036828079.html")</f>
        <v>https://www.lazada.vn/products/bo-ly-whisky-xi-ga-2-12oz-ly-old-fashioned-co-gia-do-ben-ly-pha-le-cho-tail-scotch-bourbon-qua-tang-cho-nam-gioi-i3036828079.html</v>
      </c>
      <c r="C781" s="10" t="s">
        <v>781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8">
        <v>5636.0</v>
      </c>
      <c r="B782" s="9" t="str">
        <f>HYPERLINK("https://www.lazada.vn/products/mut-tao-thai-khong-hat-ntfood-hu-400gr-nhat-tin-food-i3058013646.html", "https://www.lazada.vn/products/mut-tao-thai-khong-hat-ntfood-hu-400gr-nhat-tin-food-i3058013646.html")</f>
        <v>https://www.lazada.vn/products/mut-tao-thai-khong-hat-ntfood-hu-400gr-nhat-tin-food-i3058013646.html</v>
      </c>
      <c r="C782" s="10" t="s">
        <v>782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8">
        <v>5637.0</v>
      </c>
      <c r="B783" s="9" t="str">
        <f>HYPERLINK("https://www.lazada.vn/products/banh-gao-trang-gao-luc-gao-matcha-mix-hat-1-goi-300gr-50-cai-gion-ngon-i2948538728.html", "https://www.lazada.vn/products/banh-gao-trang-gao-luc-gao-matcha-mix-hat-1-goi-300gr-50-cai-gion-ngon-i2948538728.html")</f>
        <v>https://www.lazada.vn/products/banh-gao-trang-gao-luc-gao-matcha-mix-hat-1-goi-300gr-50-cai-gion-ngon-i2948538728.html</v>
      </c>
      <c r="C783" s="10" t="s">
        <v>783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8">
        <v>5638.0</v>
      </c>
      <c r="B784" s="9" t="str">
        <f>HYPERLINK("https://www.lazada.vn/products/gas-isi-kem-tuoi-soda-10-vien-i2791475933.html", "https://www.lazada.vn/products/gas-isi-kem-tuoi-soda-10-vien-i2791475933.html")</f>
        <v>https://www.lazada.vn/products/gas-isi-kem-tuoi-soda-10-vien-i2791475933.html</v>
      </c>
      <c r="C784" s="10" t="s">
        <v>784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8">
        <v>5639.0</v>
      </c>
      <c r="B785" s="9" t="str">
        <f>HYPERLINK("https://www.lazada.vn/products/bia-tho-black-forest-ale-49-ibu-16-lon-330ml-thung-24-lon-i3013179296.html", "https://www.lazada.vn/products/bia-tho-black-forest-ale-49-ibu-16-lon-330ml-thung-24-lon-i3013179296.html")</f>
        <v>https://www.lazada.vn/products/bia-tho-black-forest-ale-49-ibu-16-lon-330ml-thung-24-lon-i3013179296.html</v>
      </c>
      <c r="C785" s="10" t="s">
        <v>785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8">
        <v>5640.0</v>
      </c>
      <c r="B786" s="9" t="str">
        <f>HYPERLINK("https://www.lazada.vn/products/thung-5kg-thach-rau-cau-trai-cay-long-hai-i2707633508.html", "https://www.lazada.vn/products/thung-5kg-thach-rau-cau-trai-cay-long-hai-i2707633508.html")</f>
        <v>https://www.lazada.vn/products/thung-5kg-thach-rau-cau-trai-cay-long-hai-i2707633508.html</v>
      </c>
      <c r="C786" s="10" t="s">
        <v>786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8">
        <v>5641.0</v>
      </c>
      <c r="B787" s="9" t="str">
        <f>HYPERLINK("https://www.lazada.vn/products/gia-tot-bot-matcha-sua-gong-cha-dai-loan-1kg-i2791458873.html", "https://www.lazada.vn/products/gia-tot-bot-matcha-sua-gong-cha-dai-loan-1kg-i2791458873.html")</f>
        <v>https://www.lazada.vn/products/gia-tot-bot-matcha-sua-gong-cha-dai-loan-1kg-i2791458873.html</v>
      </c>
      <c r="C787" s="10" t="s">
        <v>787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8">
        <v>5642.0</v>
      </c>
      <c r="B788" s="9" t="str">
        <f>HYPERLINK("https://www.lazada.vn/products/bia-kim-weizen-46-ibu-16-lon-330ml-thung-24-lon-i3013177250.html", "https://www.lazada.vn/products/bia-kim-weizen-46-ibu-16-lon-330ml-thung-24-lon-i3013177250.html")</f>
        <v>https://www.lazada.vn/products/bia-kim-weizen-46-ibu-16-lon-330ml-thung-24-lon-i3013177250.html</v>
      </c>
      <c r="C788" s="10" t="s">
        <v>788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8">
        <v>5643.0</v>
      </c>
      <c r="B789" s="9" t="str">
        <f>HYPERLINK("https://www.lazada.vn/products/500g-banh-ngu-coc-dinh-duong-nagano-nut-cake-banh-quy-mix-vi-hat-dieu-dua-hanh-nhan-b128-store-gia-ngan-i2948535422.html", "https://www.lazada.vn/products/500g-banh-ngu-coc-dinh-duong-nagano-nut-cake-banh-quy-mix-vi-hat-dieu-dua-hanh-nhan-b128-store-gia-ngan-i2948535422.html")</f>
        <v>https://www.lazada.vn/products/500g-banh-ngu-coc-dinh-duong-nagano-nut-cake-banh-quy-mix-vi-hat-dieu-dua-hanh-nhan-b128-store-gia-ngan-i2948535422.html</v>
      </c>
      <c r="C789" s="10" t="s">
        <v>789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8">
        <v>5644.0</v>
      </c>
      <c r="B790" s="9" t="str">
        <f>HYPERLINK("https://www.lazada.vn/products/thach-rau-cau-dou-xian-du-hinh-25kg-i2789600579.html", "https://www.lazada.vn/products/thach-rau-cau-dou-xian-du-hinh-25kg-i2789600579.html")</f>
        <v>https://www.lazada.vn/products/thach-rau-cau-dou-xian-du-hinh-25kg-i2789600579.html</v>
      </c>
      <c r="C790" s="10" t="s">
        <v>790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8">
        <v>5645.0</v>
      </c>
      <c r="B791" s="9" t="str">
        <f>HYPERLINK("https://www.lazada.vn/products/20h-243-293-tang-ngay-tra-olong-combo-3-goi-banh-quy-yen-mach-quaker-250g-socola-hanh-nhan-mat-ong-nho-kho-i2947237551.html", "https://www.lazada.vn/products/20h-243-293-tang-ngay-tra-olong-combo-3-goi-banh-quy-yen-mach-quaker-250g-socola-hanh-nhan-mat-ong-nho-kho-i2947237551.html")</f>
        <v>https://www.lazada.vn/products/20h-243-293-tang-ngay-tra-olong-combo-3-goi-banh-quy-yen-mach-quaker-250g-socola-hanh-nhan-mat-ong-nho-kho-i2947237551.html</v>
      </c>
      <c r="C791" s="10" t="s">
        <v>791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8">
        <v>5646.0</v>
      </c>
      <c r="B792" s="9" t="str">
        <f>HYPERLINK("https://www.lazada.vn/products/bia-chu-teu-den-schwarzbier-52-ibu-24-lon-330ml-thung-24-lon-i3013137502.html", "https://www.lazada.vn/products/bia-chu-teu-den-schwarzbier-52-ibu-24-lon-330ml-thung-24-lon-i3013137502.html")</f>
        <v>https://www.lazada.vn/products/bia-chu-teu-den-schwarzbier-52-ibu-24-lon-330ml-thung-24-lon-i3013137502.html</v>
      </c>
      <c r="C792" s="10" t="s">
        <v>792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8">
        <v>5647.0</v>
      </c>
      <c r="B793" s="9" t="str">
        <f>HYPERLINK("https://www.lazada.vn/products/dac-rim-mang-cau-hu-1kg-an-vat-denfood-i3058012389.html", "https://www.lazada.vn/products/dac-rim-mang-cau-hu-1kg-an-vat-denfood-i3058012389.html")</f>
        <v>https://www.lazada.vn/products/dac-rim-mang-cau-hu-1kg-an-vat-denfood-i3058012389.html</v>
      </c>
      <c r="C793" s="10" t="s">
        <v>793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8">
        <v>5648.0</v>
      </c>
      <c r="B794" s="9" t="str">
        <f>HYPERLINK("https://www.lazada.vn/products/tra-sua-pho-mai-kem-trung-tu-pha-kem-tran-chau-thom-ngon-tron-vi-6-set-hop-312g-i2782125929.html", "https://www.lazada.vn/products/tra-sua-pho-mai-kem-trung-tu-pha-kem-tran-chau-thom-ngon-tron-vi-6-set-hop-312g-i2782125929.html")</f>
        <v>https://www.lazada.vn/products/tra-sua-pho-mai-kem-trung-tu-pha-kem-tran-chau-thom-ngon-tron-vi-6-set-hop-312g-i2782125929.html</v>
      </c>
      <c r="C794" s="10" t="s">
        <v>794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8">
        <v>5649.0</v>
      </c>
      <c r="B795" s="9" t="str">
        <f>HYPERLINK("https://www.lazada.vn/products/20h-243-293-tang-ngay-tra-olong-combo-quaker-1-hop-thiec-banh-quy-yen-mach-quaker-400g-3-vi-1-goi-yen-mach-an-lien-quaker-1000g-i2947168964.html", "https://www.lazada.vn/products/20h-243-293-tang-ngay-tra-olong-combo-quaker-1-hop-thiec-banh-quy-yen-mach-quaker-400g-3-vi-1-goi-yen-mach-an-lien-quaker-1000g-i2947168964.html")</f>
        <v>https://www.lazada.vn/products/20h-243-293-tang-ngay-tra-olong-combo-quaker-1-hop-thiec-banh-quy-yen-mach-quaker-400g-3-vi-1-goi-yen-mach-an-lien-quaker-1000g-i2947168964.html</v>
      </c>
      <c r="C795" s="10" t="s">
        <v>795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8">
        <v>5650.0</v>
      </c>
      <c r="B796" s="9" t="str">
        <f>HYPERLINK("https://www.lazada.vn/products/bia-chu-teu-vang-lager-48-ibu-20-lon-330ml-thung-24-lon-i3013087605.html", "https://www.lazada.vn/products/bia-chu-teu-vang-lager-48-ibu-20-lon-330ml-thung-24-lon-i3013087605.html")</f>
        <v>https://www.lazada.vn/products/bia-chu-teu-vang-lager-48-ibu-20-lon-330ml-thung-24-lon-i3013087605.html</v>
      </c>
      <c r="C796" s="10" t="s">
        <v>796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8">
        <v>5651.0</v>
      </c>
      <c r="B797" s="9" t="str">
        <f>HYPERLINK("https://www.lazada.vn/products/gia-tot-nuoc-cot-chanh-thai-songheng-700ml-i2780455056.html", "https://www.lazada.vn/products/gia-tot-nuoc-cot-chanh-thai-songheng-700ml-i2780455056.html")</f>
        <v>https://www.lazada.vn/products/gia-tot-nuoc-cot-chanh-thai-songheng-700ml-i2780455056.html</v>
      </c>
      <c r="C797" s="10" t="s">
        <v>797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8">
        <v>5652.0</v>
      </c>
      <c r="B798" s="9" t="str">
        <f>HYPERLINK("https://www.lazada.vn/products/tui-300g-banh-quy-bong-tuyet-nhan-kem-socolakem-sua-sieu-ngon-sieu-xinh-i2945078239.html", "https://www.lazada.vn/products/tui-300g-banh-quy-bong-tuyet-nhan-kem-socolakem-sua-sieu-ngon-sieu-xinh-i2945078239.html")</f>
        <v>https://www.lazada.vn/products/tui-300g-banh-quy-bong-tuyet-nhan-kem-socolakem-sua-sieu-ngon-sieu-xinh-i2945078239.html</v>
      </c>
      <c r="C798" s="10" t="s">
        <v>798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8">
        <v>5653.0</v>
      </c>
      <c r="B799" s="9" t="str">
        <f>HYPERLINK("https://www.lazada.vn/products/bia-thuy-vierge-blonde-46-ibu-20-lon-330ml-thung-24-lon-i3012948859.html", "https://www.lazada.vn/products/bia-thuy-vierge-blonde-46-ibu-20-lon-330ml-thung-24-lon-i3012948859.html")</f>
        <v>https://www.lazada.vn/products/bia-thuy-vierge-blonde-46-ibu-20-lon-330ml-thung-24-lon-i3012948859.html</v>
      </c>
      <c r="C799" s="10" t="s">
        <v>799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8">
        <v>5654.0</v>
      </c>
      <c r="B800" s="9" t="str">
        <f>HYPERLINK("https://www.lazada.vn/products/combo-12-goi-snack-mi-an-lien-snack-mi-spaghetti-snack-que-cay-snack-dai-cay-khong-lo-do-an-vat-thai-taokaenia-sn06-sieu-thi-beegin-i2778419517.html", "https://www.lazada.vn/products/combo-12-goi-snack-mi-an-lien-snack-mi-spaghetti-snack-que-cay-snack-dai-cay-khong-lo-do-an-vat-thai-taokaenia-sn06-sieu-thi-beegin-i2778419517.html")</f>
        <v>https://www.lazada.vn/products/combo-12-goi-snack-mi-an-lien-snack-mi-spaghetti-snack-que-cay-snack-dai-cay-khong-lo-do-an-vat-thai-taokaenia-sn06-sieu-thi-beegin-i2778419517.html</v>
      </c>
      <c r="C800" s="10" t="s">
        <v>800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8">
        <v>5655.0</v>
      </c>
      <c r="B801" s="9" t="str">
        <f>HYPERLINK("https://www.lazada.vn/products/gia-tot-tran-chau-olong-nhai-viet-tuan-1kg-i2780451021.html", "https://www.lazada.vn/products/gia-tot-tran-chau-olong-nhai-viet-tuan-1kg-i2780451021.html")</f>
        <v>https://www.lazada.vn/products/gia-tot-tran-chau-olong-nhai-viet-tuan-1kg-i2780451021.html</v>
      </c>
      <c r="C801" s="10" t="s">
        <v>801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8">
        <v>5656.0</v>
      </c>
      <c r="B802" s="9" t="str">
        <f>HYPERLINK("https://www.lazada.vn/products/tam-cay-den-i1679802380.html", "https://www.lazada.vn/products/tam-cay-den-i1679802380.html")</f>
        <v>https://www.lazada.vn/products/tam-cay-den-i1679802380.html</v>
      </c>
      <c r="C802" s="10" t="s">
        <v>802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8">
        <v>5657.0</v>
      </c>
      <c r="B803" s="9" t="str">
        <f>HYPERLINK("https://www.lazada.vn/products/gift-thuc-an-hat-cho-meo-silver-spoon-vi-ca-ngu-goi-mini-40g-i3057951542.html", "https://www.lazada.vn/products/gift-thuc-an-hat-cho-meo-silver-spoon-vi-ca-ngu-goi-mini-40g-i3057951542.html")</f>
        <v>https://www.lazada.vn/products/gift-thuc-an-hat-cho-meo-silver-spoon-vi-ca-ngu-goi-mini-40g-i3057951542.html</v>
      </c>
      <c r="C803" s="10" t="s">
        <v>803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8">
        <v>5658.0</v>
      </c>
      <c r="B804" s="9" t="str">
        <f>HYPERLINK("https://www.lazada.vn/products/tran-chau-olong-nhai-viet-tuan-1kg-i2780431075.html", "https://www.lazada.vn/products/tran-chau-olong-nhai-viet-tuan-1kg-i2780431075.html")</f>
        <v>https://www.lazada.vn/products/tran-chau-olong-nhai-viet-tuan-1kg-i2780431075.html</v>
      </c>
      <c r="C804" s="10" t="s">
        <v>804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8">
        <v>5659.0</v>
      </c>
      <c r="B805" s="9" t="str">
        <f>HYPERLINK("https://www.lazada.vn/products/nuoc-cot-chanh-thai-songheng-700ml-i2780120888.html", "https://www.lazada.vn/products/nuoc-cot-chanh-thai-songheng-700ml-i2780120888.html")</f>
        <v>https://www.lazada.vn/products/nuoc-cot-chanh-thai-songheng-700ml-i2780120888.html</v>
      </c>
      <c r="C805" s="10" t="s">
        <v>805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8">
        <v>5660.0</v>
      </c>
      <c r="B806" s="9" t="str">
        <f>HYPERLINK("https://www.lazada.vn/products/tra-dong-trung-tu-vi-hop-30-goi-phong-ngua-ung-thu-dieu-hoa-he-mien-dich-bo-can-than-i2779876208.html", "https://www.lazada.vn/products/tra-dong-trung-tu-vi-hop-30-goi-phong-ngua-ung-thu-dieu-hoa-he-mien-dich-bo-can-than-i2779876208.html")</f>
        <v>https://www.lazada.vn/products/tra-dong-trung-tu-vi-hop-30-goi-phong-ngua-ung-thu-dieu-hoa-he-mien-dich-bo-can-than-i2779876208.html</v>
      </c>
      <c r="C806" s="10" t="s">
        <v>806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8">
        <v>5661.0</v>
      </c>
      <c r="B807" s="9" t="str">
        <f>HYPERLINK("https://www.lazada.vn/products/gia-tot-thach-no-cu-nang-maomao-850g-i2779718194.html", "https://www.lazada.vn/products/gia-tot-thach-no-cu-nang-maomao-850g-i2779718194.html")</f>
        <v>https://www.lazada.vn/products/gia-tot-thach-no-cu-nang-maomao-850g-i2779718194.html</v>
      </c>
      <c r="C807" s="10" t="s">
        <v>807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8">
        <v>5662.0</v>
      </c>
      <c r="B808" s="9" t="str">
        <f>HYPERLINK("https://www.lazada.vn/products/combo-2-tui-lon-1kg-goi-bot-thuc-uong-lua-mach-ovaltine-vi-so-co-la-1kg-i2778280649.html", "https://www.lazada.vn/products/combo-2-tui-lon-1kg-goi-bot-thuc-uong-lua-mach-ovaltine-vi-so-co-la-1kg-i2778280649.html")</f>
        <v>https://www.lazada.vn/products/combo-2-tui-lon-1kg-goi-bot-thuc-uong-lua-mach-ovaltine-vi-so-co-la-1kg-i2778280649.html</v>
      </c>
      <c r="C808" s="10" t="s">
        <v>808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8">
        <v>5663.0</v>
      </c>
      <c r="B809" s="9" t="str">
        <f>HYPERLINK("https://www.lazada.vn/products/tra-dong-trung-ha-thao-long-nhan-tu-vi-camifarm-dep-da-boi-bo-suc-khoe-tang-cuong-sinh-ly-de-ngu-i2775215341.html", "https://www.lazada.vn/products/tra-dong-trung-ha-thao-long-nhan-tu-vi-camifarm-dep-da-boi-bo-suc-khoe-tang-cuong-sinh-ly-de-ngu-i2775215341.html")</f>
        <v>https://www.lazada.vn/products/tra-dong-trung-ha-thao-long-nhan-tu-vi-camifarm-dep-da-boi-bo-suc-khoe-tang-cuong-sinh-ly-de-ngu-i2775215341.html</v>
      </c>
      <c r="C809" s="10" t="s">
        <v>809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8">
        <v>5664.0</v>
      </c>
      <c r="B810" s="9" t="str">
        <f>HYPERLINK("https://www.lazada.vn/products/nuoc-uong-chong-say-tau-xe-dongsung-cua-samsung-han-quoc-nay-da-co-mau-moi-voi-dang-goi-hop-5-goi-i2774437256.html", "https://www.lazada.vn/products/nuoc-uong-chong-say-tau-xe-dongsung-cua-samsung-han-quoc-nay-da-co-mau-moi-voi-dang-goi-hop-5-goi-i2774437256.html")</f>
        <v>https://www.lazada.vn/products/nuoc-uong-chong-say-tau-xe-dongsung-cua-samsung-han-quoc-nay-da-co-mau-moi-voi-dang-goi-hop-5-goi-i2774437256.html</v>
      </c>
      <c r="C810" s="10" t="s">
        <v>810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8">
        <v>5665.0</v>
      </c>
      <c r="B811" s="9" t="str">
        <f>HYPERLINK("https://www.lazada.vn/products/ayam-brand-hop-xanh-duong-150g-ca-ngu-ngam-nuoc-thai-lan-tuna-chunks-in-water-halal-i3057893932.html", "https://www.lazada.vn/products/ayam-brand-hop-xanh-duong-150g-ca-ngu-ngam-nuoc-thai-lan-tuna-chunks-in-water-halal-i3057893932.html")</f>
        <v>https://www.lazada.vn/products/ayam-brand-hop-xanh-duong-150g-ca-ngu-ngam-nuoc-thai-lan-tuna-chunks-in-water-halal-i3057893932.html</v>
      </c>
      <c r="C811" s="10" t="s">
        <v>811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8">
        <v>5666.0</v>
      </c>
      <c r="B812" s="9" t="str">
        <f>HYPERLINK("https://www.lazada.vn/products/tran-chau-3q-soi-sua-dua-thuong-hieu-get-tui-2kg-i2774147361.html", "https://www.lazada.vn/products/tran-chau-3q-soi-sua-dua-thuong-hieu-get-tui-2kg-i2774147361.html")</f>
        <v>https://www.lazada.vn/products/tran-chau-3q-soi-sua-dua-thuong-hieu-get-tui-2kg-i2774147361.html</v>
      </c>
      <c r="C812" s="10" t="s">
        <v>812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8">
        <v>5667.0</v>
      </c>
      <c r="B813" s="9" t="str">
        <f>HYPERLINK("https://www.lazada.vn/products/combo-5-goi-snack-mi-an-lien-snack-mi-spaghetti-snack-que-cay-snack-dai-cay-khong-lo-do-an-vat-thai-taokaenia-sn06-beegin-food-i2778410759.html", "https://www.lazada.vn/products/combo-5-goi-snack-mi-an-lien-snack-mi-spaghetti-snack-que-cay-snack-dai-cay-khong-lo-do-an-vat-thai-taokaenia-sn06-beegin-food-i2778410759.html")</f>
        <v>https://www.lazada.vn/products/combo-5-goi-snack-mi-an-lien-snack-mi-spaghetti-snack-que-cay-snack-dai-cay-khong-lo-do-an-vat-thai-taokaenia-sn06-beegin-food-i2778410759.html</v>
      </c>
      <c r="C813" s="10" t="s">
        <v>813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8">
        <v>5668.0</v>
      </c>
      <c r="B814" s="9" t="str">
        <f>HYPERLINK("https://www.lazada.vn/products/kho-ca-thieu-que-ntfood-hu-200gr-nhat-tin-food-i3057843825.html", "https://www.lazada.vn/products/kho-ca-thieu-que-ntfood-hu-200gr-nhat-tin-food-i3057843825.html")</f>
        <v>https://www.lazada.vn/products/kho-ca-thieu-que-ntfood-hu-200gr-nhat-tin-food-i3057843825.html</v>
      </c>
      <c r="C814" s="10" t="s">
        <v>814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8">
        <v>5669.0</v>
      </c>
      <c r="B815" s="9" t="str">
        <f>HYPERLINK("https://www.lazada.vn/products/bia-duvel-belgian-blond-85-thung-24-chai-33cl-i2962372308.html", "https://www.lazada.vn/products/bia-duvel-belgian-blond-85-thung-24-chai-33cl-i2962372308.html")</f>
        <v>https://www.lazada.vn/products/bia-duvel-belgian-blond-85-thung-24-chai-33cl-i2962372308.html</v>
      </c>
      <c r="C815" s="10" t="s">
        <v>815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8">
        <v>5670.0</v>
      </c>
      <c r="B816" s="9" t="str">
        <f>HYPERLINK("https://www.lazada.vn/products/hong-tra-gongcha-goi-500gr-i2774121643.html", "https://www.lazada.vn/products/hong-tra-gongcha-goi-500gr-i2774121643.html")</f>
        <v>https://www.lazada.vn/products/hong-tra-gongcha-goi-500gr-i2774121643.html</v>
      </c>
      <c r="C816" s="10" t="s">
        <v>816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8">
        <v>5671.0</v>
      </c>
      <c r="B817" s="9" t="str">
        <f>HYPERLINK("https://www.lazada.vn/products/combo-5-goi-snack-mi-an-lien-snack-mi-spaghetti-snack-que-cay-snack-dai-cay-khong-lo-do-an-vat-thai-taokaenia-sn06-sieu-thi-beegin-i2778369907.html", "https://www.lazada.vn/products/combo-5-goi-snack-mi-an-lien-snack-mi-spaghetti-snack-que-cay-snack-dai-cay-khong-lo-do-an-vat-thai-taokaenia-sn06-sieu-thi-beegin-i2778369907.html")</f>
        <v>https://www.lazada.vn/products/combo-5-goi-snack-mi-an-lien-snack-mi-spaghetti-snack-que-cay-snack-dai-cay-khong-lo-do-an-vat-thai-taokaenia-sn06-sieu-thi-beegin-i2778369907.html</v>
      </c>
      <c r="C817" s="10" t="s">
        <v>817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8">
        <v>5672.0</v>
      </c>
      <c r="B818" s="9" t="str">
        <f>HYPERLINK("https://www.lazada.vn/products/gia-tot-tran-chau-3q-bibi-du-vi-2kg-i2771474653.html", "https://www.lazada.vn/products/gia-tot-tran-chau-3q-bibi-du-vi-2kg-i2771474653.html")</f>
        <v>https://www.lazada.vn/products/gia-tot-tran-chau-3q-bibi-du-vi-2kg-i2771474653.html</v>
      </c>
      <c r="C818" s="10" t="s">
        <v>818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8">
        <v>5673.0</v>
      </c>
      <c r="B819" s="9" t="str">
        <f>HYPERLINK("https://www.lazada.vn/products/toms-baked-pigeon-cat-food-low-temperature-baking-freeze-dried-full-cat-nutrition-all-purpose-cat-food-healthy-cat-nutrition-i3057690853.html", "https://www.lazada.vn/products/toms-baked-pigeon-cat-food-low-temperature-baking-freeze-dried-full-cat-nutrition-all-purpose-cat-food-healthy-cat-nutrition-i3057690853.html")</f>
        <v>https://www.lazada.vn/products/toms-baked-pigeon-cat-food-low-temperature-baking-freeze-dried-full-cat-nutrition-all-purpose-cat-food-healthy-cat-nutrition-i3057690853.html</v>
      </c>
      <c r="C819" s="10" t="s">
        <v>819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8">
        <v>5674.0</v>
      </c>
      <c r="B820" s="9" t="str">
        <f>HYPERLINK("https://www.lazada.vn/products/hop-qua-tet-bia-thu-cong-rooster-beers-4-lon-x-330ml-i2951177560.html", "https://www.lazada.vn/products/hop-qua-tet-bia-thu-cong-rooster-beers-4-lon-x-330ml-i2951177560.html")</f>
        <v>https://www.lazada.vn/products/hop-qua-tet-bia-thu-cong-rooster-beers-4-lon-x-330ml-i2951177560.html</v>
      </c>
      <c r="C820" s="10" t="s">
        <v>820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8">
        <v>5675.0</v>
      </c>
      <c r="B821" s="9" t="str">
        <f>HYPERLINK("https://www.lazada.vn/products/sup-thit-ga-xe-mastipate-masti-goi-90g-cho-cho-meo-bo-sung-hydrat-vitamin-va-taurine-i3057675211.html", "https://www.lazada.vn/products/sup-thit-ga-xe-mastipate-masti-goi-90g-cho-cho-meo-bo-sung-hydrat-vitamin-va-taurine-i3057675211.html")</f>
        <v>https://www.lazada.vn/products/sup-thit-ga-xe-mastipate-masti-goi-90g-cho-cho-meo-bo-sung-hydrat-vitamin-va-taurine-i3057675211.html</v>
      </c>
      <c r="C821" s="10" t="s">
        <v>821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8">
        <v>5676.0</v>
      </c>
      <c r="B822" s="9" t="str">
        <f>HYPERLINK("https://www.lazada.vn/products/thung-24-lon-nuoc-tang-luc-warrior-huong-dau-nho-325ml-i2687599337.html", "https://www.lazada.vn/products/thung-24-lon-nuoc-tang-luc-warrior-huong-dau-nho-325ml-i2687599337.html")</f>
        <v>https://www.lazada.vn/products/thung-24-lon-nuoc-tang-luc-warrior-huong-dau-nho-325ml-i2687599337.html</v>
      </c>
      <c r="C822" s="10" t="s">
        <v>822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8">
        <v>5677.0</v>
      </c>
      <c r="B823" s="9" t="str">
        <f>HYPERLINK("https://www.lazada.vn/products/combo-5-goi-snack-mi-an-lien-snack-mi-spaghetti-snack-que-cay-snack-dai-cay-khong-lo-do-an-vat-thai-taokaenia-sn06-gia-ngan-food-i2778184917.html", "https://www.lazada.vn/products/combo-5-goi-snack-mi-an-lien-snack-mi-spaghetti-snack-que-cay-snack-dai-cay-khong-lo-do-an-vat-thai-taokaenia-sn06-gia-ngan-food-i2778184917.html")</f>
        <v>https://www.lazada.vn/products/combo-5-goi-snack-mi-an-lien-snack-mi-spaghetti-snack-que-cay-snack-dai-cay-khong-lo-do-an-vat-thai-taokaenia-sn06-gia-ngan-food-i2778184917.html</v>
      </c>
      <c r="C823" s="10" t="s">
        <v>823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8">
        <v>5678.0</v>
      </c>
      <c r="B824" s="9" t="str">
        <f>HYPERLINK("https://www.lazada.vn/products/dao-chehop-200g-dao-che-chua-ngot-dao-che-say-i3057605385.html", "https://www.lazada.vn/products/dao-chehop-200g-dao-che-chua-ngot-dao-che-say-i3057605385.html")</f>
        <v>https://www.lazada.vn/products/dao-chehop-200g-dao-che-chua-ngot-dao-che-say-i3057605385.html</v>
      </c>
      <c r="C824" s="10" t="s">
        <v>824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8">
        <v>5679.0</v>
      </c>
      <c r="B825" s="9" t="str">
        <f>HYPERLINK("https://www.lazada.vn/products/thung-24-lon-nuoc-tang-luc-sting-huong-dau-320ml-i2687554615.html", "https://www.lazada.vn/products/thung-24-lon-nuoc-tang-luc-sting-huong-dau-320ml-i2687554615.html")</f>
        <v>https://www.lazada.vn/products/thung-24-lon-nuoc-tang-luc-sting-huong-dau-320ml-i2687554615.html</v>
      </c>
      <c r="C825" s="10" t="s">
        <v>825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8">
        <v>5680.0</v>
      </c>
      <c r="B826" s="9" t="str">
        <f>HYPERLINK("https://www.lazada.vn/products/xuc-xich-cho-meo-cao-cap-goi-900g-60-cai-date-xa-i3057572609.html", "https://www.lazada.vn/products/xuc-xich-cho-meo-cao-cap-goi-900g-60-cai-date-xa-i3057572609.html")</f>
        <v>https://www.lazada.vn/products/xuc-xich-cho-meo-cao-cap-goi-900g-60-cai-date-xa-i3057572609.html</v>
      </c>
      <c r="C826" s="10" t="s">
        <v>826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8">
        <v>5681.0</v>
      </c>
      <c r="B827" s="9" t="str">
        <f>HYPERLINK("https://www.lazada.vn/products/loc-6-lon-nuoc-tang-luc-sting-huong-dau-320ml-i2687553661.html", "https://www.lazada.vn/products/loc-6-lon-nuoc-tang-luc-sting-huong-dau-320ml-i2687553661.html")</f>
        <v>https://www.lazada.vn/products/loc-6-lon-nuoc-tang-luc-sting-huong-dau-320ml-i2687553661.html</v>
      </c>
      <c r="C827" s="10" t="s">
        <v>827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8">
        <v>5682.0</v>
      </c>
      <c r="B828" s="9" t="str">
        <f>HYPERLINK("https://www.lazada.vn/products/1kg-rau-bap-tuoirau-ngo-tuoi-i3057543251.html", "https://www.lazada.vn/products/1kg-rau-bap-tuoirau-ngo-tuoi-i3057543251.html")</f>
        <v>https://www.lazada.vn/products/1kg-rau-bap-tuoirau-ngo-tuoi-i3057543251.html</v>
      </c>
      <c r="C828" s="10" t="s">
        <v>828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8">
        <v>5683.0</v>
      </c>
      <c r="B829" s="9" t="str">
        <f>HYPERLINK("https://www.lazada.vn/products/loc-6-lon-nuoc-tang-luc-bo-huc-redbull-250ml-i2687549780.html", "https://www.lazada.vn/products/loc-6-lon-nuoc-tang-luc-bo-huc-redbull-250ml-i2687549780.html")</f>
        <v>https://www.lazada.vn/products/loc-6-lon-nuoc-tang-luc-bo-huc-redbull-250ml-i2687549780.html</v>
      </c>
      <c r="C829" s="10" t="s">
        <v>829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8">
        <v>5684.0</v>
      </c>
      <c r="B830" s="9" t="str">
        <f>HYPERLINK("https://www.lazada.vn/products/uc-ga-hap-an-lien-cho-cho-meo-goi-40g-i3057501862.html", "https://www.lazada.vn/products/uc-ga-hap-an-lien-cho-cho-meo-goi-40g-i3057501862.html")</f>
        <v>https://www.lazada.vn/products/uc-ga-hap-an-lien-cho-cho-meo-goi-40g-i3057501862.html</v>
      </c>
      <c r="C830" s="10" t="s">
        <v>830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8">
        <v>5685.0</v>
      </c>
      <c r="B831" s="9" t="str">
        <f>HYPERLINK("https://www.lazada.vn/products/loc-6-chai-nuoc-tang-luc-number-one-330ml-i2687459952.html", "https://www.lazada.vn/products/loc-6-chai-nuoc-tang-luc-number-one-330ml-i2687459952.html")</f>
        <v>https://www.lazada.vn/products/loc-6-chai-nuoc-tang-luc-number-one-330ml-i2687459952.html</v>
      </c>
      <c r="C831" s="10" t="s">
        <v>831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8">
        <v>5686.0</v>
      </c>
      <c r="B832" s="9" t="str">
        <f>HYPERLINK("https://www.lazada.vn/products/thanh-ca-ngu-chat-luong-tuoi-ngon-1kg-hoa-toc-giao-i3057426190.html", "https://www.lazada.vn/products/thanh-ca-ngu-chat-luong-tuoi-ngon-1kg-hoa-toc-giao-i3057426190.html")</f>
        <v>https://www.lazada.vn/products/thanh-ca-ngu-chat-luong-tuoi-ngon-1kg-hoa-toc-giao-i3057426190.html</v>
      </c>
      <c r="C832" s="10" t="s">
        <v>832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8">
        <v>5687.0</v>
      </c>
      <c r="B833" s="9" t="str">
        <f>HYPERLINK("https://www.lazada.vn/products/ruou-vang-y-remole-bianco-toscana-2018-2020-2021-huong-vi-ruou-toa-huong-thom-cua-trai-cay-tuoi-mat-va-song-dong-i2397155363.html", "https://www.lazada.vn/products/ruou-vang-y-remole-bianco-toscana-2018-2020-2021-huong-vi-ruou-toa-huong-thom-cua-trai-cay-tuoi-mat-va-song-dong-i2397155363.html")</f>
        <v>https://www.lazada.vn/products/ruou-vang-y-remole-bianco-toscana-2018-2020-2021-huong-vi-ruou-toa-huong-thom-cua-trai-cay-tuoi-mat-va-song-dong-i2397155363.html</v>
      </c>
      <c r="C833" s="10" t="s">
        <v>833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8">
        <v>5688.0</v>
      </c>
      <c r="B834" s="9" t="str">
        <f>HYPERLINK("https://www.lazada.vn/products/thung-24-chai-nuoc-tang-luc-wake-up-247-vi-ca-phe-330ml-i2686576118.html", "https://www.lazada.vn/products/thung-24-chai-nuoc-tang-luc-wake-up-247-vi-ca-phe-330ml-i2686576118.html")</f>
        <v>https://www.lazada.vn/products/thung-24-chai-nuoc-tang-luc-wake-up-247-vi-ca-phe-330ml-i2686576118.html</v>
      </c>
      <c r="C834" s="10" t="s">
        <v>834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8">
        <v>5689.0</v>
      </c>
      <c r="B835" s="9" t="str">
        <f>HYPERLINK("https://www.lazada.vn/products/mut-sau-rieng-xay-nhuyen-tenten-1kg-i3057411111.html", "https://www.lazada.vn/products/mut-sau-rieng-xay-nhuyen-tenten-1kg-i3057411111.html")</f>
        <v>https://www.lazada.vn/products/mut-sau-rieng-xay-nhuyen-tenten-1kg-i3057411111.html</v>
      </c>
      <c r="C835" s="10" t="s">
        <v>835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8">
        <v>5690.0</v>
      </c>
      <c r="B836" s="9" t="str">
        <f>HYPERLINK("https://www.lazada.vn/products/loc-6-chai-nuoc-tang-luc-wake-up-247-vi-ca-phe-330ml-i2686548398.html", "https://www.lazada.vn/products/loc-6-chai-nuoc-tang-luc-wake-up-247-vi-ca-phe-330ml-i2686548398.html")</f>
        <v>https://www.lazada.vn/products/loc-6-chai-nuoc-tang-luc-wake-up-247-vi-ca-phe-330ml-i2686548398.html</v>
      </c>
      <c r="C836" s="10" t="s">
        <v>836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8">
        <v>5691.0</v>
      </c>
      <c r="B837" s="9" t="str">
        <f>HYPERLINK("https://www.lazada.vn/products/nuoc-ngot-co-ga-sprite-chanh-lon-235ml-i2673305395.html", "https://www.lazada.vn/products/nuoc-ngot-co-ga-sprite-chanh-lon-235ml-i2673305395.html")</f>
        <v>https://www.lazada.vn/products/nuoc-ngot-co-ga-sprite-chanh-lon-235ml-i2673305395.html</v>
      </c>
      <c r="C837" s="10" t="s">
        <v>837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8">
        <v>5692.0</v>
      </c>
      <c r="B838" s="9" t="str">
        <f>HYPERLINK("https://www.lazada.vn/products/thanh-ca-ngu-hang-chat-luong-dai-duong1kg-tphcm-hoa-toc-i3057392462.html", "https://www.lazada.vn/products/thanh-ca-ngu-hang-chat-luong-dai-duong1kg-tphcm-hoa-toc-i3057392462.html")</f>
        <v>https://www.lazada.vn/products/thanh-ca-ngu-hang-chat-luong-dai-duong1kg-tphcm-hoa-toc-i3057392462.html</v>
      </c>
      <c r="C838" s="10" t="s">
        <v>838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8">
        <v>5693.0</v>
      </c>
      <c r="B839" s="9" t="str">
        <f>HYPERLINK("https://www.lazada.vn/products/le-1-lon-310ml-dung-thu-tra-sam-tra-thao-moc-wanglaoji-i2942749640.html", "https://www.lazada.vn/products/le-1-lon-310ml-dung-thu-tra-sam-tra-thao-moc-wanglaoji-i2942749640.html")</f>
        <v>https://www.lazada.vn/products/le-1-lon-310ml-dung-thu-tra-sam-tra-thao-moc-wanglaoji-i2942749640.html</v>
      </c>
      <c r="C839" s="10" t="s">
        <v>839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8">
        <v>5694.0</v>
      </c>
      <c r="B840" s="9" t="str">
        <f>HYPERLINK("https://www.lazada.vn/products/sua-milo-180ml-thung-48-hop-i2507817936.html", "https://www.lazada.vn/products/sua-milo-180ml-thung-48-hop-i2507817936.html")</f>
        <v>https://www.lazada.vn/products/sua-milo-180ml-thung-48-hop-i2507817936.html</v>
      </c>
      <c r="C840" s="10" t="s">
        <v>840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8">
        <v>5695.0</v>
      </c>
      <c r="B841" s="9" t="str">
        <f>HYPERLINK("https://www.lazada.vn/products/mix-12-lon-nuoc-tang-luc-champion-kizz-bacchus-da-lanh-12-lon-x-250ml-vi-ngon-mat-lanh-sugar-nuoc-tang-luc-ngot-i2683520970.html", "https://www.lazada.vn/products/mix-12-lon-nuoc-tang-luc-champion-kizz-bacchus-da-lanh-12-lon-x-250ml-vi-ngon-mat-lanh-sugar-nuoc-tang-luc-ngot-i2683520970.html")</f>
        <v>https://www.lazada.vn/products/mix-12-lon-nuoc-tang-luc-champion-kizz-bacchus-da-lanh-12-lon-x-250ml-vi-ngon-mat-lanh-sugar-nuoc-tang-luc-ngot-i2683520970.html</v>
      </c>
      <c r="C841" s="10" t="s">
        <v>841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8">
        <v>5696.0</v>
      </c>
      <c r="B842" s="9" t="str">
        <f>HYPERLINK("https://www.lazada.vn/products/steak-ca-ngu-dai-duong-1kg-hoa-toc-tphcm-i3057331557.html", "https://www.lazada.vn/products/steak-ca-ngu-dai-duong-1kg-hoa-toc-tphcm-i3057331557.html")</f>
        <v>https://www.lazada.vn/products/steak-ca-ngu-dai-duong-1kg-hoa-toc-tphcm-i3057331557.html</v>
      </c>
      <c r="C842" s="10" t="s">
        <v>842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8">
        <v>5697.0</v>
      </c>
      <c r="B843" s="9" t="str">
        <f>HYPERLINK("https://www.lazada.vn/products/cac-loai-banh-keo-sieu-ngon-cute-ngo-nghinh-de-thuong-danh-cho-be-yeu-ntfood-nhat-tin-food-i2773989861.html", "https://www.lazada.vn/products/cac-loai-banh-keo-sieu-ngon-cute-ngo-nghinh-de-thuong-danh-cho-be-yeu-ntfood-nhat-tin-food-i2773989861.html")</f>
        <v>https://www.lazada.vn/products/cac-loai-banh-keo-sieu-ngon-cute-ngo-nghinh-de-thuong-danh-cho-be-yeu-ntfood-nhat-tin-food-i2773989861.html</v>
      </c>
      <c r="C843" s="10" t="s">
        <v>843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8">
        <v>5698.0</v>
      </c>
      <c r="B844" s="9" t="str">
        <f>HYPERLINK("https://www.lazada.vn/products/loc-6-chai-tang-luc-nuberone-i2682264432.html", "https://www.lazada.vn/products/loc-6-chai-tang-luc-nuberone-i2682264432.html")</f>
        <v>https://www.lazada.vn/products/loc-6-chai-tang-luc-nuberone-i2682264432.html</v>
      </c>
      <c r="C844" s="10" t="s">
        <v>844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8">
        <v>5699.0</v>
      </c>
      <c r="B845" s="9" t="str">
        <f>HYPERLINK("https://www.lazada.vn/products/gan-ca-ngu-dai-duong-dai-ngon-1kg-hcm-hoa-toc-i3057297791.html", "https://www.lazada.vn/products/gan-ca-ngu-dai-duong-dai-ngon-1kg-hcm-hoa-toc-i3057297791.html")</f>
        <v>https://www.lazada.vn/products/gan-ca-ngu-dai-duong-dai-ngon-1kg-hcm-hoa-toc-i3057297791.html</v>
      </c>
      <c r="C845" s="10" t="s">
        <v>845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8">
        <v>5700.0</v>
      </c>
      <c r="B846" s="9" t="str">
        <f>HYPERLINK("https://www.lazada.vn/products/1kg-bim-bim-que-dau-ha-lan-snack-hon-hop-snack-food-thuc-an-vat-tuoi-tho-thom-ngon-i2772783678.html", "https://www.lazada.vn/products/1kg-bim-bim-que-dau-ha-lan-snack-hon-hop-snack-food-thuc-an-vat-tuoi-tho-thom-ngon-i2772783678.html")</f>
        <v>https://www.lazada.vn/products/1kg-bim-bim-que-dau-ha-lan-snack-hon-hop-snack-food-thuc-an-vat-tuoi-tho-thom-ngon-i2772783678.html</v>
      </c>
      <c r="C846" s="10" t="s">
        <v>846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8">
        <v>5701.0</v>
      </c>
      <c r="B847" s="9" t="str">
        <f>HYPERLINK("https://www.lazada.vn/products/nuoc-tang-luc-rong-do-chai-330ml-i2674644006.html", "https://www.lazada.vn/products/nuoc-tang-luc-rong-do-chai-330ml-i2674644006.html")</f>
        <v>https://www.lazada.vn/products/nuoc-tang-luc-rong-do-chai-330ml-i2674644006.html</v>
      </c>
      <c r="C847" s="10" t="s">
        <v>847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8">
        <v>5702.0</v>
      </c>
      <c r="B848" s="9" t="str">
        <f>HYPERLINK("https://www.lazada.vn/products/thanh-ca-ngu-1kg-tphcm-hoa-toc-i3057292986.html", "https://www.lazada.vn/products/thanh-ca-ngu-1kg-tphcm-hoa-toc-i3057292986.html")</f>
        <v>https://www.lazada.vn/products/thanh-ca-ngu-1kg-tphcm-hoa-toc-i3057292986.html</v>
      </c>
      <c r="C848" s="10" t="s">
        <v>848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8">
        <v>5703.0</v>
      </c>
      <c r="B849" s="9" t="str">
        <f>HYPERLINK("https://www.lazada.vn/products/banh-bl-hokkaido-bo-sua-9-i2501972984.html", "https://www.lazada.vn/products/banh-bl-hokkaido-bo-sua-9-i2501972984.html")</f>
        <v>https://www.lazada.vn/products/banh-bl-hokkaido-bo-sua-9-i2501972984.html</v>
      </c>
      <c r="C849" s="10" t="s">
        <v>849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8">
        <v>5704.0</v>
      </c>
      <c r="B850" s="9" t="str">
        <f>HYPERLINK("https://www.lazada.vn/products/banh-trang-phuong-2-long-an-banh-trang-lan-vi-sate-ga-quay-100g-i2771831321.html", "https://www.lazada.vn/products/banh-trang-phuong-2-long-an-banh-trang-lan-vi-sate-ga-quay-100g-i2771831321.html")</f>
        <v>https://www.lazada.vn/products/banh-trang-phuong-2-long-an-banh-trang-lan-vi-sate-ga-quay-100g-i2771831321.html</v>
      </c>
      <c r="C850" s="10" t="s">
        <v>850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8">
        <v>5705.0</v>
      </c>
      <c r="B851" s="9" t="str">
        <f>HYPERLINK("https://www.lazada.vn/products/si-1-thung-24-lon-tra-sam-tra-thao-moc-wanglaoji-310ml-24-lon-i2942725631.html", "https://www.lazada.vn/products/si-1-thung-24-lon-tra-sam-tra-thao-moc-wanglaoji-310ml-24-lon-i2942725631.html")</f>
        <v>https://www.lazada.vn/products/si-1-thung-24-lon-tra-sam-tra-thao-moc-wanglaoji-310ml-24-lon-i2942725631.html</v>
      </c>
      <c r="C851" s="10" t="s">
        <v>851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8">
        <v>5706.0</v>
      </c>
      <c r="B852" s="9" t="str">
        <f>HYPERLINK("https://www.lazada.vn/products/sting-xanh-duong-thailand-lon-330ml-i2674532178.html", "https://www.lazada.vn/products/sting-xanh-duong-thailand-lon-330ml-i2674532178.html")</f>
        <v>https://www.lazada.vn/products/sting-xanh-duong-thailand-lon-330ml-i2674532178.html</v>
      </c>
      <c r="C852" s="10" t="s">
        <v>852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8">
        <v>5707.0</v>
      </c>
      <c r="B853" s="9" t="str">
        <f>HYPERLINK("https://www.lazada.vn/products/thanh-ca-ngu-van-nguoi-me-1kg-hcm-hoa-toc-i3057292408.html", "https://www.lazada.vn/products/thanh-ca-ngu-van-nguoi-me-1kg-hcm-hoa-toc-i3057292408.html")</f>
        <v>https://www.lazada.vn/products/thanh-ca-ngu-van-nguoi-me-1kg-hcm-hoa-toc-i3057292408.html</v>
      </c>
      <c r="C853" s="10" t="s">
        <v>853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8">
        <v>5708.0</v>
      </c>
      <c r="B854" s="9" t="str">
        <f>HYPERLINK("https://www.lazada.vn/products/tui-an-vat-nhan-pham-khong-lo-tui-an-vat-blindbox-khong-lo-an-vat-492-i2770608835.html", "https://www.lazada.vn/products/tui-an-vat-nhan-pham-khong-lo-tui-an-vat-blindbox-khong-lo-an-vat-492-i2770608835.html")</f>
        <v>https://www.lazada.vn/products/tui-an-vat-nhan-pham-khong-lo-tui-an-vat-blindbox-khong-lo-an-vat-492-i2770608835.html</v>
      </c>
      <c r="C854" s="10" t="s">
        <v>854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8">
        <v>5709.0</v>
      </c>
      <c r="B855" s="9" t="str">
        <f>HYPERLINK("https://www.lazada.vn/products/nuoc-tang-luc-co-ga-monster-den-energy-lon-355ml-i2673382295.html", "https://www.lazada.vn/products/nuoc-tang-luc-co-ga-monster-den-energy-lon-355ml-i2673382295.html")</f>
        <v>https://www.lazada.vn/products/nuoc-tang-luc-co-ga-monster-den-energy-lon-355ml-i2673382295.html</v>
      </c>
      <c r="C855" s="10" t="s">
        <v>855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8">
        <v>5710.0</v>
      </c>
      <c r="B856" s="9" t="str">
        <f>HYPERLINK("https://www.lazada.vn/products/steak-ca-ngu-1kg-hoa-toc-tphcm-i3057288990.html", "https://www.lazada.vn/products/steak-ca-ngu-1kg-hoa-toc-tphcm-i3057288990.html")</f>
        <v>https://www.lazada.vn/products/steak-ca-ngu-1kg-hoa-toc-tphcm-i3057288990.html</v>
      </c>
      <c r="C856" s="10" t="s">
        <v>856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8">
        <v>5711.0</v>
      </c>
      <c r="B857" s="9" t="str">
        <f>HYPERLINK("https://www.lazada.vn/products/banh-mang-cau-cuon-dac-san-dong-thap-hop-oval-200-gram-i2769709974.html", "https://www.lazada.vn/products/banh-mang-cau-cuon-dac-san-dong-thap-hop-oval-200-gram-i2769709974.html")</f>
        <v>https://www.lazada.vn/products/banh-mang-cau-cuon-dac-san-dong-thap-hop-oval-200-gram-i2769709974.html</v>
      </c>
      <c r="C857" s="10" t="s">
        <v>857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8">
        <v>5712.0</v>
      </c>
      <c r="B858" s="9" t="str">
        <f>HYPERLINK("https://www.lazada.vn/products/nuoc-tang-luc-co-ga-monster-trang-energy-ultra-lon-355ml-i2673308372.html", "https://www.lazada.vn/products/nuoc-tang-luc-co-ga-monster-trang-energy-ultra-lon-355ml-i2673308372.html")</f>
        <v>https://www.lazada.vn/products/nuoc-tang-luc-co-ga-monster-trang-energy-ultra-lon-355ml-i2673308372.html</v>
      </c>
      <c r="C858" s="10" t="s">
        <v>858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8">
        <v>5713.0</v>
      </c>
      <c r="B859" s="9" t="str">
        <f>HYPERLINK("https://www.lazada.vn/products/steak-ca-ngu-bao-ngon-giau-dinh-duong-1kg-hoa-toc-hcm-i3057249357.html", "https://www.lazada.vn/products/steak-ca-ngu-bao-ngon-giau-dinh-duong-1kg-hoa-toc-hcm-i3057249357.html")</f>
        <v>https://www.lazada.vn/products/steak-ca-ngu-bao-ngon-giau-dinh-duong-1kg-hoa-toc-hcm-i3057249357.html</v>
      </c>
      <c r="C859" s="10" t="s">
        <v>859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8">
        <v>5714.0</v>
      </c>
      <c r="B860" s="9" t="str">
        <f>HYPERLINK("https://www.lazada.vn/products/combo-4-hop-nuoc-dua-vico-fresh-330ml-vi-xiem-i2880691869.html", "https://www.lazada.vn/products/combo-4-hop-nuoc-dua-vico-fresh-330ml-vi-xiem-i2880691869.html")</f>
        <v>https://www.lazada.vn/products/combo-4-hop-nuoc-dua-vico-fresh-330ml-vi-xiem-i2880691869.html</v>
      </c>
      <c r="C860" s="10" t="s">
        <v>860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8">
        <v>5715.0</v>
      </c>
      <c r="B861" s="9" t="str">
        <f>HYPERLINK("https://www.lazada.vn/products/100gr-banh-trang-pho-mai-xi-ke-du-vi-dac-san-so-1-tay-ninh-i2766370803.html", "https://www.lazada.vn/products/100gr-banh-trang-pho-mai-xi-ke-du-vi-dac-san-so-1-tay-ninh-i2766370803.html")</f>
        <v>https://www.lazada.vn/products/100gr-banh-trang-pho-mai-xi-ke-du-vi-dac-san-so-1-tay-ninh-i2766370803.html</v>
      </c>
      <c r="C861" s="10" t="s">
        <v>861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8">
        <v>5716.0</v>
      </c>
      <c r="B862" s="9" t="str">
        <f>HYPERLINK("https://www.lazada.vn/products/soju-han-quoc-chum-churum-360ml-i2331929411.html", "https://www.lazada.vn/products/soju-han-quoc-chum-churum-360ml-i2331929411.html")</f>
        <v>https://www.lazada.vn/products/soju-han-quoc-chum-churum-360ml-i2331929411.html</v>
      </c>
      <c r="C862" s="10" t="s">
        <v>862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8">
        <v>5717.0</v>
      </c>
      <c r="B863" s="9" t="str">
        <f>HYPERLINK("https://www.lazada.vn/products/combo-bia-nguoi-yeu-moi-tron-bo-i2942589691.html", "https://www.lazada.vn/products/combo-bia-nguoi-yeu-moi-tron-bo-i2942589691.html")</f>
        <v>https://www.lazada.vn/products/combo-bia-nguoi-yeu-moi-tron-bo-i2942589691.html</v>
      </c>
      <c r="C863" s="10" t="s">
        <v>863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8">
        <v>5718.0</v>
      </c>
      <c r="B864" s="9" t="str">
        <f>HYPERLINK("https://www.lazada.vn/products/hoa-toc-hcm-khoai-tay-chien-dong-lanh-viet-sin-500g-1kg-i2909313760.html", "https://www.lazada.vn/products/hoa-toc-hcm-khoai-tay-chien-dong-lanh-viet-sin-500g-1kg-i2909313760.html")</f>
        <v>https://www.lazada.vn/products/hoa-toc-hcm-khoai-tay-chien-dong-lanh-viet-sin-500g-1kg-i2909313760.html</v>
      </c>
      <c r="C864" s="10" t="s">
        <v>864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8">
        <v>5719.0</v>
      </c>
      <c r="B865" s="9" t="str">
        <f>HYPERLINK("https://www.lazada.vn/products/2-goi-snack-bim-bim-canh-ga-mau-moi-i1679796404.html", "https://www.lazada.vn/products/2-goi-snack-bim-bim-canh-ga-mau-moi-i1679796404.html")</f>
        <v>https://www.lazada.vn/products/2-goi-snack-bim-bim-canh-ga-mau-moi-i1679796404.html</v>
      </c>
      <c r="C865" s="10" t="s">
        <v>865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8">
        <v>5720.0</v>
      </c>
      <c r="B866" s="9" t="str">
        <f>HYPERLINK("https://www.lazada.vn/products/thung-24-chai-nuoc-uong-pocari-sweat-chai-350ml-i2669079260.html", "https://www.lazada.vn/products/thung-24-chai-nuoc-uong-pocari-sweat-chai-350ml-i2669079260.html")</f>
        <v>https://www.lazada.vn/products/thung-24-chai-nuoc-uong-pocari-sweat-chai-350ml-i2669079260.html</v>
      </c>
      <c r="C866" s="10" t="s">
        <v>866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8">
        <v>5721.0</v>
      </c>
      <c r="B867" s="9" t="str">
        <f>HYPERLINK("https://www.lazada.vn/products/thanh-ca-ngu-dai-duong-giau-omega3-1kg-hoa-toc-hcm-i3057225385.html", "https://www.lazada.vn/products/thanh-ca-ngu-dai-duong-giau-omega3-1kg-hoa-toc-hcm-i3057225385.html")</f>
        <v>https://www.lazada.vn/products/thanh-ca-ngu-dai-duong-giau-omega3-1kg-hoa-toc-hcm-i3057225385.html</v>
      </c>
      <c r="C867" s="10" t="s">
        <v>867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8">
        <v>5722.0</v>
      </c>
      <c r="B868" s="9" t="str">
        <f>HYPERLINK("https://www.lazada.vn/products/craft-a-brew-recipe-kit-white-house-honey-ale-refill-1-gallon-thanh-phan-cho-bia-nha-i3036583061.html", "https://www.lazada.vn/products/craft-a-brew-recipe-kit-white-house-honey-ale-refill-1-gallon-thanh-phan-cho-bia-nha-i3036583061.html")</f>
        <v>https://www.lazada.vn/products/craft-a-brew-recipe-kit-white-house-honey-ale-refill-1-gallon-thanh-phan-cho-bia-nha-i3036583061.html</v>
      </c>
      <c r="C868" s="10" t="s">
        <v>868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8">
        <v>5723.0</v>
      </c>
      <c r="B869" s="9" t="str">
        <f>HYPERLINK("https://www.lazada.vn/products/bot-so-co-la-acacao-hoa-tan-vi-dau-tay-uong-lien-dinh-duong-giup-nap-nang-luong-nhanh-chong-hop-286g-i2507230846.html", "https://www.lazada.vn/products/bot-so-co-la-acacao-hoa-tan-vi-dau-tay-uong-lien-dinh-duong-giup-nap-nang-luong-nhanh-chong-hop-286g-i2507230846.html")</f>
        <v>https://www.lazada.vn/products/bot-so-co-la-acacao-hoa-tan-vi-dau-tay-uong-lien-dinh-duong-giup-nap-nang-luong-nhanh-chong-hop-286g-i2507230846.html</v>
      </c>
      <c r="C869" s="10" t="s">
        <v>869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8">
        <v>5724.0</v>
      </c>
      <c r="B870" s="9" t="str">
        <f>HYPERLINK("https://www.lazada.vn/products/vien-tha-lau-vien-con-tho-trung-tha-lau-chien-ran-deu-ngon-goi-500g-i2494386189.html", "https://www.lazada.vn/products/vien-tha-lau-vien-con-tho-trung-tha-lau-chien-ran-deu-ngon-goi-500g-i2494386189.html")</f>
        <v>https://www.lazada.vn/products/vien-tha-lau-vien-con-tho-trung-tha-lau-chien-ran-deu-ngon-goi-500g-i2494386189.html</v>
      </c>
      <c r="C870" s="10" t="s">
        <v>870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8">
        <v>5725.0</v>
      </c>
      <c r="B871" s="9" t="str">
        <f>HYPERLINK("https://www.lazada.vn/products/khoai-lang-mat-say-gion-tam-mat-ong-kailiyou-tui-250gram-tien-loi-mieng-khoai-gion-rum-de-an-i3016605820.html", "https://www.lazada.vn/products/khoai-lang-mat-say-gion-tam-mat-ong-kailiyou-tui-250gram-tien-loi-mieng-khoai-gion-rum-de-an-i3016605820.html")</f>
        <v>https://www.lazada.vn/products/khoai-lang-mat-say-gion-tam-mat-ong-kailiyou-tui-250gram-tien-loi-mieng-khoai-gion-rum-de-an-i3016605820.html</v>
      </c>
      <c r="C871" s="10" t="s">
        <v>871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8">
        <v>5726.0</v>
      </c>
      <c r="B872" s="9" t="str">
        <f>HYPERLINK("https://www.lazada.vn/products/wake-up-hop-vang-240g-10-goi-ca-phe-sua-da-viet-nam-vinacafe-bh-3-in-1-coffee-and-times-i3036414006.html", "https://www.lazada.vn/products/wake-up-hop-vang-240g-10-goi-ca-phe-sua-da-viet-nam-vinacafe-bh-3-in-1-coffee-and-times-i3036414006.html")</f>
        <v>https://www.lazada.vn/products/wake-up-hop-vang-240g-10-goi-ca-phe-sua-da-viet-nam-vinacafe-bh-3-in-1-coffee-and-times-i3036414006.html</v>
      </c>
      <c r="C872" s="10" t="s">
        <v>872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8">
        <v>5727.0</v>
      </c>
      <c r="B873" s="9" t="str">
        <f>HYPERLINK("https://www.lazada.vn/products/ruou-vang-hong-tavernello-sangiovese-rosato-2020-i2396874983.html", "https://www.lazada.vn/products/ruou-vang-hong-tavernello-sangiovese-rosato-2020-i2396874983.html")</f>
        <v>https://www.lazada.vn/products/ruou-vang-hong-tavernello-sangiovese-rosato-2020-i2396874983.html</v>
      </c>
      <c r="C873" s="10" t="s">
        <v>873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8">
        <v>5728.0</v>
      </c>
      <c r="B874" s="9" t="str">
        <f>HYPERLINK("https://www.lazada.vn/products/banh-in-dau-xanh-la-dua-5-banh-400gr-snack-food-thuc-an-vat-dac-san-viet-nam-i2751995101.html", "https://www.lazada.vn/products/banh-in-dau-xanh-la-dua-5-banh-400gr-snack-food-thuc-an-vat-dac-san-viet-nam-i2751995101.html")</f>
        <v>https://www.lazada.vn/products/banh-in-dau-xanh-la-dua-5-banh-400gr-snack-food-thuc-an-vat-dac-san-viet-nam-i2751995101.html</v>
      </c>
      <c r="C874" s="10" t="s">
        <v>874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8">
        <v>5729.0</v>
      </c>
      <c r="B875" s="9" t="str">
        <f>HYPERLINK("https://www.lazada.vn/products/banh-xop-phu-socola-sua-nestle-kit-kat-i2434663358.html", "https://www.lazada.vn/products/banh-xop-phu-socola-sua-nestle-kit-kat-i2434663358.html")</f>
        <v>https://www.lazada.vn/products/banh-xop-phu-socola-sua-nestle-kit-kat-i2434663358.html</v>
      </c>
      <c r="C875" s="10" t="s">
        <v>875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8">
        <v>5730.0</v>
      </c>
      <c r="B876" s="9" t="str">
        <f>HYPERLINK("https://www.lazada.vn/products/ruou-vang-y-tavernello-organico-trebbiano-chardonnay-rubicone-i2396326230.html", "https://www.lazada.vn/products/ruou-vang-y-tavernello-organico-trebbiano-chardonnay-rubicone-i2396326230.html")</f>
        <v>https://www.lazada.vn/products/ruou-vang-y-tavernello-organico-trebbiano-chardonnay-rubicone-i2396326230.html</v>
      </c>
      <c r="C876" s="10" t="s">
        <v>876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8">
        <v>5731.0</v>
      </c>
      <c r="B877" s="9" t="str">
        <f>HYPERLINK("https://www.lazada.vn/products/mut-man-hoa-an-say-deo-i2968462148.html", "https://www.lazada.vn/products/mut-man-hoa-an-say-deo-i2968462148.html")</f>
        <v>https://www.lazada.vn/products/mut-man-hoa-an-say-deo-i2968462148.html</v>
      </c>
      <c r="C877" s="10" t="s">
        <v>877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8">
        <v>5732.0</v>
      </c>
      <c r="B878" s="9" t="str">
        <f>HYPERLINK("https://www.lazada.vn/products/banh-sung-bo-bauli-moonfils-45g-banh-an-sang-tien-loi-giau-dinh-duong-banh-sung-trau-do-an-vat-i2952578351.html", "https://www.lazada.vn/products/banh-sung-bo-bauli-moonfils-45g-banh-an-sang-tien-loi-giau-dinh-duong-banh-sung-trau-do-an-vat-i2952578351.html")</f>
        <v>https://www.lazada.vn/products/banh-sung-bo-bauli-moonfils-45g-banh-an-sang-tien-loi-giau-dinh-duong-banh-sung-trau-do-an-vat-i2952578351.html</v>
      </c>
      <c r="C878" s="10" t="s">
        <v>878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8">
        <v>5733.0</v>
      </c>
      <c r="B879" s="9" t="str">
        <f>HYPERLINK("https://www.lazada.vn/products/steak-ca-ngu-mieng-hang-chat-luong-1kg-hoa-toc-giao-i3057166981.html", "https://www.lazada.vn/products/steak-ca-ngu-mieng-hang-chat-luong-1kg-hoa-toc-giao-i3057166981.html")</f>
        <v>https://www.lazada.vn/products/steak-ca-ngu-mieng-hang-chat-luong-1kg-hoa-toc-giao-i3057166981.html</v>
      </c>
      <c r="C879" s="10" t="s">
        <v>879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8">
        <v>5734.0</v>
      </c>
      <c r="B880" s="9" t="str">
        <f>HYPERLINK("https://www.lazada.vn/products/1-kg-quay-dui-ga-bo-sua-gion-tan-beo-ngay-sieu-ngon-do-an-vat-vn-i2750643955.html", "https://www.lazada.vn/products/1-kg-quay-dui-ga-bo-sua-gion-tan-beo-ngay-sieu-ngon-do-an-vat-vn-i2750643955.html")</f>
        <v>https://www.lazada.vn/products/1-kg-quay-dui-ga-bo-sua-gion-tan-beo-ngay-sieu-ngon-do-an-vat-vn-i2750643955.html</v>
      </c>
      <c r="C880" s="10" t="s">
        <v>880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8">
        <v>5735.0</v>
      </c>
      <c r="B881" s="9" t="str">
        <f>HYPERLINK("https://www.lazada.vn/products/snack-dried-fruit-flavored-boxed-mixed-flavors-hawthorn-leaves-loquat-leaves-red-date-flavor-leisure-food-speciality-snack-i2965692778.html", "https://www.lazada.vn/products/snack-dried-fruit-flavored-boxed-mixed-flavors-hawthorn-leaves-loquat-leaves-red-date-flavor-leisure-food-speciality-snack-i2965692778.html")</f>
        <v>https://www.lazada.vn/products/snack-dried-fruit-flavored-boxed-mixed-flavors-hawthorn-leaves-loquat-leaves-red-date-flavor-leisure-food-speciality-snack-i2965692778.html</v>
      </c>
      <c r="C881" s="10" t="s">
        <v>881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8">
        <v>5736.0</v>
      </c>
      <c r="B882" s="9" t="str">
        <f>HYPERLINK("https://www.lazada.vn/products/snack-khoai-tay-gokochi-nguyen-lat-vi-muoi-tu-nhien-115g-i2909231755.html", "https://www.lazada.vn/products/snack-khoai-tay-gokochi-nguyen-lat-vi-muoi-tu-nhien-115g-i2909231755.html")</f>
        <v>https://www.lazada.vn/products/snack-khoai-tay-gokochi-nguyen-lat-vi-muoi-tu-nhien-115g-i2909231755.html</v>
      </c>
      <c r="C882" s="10" t="s">
        <v>882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8">
        <v>5737.0</v>
      </c>
      <c r="B883" s="9" t="str">
        <f>HYPERLINK("https://www.lazada.vn/products/2-goi-snack-ong-ma-thuat-i1679793493.html", "https://www.lazada.vn/products/2-goi-snack-ong-ma-thuat-i1679793493.html")</f>
        <v>https://www.lazada.vn/products/2-goi-snack-ong-ma-thuat-i1679793493.html</v>
      </c>
      <c r="C883" s="10" t="s">
        <v>883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8">
        <v>5738.0</v>
      </c>
      <c r="B884" s="9" t="str">
        <f>HYPERLINK("https://www.lazada.vn/products/banh-kitkat-nestle-goi-6-thanh-i2434530916.html", "https://www.lazada.vn/products/banh-kitkat-nestle-goi-6-thanh-i2434530916.html")</f>
        <v>https://www.lazada.vn/products/banh-kitkat-nestle-goi-6-thanh-i2434530916.html</v>
      </c>
      <c r="C884" s="10" t="s">
        <v>884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8">
        <v>5739.0</v>
      </c>
      <c r="B885" s="9" t="str">
        <f>HYPERLINK("https://www.lazada.vn/products/bot-cacao-nesquik-nestle-285g-my-cacao-uong-lien-chi-vit-shop-bot-cacao-nesquik-nestle-285g-my-cacao-uong-lien-chi-vit-shop-i2499308419.html", "https://www.lazada.vn/products/bot-cacao-nesquik-nestle-285g-my-cacao-uong-lien-chi-vit-shop-bot-cacao-nesquik-nestle-285g-my-cacao-uong-lien-chi-vit-shop-i2499308419.html")</f>
        <v>https://www.lazada.vn/products/bot-cacao-nesquik-nestle-285g-my-cacao-uong-lien-chi-vit-shop-bot-cacao-nesquik-nestle-285g-my-cacao-uong-lien-chi-vit-shop-i2499308419.html</v>
      </c>
      <c r="C885" s="10" t="s">
        <v>885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8">
        <v>5740.0</v>
      </c>
      <c r="B886" s="9" t="str">
        <f>HYPERLINK("https://www.lazada.vn/products/ly-bia-ong-noi-moi-thoi-dai-ly-bia-16oz-qua-sinh-nhat-ong-noi-qua-tang-hai-huoc-cho-ong-noi-ly-bia-cho-bo-ly-bia-cho-ong-noi-qua-tang-ngay-cua-cha-i3036468356.html", "https://www.lazada.vn/products/ly-bia-ong-noi-moi-thoi-dai-ly-bia-16oz-qua-sinh-nhat-ong-noi-qua-tang-hai-huoc-cho-ong-noi-ly-bia-cho-bo-ly-bia-cho-ong-noi-qua-tang-ngay-cua-cha-i3036468356.html")</f>
        <v>https://www.lazada.vn/products/ly-bia-ong-noi-moi-thoi-dai-ly-bia-16oz-qua-sinh-nhat-ong-noi-qua-tang-hai-huoc-cho-ong-noi-ly-bia-cho-bo-ly-bia-cho-ong-noi-qua-tang-ngay-cua-cha-i3036468356.html</v>
      </c>
      <c r="C886" s="10" t="s">
        <v>886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8">
        <v>5741.0</v>
      </c>
      <c r="B887" s="9" t="str">
        <f>HYPERLINK("https://www.lazada.vn/products/combo-6-lon-tang-luc-champion-campuchia-vi-bac-ha-da-lanh-6lonx250ml-vi-ngon-mat-lanh-combodia-i2668796495.html", "https://www.lazada.vn/products/combo-6-lon-tang-luc-champion-campuchia-vi-bac-ha-da-lanh-6lonx250ml-vi-ngon-mat-lanh-combodia-i2668796495.html")</f>
        <v>https://www.lazada.vn/products/combo-6-lon-tang-luc-champion-campuchia-vi-bac-ha-da-lanh-6lonx250ml-vi-ngon-mat-lanh-combodia-i2668796495.html</v>
      </c>
      <c r="C887" s="10" t="s">
        <v>887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8">
        <v>5742.0</v>
      </c>
      <c r="B888" s="9" t="str">
        <f>HYPERLINK("https://www.lazada.vn/products/ruou-vang-sui-tavernello-novebolle-romagna-spumante-extra-dry-i2396325007.html", "https://www.lazada.vn/products/ruou-vang-sui-tavernello-novebolle-romagna-spumante-extra-dry-i2396325007.html")</f>
        <v>https://www.lazada.vn/products/ruou-vang-sui-tavernello-novebolle-romagna-spumante-extra-dry-i2396325007.html</v>
      </c>
      <c r="C888" s="10" t="s">
        <v>888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8">
        <v>5743.0</v>
      </c>
      <c r="B889" s="9" t="str">
        <f>HYPERLINK("https://www.lazada.vn/products/soju-han-quoc-7drops-360ml-vi-quyt-i2331917931.html", "https://www.lazada.vn/products/soju-han-quoc-7drops-360ml-vi-quyt-i2331917931.html")</f>
        <v>https://www.lazada.vn/products/soju-han-quoc-7drops-360ml-vi-quyt-i2331917931.html</v>
      </c>
      <c r="C889" s="10" t="s">
        <v>889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8">
        <v>5744.0</v>
      </c>
      <c r="B890" s="9" t="str">
        <f>HYPERLINK("https://www.lazada.vn/products/si-1-thung-12-lon-1-lit-bia-lua-mi-say-nhuyen-thu-cong-kieu-bi-bia-co-lao-gia-wojiabo-i2942538721.html", "https://www.lazada.vn/products/si-1-thung-12-lon-1-lit-bia-lua-mi-say-nhuyen-thu-cong-kieu-bi-bia-co-lao-gia-wojiabo-i2942538721.html")</f>
        <v>https://www.lazada.vn/products/si-1-thung-12-lon-1-lit-bia-lua-mi-say-nhuyen-thu-cong-kieu-bi-bia-co-lao-gia-wojiabo-i2942538721.html</v>
      </c>
      <c r="C890" s="10" t="s">
        <v>890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8">
        <v>5745.0</v>
      </c>
      <c r="B891" s="9" t="str">
        <f>HYPERLINK("https://www.lazada.vn/products/date-2026-ca-phe-hoa-tan-good-morning-tran-quang-i3016024071.html", "https://www.lazada.vn/products/date-2026-ca-phe-hoa-tan-good-morning-tran-quang-i3016024071.html")</f>
        <v>https://www.lazada.vn/products/date-2026-ca-phe-hoa-tan-good-morning-tran-quang-i3016024071.html</v>
      </c>
      <c r="C891" s="10" t="s">
        <v>891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8">
        <v>5746.0</v>
      </c>
      <c r="B892" s="9" t="str">
        <f>HYPERLINK("https://www.lazada.vn/products/hong-say-deo-tui-500g-hang-dep-i2924787723.html", "https://www.lazada.vn/products/hong-say-deo-tui-500g-hang-dep-i2924787723.html")</f>
        <v>https://www.lazada.vn/products/hong-say-deo-tui-500g-hang-dep-i2924787723.html</v>
      </c>
      <c r="C892" s="10" t="s">
        <v>892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8">
        <v>5747.0</v>
      </c>
      <c r="B893" s="9" t="str">
        <f>HYPERLINK("https://www.lazada.vn/products/banh-pia-can-xai-trung-muoi-my-hiep-thanh-hop-4-cai-380g-dac-san-vung-thom-soc-trang-i2842803823.html", "https://www.lazada.vn/products/banh-pia-can-xai-trung-muoi-my-hiep-thanh-hop-4-cai-380g-dac-san-vung-thom-soc-trang-i2842803823.html")</f>
        <v>https://www.lazada.vn/products/banh-pia-can-xai-trung-muoi-my-hiep-thanh-hop-4-cai-380g-dac-san-vung-thom-soc-trang-i2842803823.html</v>
      </c>
      <c r="C893" s="10" t="s">
        <v>893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8">
        <v>5748.0</v>
      </c>
      <c r="B894" s="9" t="str">
        <f>HYPERLINK("https://www.lazada.vn/products/banh-gung-tao-do-do-an-nhe-tot-cho-suc-khoe-khong-duong-duong-than-tam-an-khi-huyet-luu-thong-i2842386433.html", "https://www.lazada.vn/products/banh-gung-tao-do-do-an-nhe-tot-cho-suc-khoe-khong-duong-duong-than-tam-an-khi-huyet-luu-thong-i2842386433.html")</f>
        <v>https://www.lazada.vn/products/banh-gung-tao-do-do-an-nhe-tot-cho-suc-khoe-khong-duong-duong-than-tam-an-khi-huyet-luu-thong-i2842386433.html</v>
      </c>
      <c r="C894" s="10" t="s">
        <v>894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8">
        <v>5749.0</v>
      </c>
      <c r="B895" s="9" t="str">
        <f>HYPERLINK("https://www.lazada.vn/products/ly-bia-nay-co-vi-rat-giong-nhu-toi-khong-di-lam-ngay-mai-ly-bia-hai-huoc-cho-ban-trai-bo-chong-hoac-anh-em-y-tuong-qua-tang-cho-nguoi-yeu-bia-ve-huu-i3036409278.html", "https://www.lazada.vn/products/ly-bia-nay-co-vi-rat-giong-nhu-toi-khong-di-lam-ngay-mai-ly-bia-hai-huoc-cho-ban-trai-bo-chong-hoac-anh-em-y-tuong-qua-tang-cho-nguoi-yeu-bia-ve-huu-i3036409278.html")</f>
        <v>https://www.lazada.vn/products/ly-bia-nay-co-vi-rat-giong-nhu-toi-khong-di-lam-ngay-mai-ly-bia-hai-huoc-cho-ban-trai-bo-chong-hoac-anh-em-y-tuong-qua-tang-cho-nguoi-yeu-bia-ve-huu-i3036409278.html</v>
      </c>
      <c r="C895" s="10" t="s">
        <v>895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8">
        <v>5750.0</v>
      </c>
      <c r="B896" s="9" t="str">
        <f>HYPERLINK("https://www.lazada.vn/products/1kg-banh-trang-phoi-suong-i2425742654.html", "https://www.lazada.vn/products/1kg-banh-trang-phoi-suong-i2425742654.html")</f>
        <v>https://www.lazada.vn/products/1kg-banh-trang-phoi-suong-i2425742654.html</v>
      </c>
      <c r="C896" s="10" t="s">
        <v>896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8">
        <v>5751.0</v>
      </c>
      <c r="B897" s="9" t="str">
        <f>HYPERLINK("https://www.lazada.vn/products/loai-1-banh-gung-cam-thao-tui-500g-bo-sung-tao-do-me-va-vo-quyt-huong-vi-thom-ngon-tot-cho-suc-khoe-i2842310644.html", "https://www.lazada.vn/products/loai-1-banh-gung-cam-thao-tui-500g-bo-sung-tao-do-me-va-vo-quyt-huong-vi-thom-ngon-tot-cho-suc-khoe-i2842310644.html")</f>
        <v>https://www.lazada.vn/products/loai-1-banh-gung-cam-thao-tui-500g-bo-sung-tao-do-me-va-vo-quyt-huong-vi-thom-ngon-tot-cho-suc-khoe-i2842310644.html</v>
      </c>
      <c r="C897" s="10" t="s">
        <v>897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8">
        <v>5752.0</v>
      </c>
      <c r="B898" s="9" t="str">
        <f>HYPERLINK("https://www.lazada.vn/products/khoai-say-deo-500g-1kg-i2924774260.html", "https://www.lazada.vn/products/khoai-say-deo-500g-1kg-i2924774260.html")</f>
        <v>https://www.lazada.vn/products/khoai-say-deo-500g-1kg-i2924774260.html</v>
      </c>
      <c r="C898" s="10" t="s">
        <v>898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8">
        <v>5753.0</v>
      </c>
      <c r="B899" s="9" t="str">
        <f>HYPERLINK("https://www.lazada.vn/products/500gr-mo-say-tho-nhi-ky-mo-say-deo-khong-duong-khong-hat-nguyen-lieu-lam-keo-nougat-i2924773019.html", "https://www.lazada.vn/products/500gr-mo-say-tho-nhi-ky-mo-say-deo-khong-duong-khong-hat-nguyen-lieu-lam-keo-nougat-i2924773019.html")</f>
        <v>https://www.lazada.vn/products/500gr-mo-say-tho-nhi-ky-mo-say-deo-khong-duong-khong-hat-nguyen-lieu-lam-keo-nougat-i2924773019.html</v>
      </c>
      <c r="C899" s="10" t="s">
        <v>899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8">
        <v>5754.0</v>
      </c>
      <c r="B900" s="9" t="str">
        <f>HYPERLINK("https://www.lazada.vn/products/chuoi-say-deo-500g-1kg-i2924751267.html", "https://www.lazada.vn/products/chuoi-say-deo-500g-1kg-i2924751267.html")</f>
        <v>https://www.lazada.vn/products/chuoi-say-deo-500g-1kg-i2924751267.html</v>
      </c>
      <c r="C900" s="10" t="s">
        <v>900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8">
        <v>5755.0</v>
      </c>
      <c r="B901" s="9" t="str">
        <f>HYPERLINK("https://www.lazada.vn/products/10-cai-banh-trang-mi-nhut-deo-dai-nhung-nuoc-binh-dinh-i2839032857.html", "https://www.lazada.vn/products/10-cai-banh-trang-mi-nhut-deo-dai-nhung-nuoc-binh-dinh-i2839032857.html")</f>
        <v>https://www.lazada.vn/products/10-cai-banh-trang-mi-nhut-deo-dai-nhung-nuoc-binh-dinh-i2839032857.html</v>
      </c>
      <c r="C901" s="10" t="s">
        <v>901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8">
        <v>5756.0</v>
      </c>
      <c r="B902" s="9" t="str">
        <f>HYPERLINK("https://www.lazada.vn/products/khoai-say-deo-500g-1kg-i2924748321.html", "https://www.lazada.vn/products/khoai-say-deo-500g-1kg-i2924748321.html")</f>
        <v>https://www.lazada.vn/products/khoai-say-deo-500g-1kg-i2924748321.html</v>
      </c>
      <c r="C902" s="10" t="s">
        <v>902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8">
        <v>5757.0</v>
      </c>
      <c r="B903" s="9" t="str">
        <f>HYPERLINK("https://www.lazada.vn/products/banh-pia-goi-giay-dau-mo-hanh-truyen-thong-hue-anh-i2837897687.html", "https://www.lazada.vn/products/banh-pia-goi-giay-dau-mo-hanh-truyen-thong-hue-anh-i2837897687.html")</f>
        <v>https://www.lazada.vn/products/banh-pia-goi-giay-dau-mo-hanh-truyen-thong-hue-anh-i2837897687.html</v>
      </c>
      <c r="C903" s="10" t="s">
        <v>903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8">
        <v>5758.0</v>
      </c>
      <c r="B904" s="9" t="str">
        <f>HYPERLINK("https://www.lazada.vn/products/chuoi-say-deo-500g-1kg-i2924739641.html", "https://www.lazada.vn/products/chuoi-say-deo-500g-1kg-i2924739641.html")</f>
        <v>https://www.lazada.vn/products/chuoi-say-deo-500g-1kg-i2924739641.html</v>
      </c>
      <c r="C904" s="10" t="s">
        <v>904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8">
        <v>5759.0</v>
      </c>
      <c r="B905" s="9" t="str">
        <f>HYPERLINK("https://www.lazada.vn/products/banh-bong-mai-nhan-khom-dau-truyen-thong-hop-nho-150gr-i2837890587.html", "https://www.lazada.vn/products/banh-bong-mai-nhan-khom-dau-truyen-thong-hop-nho-150gr-i2837890587.html")</f>
        <v>https://www.lazada.vn/products/banh-bong-mai-nhan-khom-dau-truyen-thong-hop-nho-150gr-i2837890587.html</v>
      </c>
      <c r="C905" s="10" t="s">
        <v>905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8">
        <v>5760.0</v>
      </c>
      <c r="B906" s="9" t="str">
        <f>HYPERLINK("https://www.lazada.vn/products/khoai-say-deo-500g-1kg-i2924714926.html", "https://www.lazada.vn/products/khoai-say-deo-500g-1kg-i2924714926.html")</f>
        <v>https://www.lazada.vn/products/khoai-say-deo-500g-1kg-i2924714926.html</v>
      </c>
      <c r="C906" s="10" t="s">
        <v>906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8">
        <v>5761.0</v>
      </c>
      <c r="B907" s="9" t="str">
        <f>HYPERLINK("https://www.lazada.vn/products/banh-pia-premium-big-size-1-trung-muoi-dau-xanh-sau-rieng-trung-muoi-i2834390312.html", "https://www.lazada.vn/products/banh-pia-premium-big-size-1-trung-muoi-dau-xanh-sau-rieng-trung-muoi-i2834390312.html")</f>
        <v>https://www.lazada.vn/products/banh-pia-premium-big-size-1-trung-muoi-dau-xanh-sau-rieng-trung-muoi-i2834390312.html</v>
      </c>
      <c r="C907" s="10" t="s">
        <v>907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8">
        <v>5762.0</v>
      </c>
      <c r="B908" s="9" t="str">
        <f>HYPERLINK("https://www.lazada.vn/products/khoai-say-deo-500g-1kg-i2924706905.html", "https://www.lazada.vn/products/khoai-say-deo-500g-1kg-i2924706905.html")</f>
        <v>https://www.lazada.vn/products/khoai-say-deo-500g-1kg-i2924706905.html</v>
      </c>
      <c r="C908" s="10" t="s">
        <v>908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8">
        <v>5763.0</v>
      </c>
      <c r="B909" s="9" t="str">
        <f>HYPERLINK("https://www.lazada.vn/products/banh-pia-premium-big-size-2-trung-muoi-dau-xanh-sau-rieng-trung-muoi-i2834362169.html", "https://www.lazada.vn/products/banh-pia-premium-big-size-2-trung-muoi-dau-xanh-sau-rieng-trung-muoi-i2834362169.html")</f>
        <v>https://www.lazada.vn/products/banh-pia-premium-big-size-2-trung-muoi-dau-xanh-sau-rieng-trung-muoi-i2834362169.html</v>
      </c>
      <c r="C909" s="10" t="s">
        <v>909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8">
        <v>5764.0</v>
      </c>
      <c r="B910" s="9" t="str">
        <f>HYPERLINK("https://www.lazada.vn/products/chuoi-say-deo-500g-1kg-i2924702755.html", "https://www.lazada.vn/products/chuoi-say-deo-500g-1kg-i2924702755.html")</f>
        <v>https://www.lazada.vn/products/chuoi-say-deo-500g-1kg-i2924702755.html</v>
      </c>
      <c r="C910" s="10" t="s">
        <v>910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8">
        <v>5765.0</v>
      </c>
      <c r="B911" s="9" t="str">
        <f>HYPERLINK("https://www.lazada.vn/products/ly-bia-i-drink-and-i-know-things-16-oz-ly-bia-hai-huoc-qua-tang-hai-huoc-cho-bo-dan-ong-ban-be-hoac-anh-ay-san-xuat-tai-my-lay-cam-hung-tu-got-i3036350593.html", "https://www.lazada.vn/products/ly-bia-i-drink-and-i-know-things-16-oz-ly-bia-hai-huoc-qua-tang-hai-huoc-cho-bo-dan-ong-ban-be-hoac-anh-ay-san-xuat-tai-my-lay-cam-hung-tu-got-i3036350593.html")</f>
        <v>https://www.lazada.vn/products/ly-bia-i-drink-and-i-know-things-16-oz-ly-bia-hai-huoc-qua-tang-hai-huoc-cho-bo-dan-ong-ban-be-hoac-anh-ay-san-xuat-tai-my-lay-cam-hung-tu-got-i3036350593.html</v>
      </c>
      <c r="C911" s="10" t="s">
        <v>911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8">
        <v>5766.0</v>
      </c>
      <c r="B912" s="9" t="str">
        <f>HYPERLINK("https://www.lazada.vn/products/chuoi-say-deo-500g-1kg-i2924690894.html", "https://www.lazada.vn/products/chuoi-say-deo-500g-1kg-i2924690894.html")</f>
        <v>https://www.lazada.vn/products/chuoi-say-deo-500g-1kg-i2924690894.html</v>
      </c>
      <c r="C912" s="10" t="s">
        <v>912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8">
        <v>5767.0</v>
      </c>
      <c r="B913" s="9" t="str">
        <f>HYPERLINK("https://www.lazada.vn/products/sua-chua-kho-say-lanh-vi-trai-cay-yumi-goi-45g-lkm-mart-i2421926884.html", "https://www.lazada.vn/products/sua-chua-kho-say-lanh-vi-trai-cay-yumi-goi-45g-lkm-mart-i2421926884.html")</f>
        <v>https://www.lazada.vn/products/sua-chua-kho-say-lanh-vi-trai-cay-yumi-goi-45g-lkm-mart-i2421926884.html</v>
      </c>
      <c r="C913" s="10" t="s">
        <v>913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8">
        <v>5768.0</v>
      </c>
      <c r="B914" s="9" t="str">
        <f>HYPERLINK("https://www.lazada.vn/products/banh-trang-sot-mam-hanh-chay-sieu-ngonnnn-an-vat-chay-ngon-i2747827371.html", "https://www.lazada.vn/products/banh-trang-sot-mam-hanh-chay-sieu-ngonnnn-an-vat-chay-ngon-i2747827371.html")</f>
        <v>https://www.lazada.vn/products/banh-trang-sot-mam-hanh-chay-sieu-ngonnnn-an-vat-chay-ngon-i2747827371.html</v>
      </c>
      <c r="C914" s="10" t="s">
        <v>914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8">
        <v>5769.0</v>
      </c>
      <c r="B915" s="9" t="str">
        <f>HYPERLINK("https://www.lazada.vn/products/chuoi-say-deo-500g-1kg-i2924591840.html", "https://www.lazada.vn/products/chuoi-say-deo-500g-1kg-i2924591840.html")</f>
        <v>https://www.lazada.vn/products/chuoi-say-deo-500g-1kg-i2924591840.html</v>
      </c>
      <c r="C915" s="10" t="s">
        <v>915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8">
        <v>5770.0</v>
      </c>
      <c r="B916" s="9" t="str">
        <f>HYPERLINK("https://www.lazada.vn/products/ruou-vang-sui-mionetto-prosecco-rose-do-chua-hai-hoa-can-bang-ngot-ngao-tu-cac-loai-qua-i2396248266.html", "https://www.lazada.vn/products/ruou-vang-sui-mionetto-prosecco-rose-do-chua-hai-hoa-can-bang-ngot-ngao-tu-cac-loai-qua-i2396248266.html")</f>
        <v>https://www.lazada.vn/products/ruou-vang-sui-mionetto-prosecco-rose-do-chua-hai-hoa-can-bang-ngot-ngao-tu-cac-loai-qua-i2396248266.html</v>
      </c>
      <c r="C916" s="10" t="s">
        <v>916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8">
        <v>5771.0</v>
      </c>
      <c r="B917" s="9" t="str">
        <f>HYPERLINK("https://www.lazada.vn/products/khoai-lang-ken-1-kg-4-goi-250g-hoa-toc-nguyen-lieu-an-vat-an-chay-kho-pha-che-da-nang-i2909227111.html", "https://www.lazada.vn/products/khoai-lang-ken-1-kg-4-goi-250g-hoa-toc-nguyen-lieu-an-vat-an-chay-kho-pha-che-da-nang-i2909227111.html")</f>
        <v>https://www.lazada.vn/products/khoai-lang-ken-1-kg-4-goi-250g-hoa-toc-nguyen-lieu-an-vat-an-chay-kho-pha-che-da-nang-i2909227111.html</v>
      </c>
      <c r="C917" s="10" t="s">
        <v>917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8">
        <v>5772.0</v>
      </c>
      <c r="B918" s="9" t="str">
        <f>HYPERLINK("https://www.lazada.vn/products/thung-24-lon-tang-luc-champion-vi-bac-ha-da-lanh-24-lonx330ml-i2668387795.html", "https://www.lazada.vn/products/thung-24-lon-tang-luc-champion-vi-bac-ha-da-lanh-24-lonx330ml-i2668387795.html")</f>
        <v>https://www.lazada.vn/products/thung-24-lon-tang-luc-champion-vi-bac-ha-da-lanh-24-lonx330ml-i2668387795.html</v>
      </c>
      <c r="C918" s="10" t="s">
        <v>918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8">
        <v>5773.0</v>
      </c>
      <c r="B919" s="9" t="str">
        <f>HYPERLINK("https://www.lazada.vn/products/soju-han-quoc-good-day-360ml-vi-dau-i2331913962.html", "https://www.lazada.vn/products/soju-han-quoc-good-day-360ml-vi-dau-i2331913962.html")</f>
        <v>https://www.lazada.vn/products/soju-han-quoc-good-day-360ml-vi-dau-i2331913962.html</v>
      </c>
      <c r="C919" s="10" t="s">
        <v>919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8">
        <v>5774.0</v>
      </c>
      <c r="B920" s="9" t="str">
        <f>HYPERLINK("https://www.lazada.vn/products/bot-cacao-lua-mach-ovaltine-hop-400g-date-62026-i2496205726.html", "https://www.lazada.vn/products/bot-cacao-lua-mach-ovaltine-hop-400g-date-62026-i2496205726.html")</f>
        <v>https://www.lazada.vn/products/bot-cacao-lua-mach-ovaltine-hop-400g-date-62026-i2496205726.html</v>
      </c>
      <c r="C920" s="10" t="s">
        <v>920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8">
        <v>5775.0</v>
      </c>
      <c r="B921" s="9" t="str">
        <f>HYPERLINK("https://www.lazada.vn/products/10-goi-gan-ga-nong-sot-i1679793361.html", "https://www.lazada.vn/products/10-goi-gan-ga-nong-sot-i1679793361.html")</f>
        <v>https://www.lazada.vn/products/10-goi-gan-ga-nong-sot-i1679793361.html</v>
      </c>
      <c r="C921" s="10" t="s">
        <v>921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8">
        <v>5776.0</v>
      </c>
      <c r="B922" s="9" t="str">
        <f>HYPERLINK("https://www.lazada.vn/products/bia-da-tuong-niem-tuy-chinh-cho-nguoi-thu-cung-cho-meo-bia-mo-khac-ca-nhan-cho-nguoi-than-da-mat-bia-mo-bia-mo-tam-thoi-cho-nghia-trang-danh-cho-th-i3036298479.html", "https://www.lazada.vn/products/bia-da-tuong-niem-tuy-chinh-cho-nguoi-thu-cung-cho-meo-bia-mo-khac-ca-nhan-cho-nguoi-than-da-mat-bia-mo-bia-mo-tam-thoi-cho-nghia-trang-danh-cho-th-i3036298479.html")</f>
        <v>https://www.lazada.vn/products/bia-da-tuong-niem-tuy-chinh-cho-nguoi-thu-cung-cho-meo-bia-mo-khac-ca-nhan-cho-nguoi-than-da-mat-bia-mo-bia-mo-tam-thoi-cho-nghia-trang-danh-cho-th-i3036298479.html</v>
      </c>
      <c r="C922" s="10" t="s">
        <v>922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8">
        <v>5777.0</v>
      </c>
      <c r="B923" s="9" t="str">
        <f>HYPERLINK("https://www.lazada.vn/products/bia-ura-205k-thung-24-lon-330ml-do-con-43-i3035610811.html", "https://www.lazada.vn/products/bia-ura-205k-thung-24-lon-330ml-do-con-43-i3035610811.html")</f>
        <v>https://www.lazada.vn/products/bia-ura-205k-thung-24-lon-330ml-do-con-43-i3035610811.html</v>
      </c>
      <c r="C923" s="10" t="s">
        <v>923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8">
        <v>5778.0</v>
      </c>
      <c r="B924" s="9" t="str">
        <f>HYPERLINK("https://www.lazada.vn/products/combo-1-can-2l-bia-asahi-super-dry-1-vang-do-alpaca-i3033425144.html", "https://www.lazada.vn/products/combo-1-can-2l-bia-asahi-super-dry-1-vang-do-alpaca-i3033425144.html")</f>
        <v>https://www.lazada.vn/products/combo-1-can-2l-bia-asahi-super-dry-1-vang-do-alpaca-i3033425144.html</v>
      </c>
      <c r="C924" s="10" t="s">
        <v>924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8">
        <v>5779.0</v>
      </c>
      <c r="B925" s="9" t="str">
        <f>HYPERLINK("https://www.lazada.vn/products/bia-thu-cong-co-lao-gia-noi-dia-trung-quoc-mataico-lon-1l-i3033390853.html", "https://www.lazada.vn/products/bia-thu-cong-co-lao-gia-noi-dia-trung-quoc-mataico-lon-1l-i3033390853.html")</f>
        <v>https://www.lazada.vn/products/bia-thu-cong-co-lao-gia-noi-dia-trung-quoc-mataico-lon-1l-i3033390853.html</v>
      </c>
      <c r="C925" s="10" t="s">
        <v>925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8">
        <v>5780.0</v>
      </c>
      <c r="B926" s="9" t="str">
        <f>HYPERLINK("https://www.lazada.vn/products/gia-soc-thung-bia-lon-asahi-nhat-ban-5-330ml-i3032220350.html", "https://www.lazada.vn/products/gia-soc-thung-bia-lon-asahi-nhat-ban-5-330ml-i3032220350.html")</f>
        <v>https://www.lazada.vn/products/gia-soc-thung-bia-lon-asahi-nhat-ban-5-330ml-i3032220350.html</v>
      </c>
      <c r="C926" s="10" t="s">
        <v>926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8">
        <v>5781.0</v>
      </c>
      <c r="B927" s="9" t="str">
        <f>HYPERLINK("https://www.lazada.vn/products/sales-soc-thung-bia-asahi-nhat-ban-5-330ml-i3032188178.html", "https://www.lazada.vn/products/sales-soc-thung-bia-asahi-nhat-ban-5-330ml-i3032188178.html")</f>
        <v>https://www.lazada.vn/products/sales-soc-thung-bia-asahi-nhat-ban-5-330ml-i3032188178.html</v>
      </c>
      <c r="C927" s="10" t="s">
        <v>927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8">
        <v>5782.0</v>
      </c>
      <c r="B928" s="9" t="str">
        <f>HYPERLINK("https://www.lazada.vn/products/sieu-sales-thung-bia-asahi-nhat-ban-5-330ml-i3032186295.html", "https://www.lazada.vn/products/sieu-sales-thung-bia-asahi-nhat-ban-5-330ml-i3032186295.html")</f>
        <v>https://www.lazada.vn/products/sieu-sales-thung-bia-asahi-nhat-ban-5-330ml-i3032186295.html</v>
      </c>
      <c r="C928" s="10" t="s">
        <v>928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8">
        <v>5783.0</v>
      </c>
      <c r="B929" s="9" t="str">
        <f>HYPERLINK("https://www.lazada.vn/products/gia-soc-loc-6-lon-bia-lon-asahi-nhat-ban-5-330ml-i3032126518.html", "https://www.lazada.vn/products/gia-soc-loc-6-lon-bia-lon-asahi-nhat-ban-5-330ml-i3032126518.html")</f>
        <v>https://www.lazada.vn/products/gia-soc-loc-6-lon-bia-lon-asahi-nhat-ban-5-330ml-i3032126518.html</v>
      </c>
      <c r="C929" s="10" t="s">
        <v>929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8">
        <v>5784.0</v>
      </c>
      <c r="B930" s="9" t="str">
        <f>HYPERLINK("https://www.lazada.vn/products/bia-gau-dark-wheat-54-lon-500ml-i3032004464.html", "https://www.lazada.vn/products/bia-gau-dark-wheat-54-lon-500ml-i3032004464.html")</f>
        <v>https://www.lazada.vn/products/bia-gau-dark-wheat-54-lon-500ml-i3032004464.html</v>
      </c>
      <c r="C930" s="10" t="s">
        <v>930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8">
        <v>5785.0</v>
      </c>
      <c r="B931" s="9" t="str">
        <f>HYPERLINK("https://www.lazada.vn/products/vang-da-lat-classic-trang-12-3-lit-i2395910876.html", "https://www.lazada.vn/products/vang-da-lat-classic-trang-12-3-lit-i2395910876.html")</f>
        <v>https://www.lazada.vn/products/vang-da-lat-classic-trang-12-3-lit-i2395910876.html</v>
      </c>
      <c r="C931" s="10" t="s">
        <v>931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8">
        <v>5786.0</v>
      </c>
      <c r="B932" s="9" t="str">
        <f>HYPERLINK("https://www.lazada.vn/products/bia-gau-wheat-5-lon-500ml-i3031990579.html", "https://www.lazada.vn/products/bia-gau-wheat-5-lon-500ml-i3031990579.html")</f>
        <v>https://www.lazada.vn/products/bia-gau-wheat-5-lon-500ml-i3031990579.html</v>
      </c>
      <c r="C932" s="10" t="s">
        <v>932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8">
        <v>5787.0</v>
      </c>
      <c r="B933" s="9" t="str">
        <f>HYPERLINK("https://www.lazada.vn/products/vang-da-lat-trang-cadahill-export-135-750ml-i2395478185.html", "https://www.lazada.vn/products/vang-da-lat-trang-cadahill-export-135-750ml-i2395478185.html")</f>
        <v>https://www.lazada.vn/products/vang-da-lat-trang-cadahill-export-135-750ml-i2395478185.html</v>
      </c>
      <c r="C933" s="10" t="s">
        <v>933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8">
        <v>5788.0</v>
      </c>
      <c r="B934" s="9" t="str">
        <f>HYPERLINK("https://www.lazada.vn/products/vang-da-lat-trang-cadahill-export-12-750ml-i2395153887.html", "https://www.lazada.vn/products/vang-da-lat-trang-cadahill-export-12-750ml-i2395153887.html")</f>
        <v>https://www.lazada.vn/products/vang-da-lat-trang-cadahill-export-12-750ml-i2395153887.html</v>
      </c>
      <c r="C934" s="10" t="s">
        <v>934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8">
        <v>5789.0</v>
      </c>
      <c r="B935" s="9" t="str">
        <f>HYPERLINK("https://www.lazada.vn/products/gia-sieu-uu-dai-loc-6-lon-bia-asahi-nhat-ban-5-330ml-nhap-khau-chinh-hang-i3031904588.html", "https://www.lazada.vn/products/gia-sieu-uu-dai-loc-6-lon-bia-asahi-nhat-ban-5-330ml-nhap-khau-chinh-hang-i3031904588.html")</f>
        <v>https://www.lazada.vn/products/gia-sieu-uu-dai-loc-6-lon-bia-asahi-nhat-ban-5-330ml-nhap-khau-chinh-hang-i3031904588.html</v>
      </c>
      <c r="C935" s="10" t="s">
        <v>935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8">
        <v>5790.0</v>
      </c>
      <c r="B936" s="9" t="str">
        <f>HYPERLINK("https://www.lazada.vn/products/vang-da-lat-trang-chateau-classic-12-750ml-i2394533321.html", "https://www.lazada.vn/products/vang-da-lat-trang-chateau-classic-12-750ml-i2394533321.html")</f>
        <v>https://www.lazada.vn/products/vang-da-lat-trang-chateau-classic-12-750ml-i2394533321.html</v>
      </c>
      <c r="C936" s="10" t="s">
        <v>936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8">
        <v>5791.0</v>
      </c>
      <c r="B937" s="9" t="str">
        <f>HYPERLINK("https://www.lazada.vn/products/gia-sieu-uu-dai-thung-bia-lon-asahi-nhat-ban-5-330ml-nhap-khau-chinh-hang-i3031730947.html", "https://www.lazada.vn/products/gia-sieu-uu-dai-thung-bia-lon-asahi-nhat-ban-5-330ml-nhap-khau-chinh-hang-i3031730947.html")</f>
        <v>https://www.lazada.vn/products/gia-sieu-uu-dai-thung-bia-lon-asahi-nhat-ban-5-330ml-nhap-khau-chinh-hang-i3031730947.html</v>
      </c>
      <c r="C937" s="10" t="s">
        <v>937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8">
        <v>5792.0</v>
      </c>
      <c r="B938" s="9" t="str">
        <f>HYPERLINK("https://www.lazada.vn/products/vang-da-lat-trang-chateau-classic-12-750ml-i2394504082.html", "https://www.lazada.vn/products/vang-da-lat-trang-chateau-classic-12-750ml-i2394504082.html")</f>
        <v>https://www.lazada.vn/products/vang-da-lat-trang-chateau-classic-12-750ml-i2394504082.html</v>
      </c>
      <c r="C938" s="10" t="s">
        <v>938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8">
        <v>5793.0</v>
      </c>
      <c r="B939" s="9" t="str">
        <f>HYPERLINK("https://www.lazada.vn/products/hang-noi-dia-nhat-set-qua-tang-binh-bia-asahi-nhat-ban-5-2000-ml-date-062025-i3030678436.html", "https://www.lazada.vn/products/hang-noi-dia-nhat-set-qua-tang-binh-bia-asahi-nhat-ban-5-2000-ml-date-062025-i3030678436.html")</f>
        <v>https://www.lazada.vn/products/hang-noi-dia-nhat-set-qua-tang-binh-bia-asahi-nhat-ban-5-2000-ml-date-062025-i3030678436.html</v>
      </c>
      <c r="C939" s="10" t="s">
        <v>939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8">
        <v>5794.0</v>
      </c>
      <c r="B940" s="9" t="str">
        <f>HYPERLINK("https://www.lazada.vn/products/vang-mat-ong-da-lat-sweet-honey-wine-12-750ml-i2393828280.html", "https://www.lazada.vn/products/vang-mat-ong-da-lat-sweet-honey-wine-12-750ml-i2393828280.html")</f>
        <v>https://www.lazada.vn/products/vang-mat-ong-da-lat-sweet-honey-wine-12-750ml-i2393828280.html</v>
      </c>
      <c r="C940" s="10" t="s">
        <v>940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8">
        <v>5795.0</v>
      </c>
      <c r="B941" s="9" t="str">
        <f>HYPERLINK("https://www.lazada.vn/products/sales-soc-binh-bia-asahi-hang-noi-dia-nhat-ban-5-2000-ml-date-thang-62025-i3030651320.html", "https://www.lazada.vn/products/sales-soc-binh-bia-asahi-hang-noi-dia-nhat-ban-5-2000-ml-date-thang-62025-i3030651320.html")</f>
        <v>https://www.lazada.vn/products/sales-soc-binh-bia-asahi-hang-noi-dia-nhat-ban-5-2000-ml-date-thang-62025-i3030651320.html</v>
      </c>
      <c r="C941" s="10" t="s">
        <v>941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8">
        <v>5796.0</v>
      </c>
      <c r="B942" s="9" t="str">
        <f>HYPERLINK("https://www.lazada.vn/products/vang-da-lat-trang-chateau-dalat-special-12-750ml-i2393820967.html", "https://www.lazada.vn/products/vang-da-lat-trang-chateau-dalat-special-12-750ml-i2393820967.html")</f>
        <v>https://www.lazada.vn/products/vang-da-lat-trang-chateau-dalat-special-12-750ml-i2393820967.html</v>
      </c>
      <c r="C942" s="10" t="s">
        <v>942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8">
        <v>5797.0</v>
      </c>
      <c r="B943" s="9" t="str">
        <f>HYPERLINK("https://www.lazada.vn/products/hang-noi-dia-nhat-set-qua-tang-bia-asahi-5-2000-ml-date-thang-62025-i3030609607.html", "https://www.lazada.vn/products/hang-noi-dia-nhat-set-qua-tang-bia-asahi-5-2000-ml-date-thang-62025-i3030609607.html")</f>
        <v>https://www.lazada.vn/products/hang-noi-dia-nhat-set-qua-tang-bia-asahi-5-2000-ml-date-thang-62025-i3030609607.html</v>
      </c>
      <c r="C943" s="10" t="s">
        <v>943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8">
        <v>5798.0</v>
      </c>
      <c r="B944" s="9" t="str">
        <f>HYPERLINK("https://www.lazada.vn/products/lap-xuong-i3057165262.html", "https://www.lazada.vn/products/lap-xuong-i3057165262.html")</f>
        <v>https://www.lazada.vn/products/lap-xuong-i3057165262.html</v>
      </c>
      <c r="C944" s="10" t="s">
        <v>944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8">
        <v>5799.0</v>
      </c>
      <c r="B945" s="9" t="str">
        <f>HYPERLINK("https://www.lazada.vn/products/ca-phe-sua-hoa-tan-nescafe-bao-ve-proslim-cham-soc-suc-khoe-hang-ngay-ho-tro-giam-can-goi-15g-i2925209539.html", "https://www.lazada.vn/products/ca-phe-sua-hoa-tan-nescafe-bao-ve-proslim-cham-soc-suc-khoe-hang-ngay-ho-tro-giam-can-goi-15g-i2925209539.html")</f>
        <v>https://www.lazada.vn/products/ca-phe-sua-hoa-tan-nescafe-bao-ve-proslim-cham-soc-suc-khoe-hang-ngay-ho-tro-giam-can-goi-15g-i2925209539.html</v>
      </c>
      <c r="C945" s="10" t="s">
        <v>945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8">
        <v>5800.0</v>
      </c>
      <c r="B946" s="9" t="str">
        <f>HYPERLINK("https://www.lazada.vn/products/vang-da-lat-classic-trang-12-750ml-i2393737127.html", "https://www.lazada.vn/products/vang-da-lat-classic-trang-12-750ml-i2393737127.html")</f>
        <v>https://www.lazada.vn/products/vang-da-lat-classic-trang-12-750ml-i2393737127.html</v>
      </c>
      <c r="C946" s="10" t="s">
        <v>946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8">
        <v>5801.0</v>
      </c>
      <c r="B947" s="9" t="str">
        <f>HYPERLINK("https://www.lazada.vn/products/le-1-lon-1-lit-bia-lua-mi-say-nhuyen-thu-cong-kieu-bi-bia-co-lao-gia-wojiabo-i2942518714.html", "https://www.lazada.vn/products/le-1-lon-1-lit-bia-lua-mi-say-nhuyen-thu-cong-kieu-bi-bia-co-lao-gia-wojiabo-i2942518714.html")</f>
        <v>https://www.lazada.vn/products/le-1-lon-1-lit-bia-lua-mi-say-nhuyen-thu-cong-kieu-bi-bia-co-lao-gia-wojiabo-i2942518714.html</v>
      </c>
      <c r="C947" s="10" t="s">
        <v>947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8">
        <v>5802.0</v>
      </c>
      <c r="B948" s="9" t="str">
        <f>HYPERLINK("https://www.lazada.vn/products/hang-noi-dia-nhat-binh-bia-asahi-nhat-ban-5-2000-ml-date-062025-i3030545777.html", "https://www.lazada.vn/products/hang-noi-dia-nhat-binh-bia-asahi-nhat-ban-5-2000-ml-date-062025-i3030545777.html")</f>
        <v>https://www.lazada.vn/products/hang-noi-dia-nhat-binh-bia-asahi-nhat-ban-5-2000-ml-date-062025-i3030545777.html</v>
      </c>
      <c r="C948" s="10" t="s">
        <v>948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8">
        <v>5803.0</v>
      </c>
      <c r="B949" s="9" t="str">
        <f>HYPERLINK("https://www.lazada.vn/products/vang-da-lat-excellence-trang-12-750ml-i2393736305.html", "https://www.lazada.vn/products/vang-da-lat-excellence-trang-12-750ml-i2393736305.html")</f>
        <v>https://www.lazada.vn/products/vang-da-lat-excellence-trang-12-750ml-i2393736305.html</v>
      </c>
      <c r="C949" s="10" t="s">
        <v>949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8">
        <v>5804.0</v>
      </c>
      <c r="B950" s="9" t="str">
        <f>HYPERLINK("https://www.lazada.vn/products/combo-2-ly-nuoc-doi-mau-qua-tang-khong-ban-i3030370872.html", "https://www.lazada.vn/products/combo-2-ly-nuoc-doi-mau-qua-tang-khong-ban-i3030370872.html")</f>
        <v>https://www.lazada.vn/products/combo-2-ly-nuoc-doi-mau-qua-tang-khong-ban-i3030370872.html</v>
      </c>
      <c r="C950" s="10" t="s">
        <v>950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8">
        <v>5805.0</v>
      </c>
      <c r="B951" s="9" t="str">
        <f>HYPERLINK("https://www.lazada.vn/products/vang-da-lat-excellence-trang-12-750ml-i2393728878.html", "https://www.lazada.vn/products/vang-da-lat-excellence-trang-12-750ml-i2393728878.html")</f>
        <v>https://www.lazada.vn/products/vang-da-lat-excellence-trang-12-750ml-i2393728878.html</v>
      </c>
      <c r="C951" s="10" t="s">
        <v>951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8">
        <v>5806.0</v>
      </c>
      <c r="B952" s="9" t="str">
        <f>HYPERLINK("https://www.lazada.vn/products/hoa-toc-hcm-thung-bia-sai-gon-lager-330ml-x-24-lon-i3030320144.html", "https://www.lazada.vn/products/hoa-toc-hcm-thung-bia-sai-gon-lager-330ml-x-24-lon-i3030320144.html")</f>
        <v>https://www.lazada.vn/products/hoa-toc-hcm-thung-bia-sai-gon-lager-330ml-x-24-lon-i3030320144.html</v>
      </c>
      <c r="C952" s="10" t="s">
        <v>952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8">
        <v>5807.0</v>
      </c>
      <c r="B953" s="9" t="str">
        <f>HYPERLINK("https://www.lazada.vn/products/vang-mat-ong-da-lat-sweet-honey-wine-12-375ml-i2393719386.html", "https://www.lazada.vn/products/vang-mat-ong-da-lat-sweet-honey-wine-12-375ml-i2393719386.html")</f>
        <v>https://www.lazada.vn/products/vang-mat-ong-da-lat-sweet-honey-wine-12-375ml-i2393719386.html</v>
      </c>
      <c r="C953" s="10" t="s">
        <v>953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8">
        <v>5808.0</v>
      </c>
      <c r="B954" s="9" t="str">
        <f>HYPERLINK("https://www.lazada.vn/products/hoa-toc-hcm-thung-bia-tiger-330ml-x-24-lon-cao-i3030292158.html", "https://www.lazada.vn/products/hoa-toc-hcm-thung-bia-tiger-330ml-x-24-lon-cao-i3030292158.html")</f>
        <v>https://www.lazada.vn/products/hoa-toc-hcm-thung-bia-tiger-330ml-x-24-lon-cao-i3030292158.html</v>
      </c>
      <c r="C954" s="10" t="s">
        <v>954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8">
        <v>5809.0</v>
      </c>
      <c r="B955" s="9" t="str">
        <f>HYPERLINK("https://www.lazada.vn/products/vang-da-lat-trang-chateau-dalat-special-12-750ml-i2393717481.html", "https://www.lazada.vn/products/vang-da-lat-trang-chateau-dalat-special-12-750ml-i2393717481.html")</f>
        <v>https://www.lazada.vn/products/vang-da-lat-trang-chateau-dalat-special-12-750ml-i2393717481.html</v>
      </c>
      <c r="C955" s="10" t="s">
        <v>955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8">
        <v>5810.0</v>
      </c>
      <c r="B956" s="9" t="str">
        <f>HYPERLINK("https://www.lazada.vn/products/hoa-toc-hcm-thung-24-lon-bia-heineken-sliver-ken-bac-330ml-i3030279364.html", "https://www.lazada.vn/products/hoa-toc-hcm-thung-24-lon-bia-heineken-sliver-ken-bac-330ml-i3030279364.html")</f>
        <v>https://www.lazada.vn/products/hoa-toc-hcm-thung-24-lon-bia-heineken-sliver-ken-bac-330ml-i3030279364.html</v>
      </c>
      <c r="C956" s="10" t="s">
        <v>956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8">
        <v>5811.0</v>
      </c>
      <c r="B957" s="9" t="str">
        <f>HYPERLINK("https://www.lazada.vn/products/vang-da-lat-export-trang-12-750ml-i2393653384.html", "https://www.lazada.vn/products/vang-da-lat-export-trang-12-750ml-i2393653384.html")</f>
        <v>https://www.lazada.vn/products/vang-da-lat-export-trang-12-750ml-i2393653384.html</v>
      </c>
      <c r="C957" s="10" t="s">
        <v>957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8">
        <v>5812.0</v>
      </c>
      <c r="B958" s="9" t="str">
        <f>HYPERLINK("https://www.lazada.vn/products/hoa-toc-hcm-thung-bia-tiger-bac-330ml-x-24-lon-cao-i3030234490.html", "https://www.lazada.vn/products/hoa-toc-hcm-thung-bia-tiger-bac-330ml-x-24-lon-cao-i3030234490.html")</f>
        <v>https://www.lazada.vn/products/hoa-toc-hcm-thung-bia-tiger-bac-330ml-x-24-lon-cao-i3030234490.html</v>
      </c>
      <c r="C958" s="10" t="s">
        <v>958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8">
        <v>5813.0</v>
      </c>
      <c r="B959" s="9" t="str">
        <f>HYPERLINK("https://www.lazada.vn/products/ruou-vang-trang-chile-karku-reserva-especial-chardonnay-i2393370642.html", "https://www.lazada.vn/products/ruou-vang-trang-chile-karku-reserva-especial-chardonnay-i2393370642.html")</f>
        <v>https://www.lazada.vn/products/ruou-vang-trang-chile-karku-reserva-especial-chardonnay-i2393370642.html</v>
      </c>
      <c r="C959" s="10" t="s">
        <v>959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8">
        <v>5814.0</v>
      </c>
      <c r="B960" s="9" t="str">
        <f>HYPERLINK("https://www.lazada.vn/products/banh-son-tra-100g-an-vat-tuoi-tho-8x9x-i2744649314.html", "https://www.lazada.vn/products/banh-son-tra-100g-an-vat-tuoi-tho-8x9x-i2744649314.html")</f>
        <v>https://www.lazada.vn/products/banh-son-tra-100g-an-vat-tuoi-tho-8x9x-i2744649314.html</v>
      </c>
      <c r="C960" s="10" t="s">
        <v>960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8">
        <v>5815.0</v>
      </c>
      <c r="B961" s="9" t="str">
        <f>HYPERLINK("https://www.lazada.vn/products/bia-duc-g8-chill-i3029701097.html", "https://www.lazada.vn/products/bia-duc-g8-chill-i3029701097.html")</f>
        <v>https://www.lazada.vn/products/bia-duc-g8-chill-i3029701097.html</v>
      </c>
      <c r="C961" s="10" t="s">
        <v>961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8">
        <v>5816.0</v>
      </c>
      <c r="B962" s="9" t="str">
        <f>HYPERLINK("https://www.lazada.vn/products/ruou-vang-trang-chile-karku-gran-reserva-chardonnay-i2393334676.html", "https://www.lazada.vn/products/ruou-vang-trang-chile-karku-gran-reserva-chardonnay-i2393334676.html")</f>
        <v>https://www.lazada.vn/products/ruou-vang-trang-chile-karku-gran-reserva-chardonnay-i2393334676.html</v>
      </c>
      <c r="C962" s="10" t="s">
        <v>962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8">
        <v>5817.0</v>
      </c>
      <c r="B963" s="9" t="str">
        <f>HYPERLINK("https://www.lazada.vn/products/bia-duc-g8-chill-i3029605512.html", "https://www.lazada.vn/products/bia-duc-g8-chill-i3029605512.html")</f>
        <v>https://www.lazada.vn/products/bia-duc-g8-chill-i3029605512.html</v>
      </c>
      <c r="C963" s="10" t="s">
        <v>963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8">
        <v>5818.0</v>
      </c>
      <c r="B964" s="9" t="str">
        <f>HYPERLINK("https://www.lazada.vn/products/ruou-vang-trang-chile-karku-sauvignon-blanc-i2393254860.html", "https://www.lazada.vn/products/ruou-vang-trang-chile-karku-sauvignon-blanc-i2393254860.html")</f>
        <v>https://www.lazada.vn/products/ruou-vang-trang-chile-karku-sauvignon-blanc-i2393254860.html</v>
      </c>
      <c r="C964" s="10" t="s">
        <v>964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8">
        <v>5819.0</v>
      </c>
      <c r="B965" s="9" t="str">
        <f>HYPERLINK("https://www.lazada.vn/products/sehvn-1-thung-bia-corny-khoa-khilong-ngat-ket-noi-cho-bia-nha-kieu-cornelius-i3029093252.html", "https://www.lazada.vn/products/sehvn-1-thung-bia-corny-khoa-khilong-ngat-ket-noi-cho-bia-nha-kieu-cornelius-i3029093252.html")</f>
        <v>https://www.lazada.vn/products/sehvn-1-thung-bia-corny-khoa-khilong-ngat-ket-noi-cho-bia-nha-kieu-cornelius-i3029093252.html</v>
      </c>
      <c r="C965" s="10" t="s">
        <v>965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8">
        <v>5820.0</v>
      </c>
      <c r="B966" s="9" t="str">
        <f>HYPERLINK("https://www.lazada.vn/products/ruou-vang-trang-chile-luis-felipe-edwards-sauvignon-blanc-i2392626028.html", "https://www.lazada.vn/products/ruou-vang-trang-chile-luis-felipe-edwards-sauvignon-blanc-i2392626028.html")</f>
        <v>https://www.lazada.vn/products/ruou-vang-trang-chile-luis-felipe-edwards-sauvignon-blanc-i2392626028.html</v>
      </c>
      <c r="C966" s="10" t="s">
        <v>966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8">
        <v>5821.0</v>
      </c>
      <c r="B967" s="9" t="str">
        <f>HYPERLINK("https://www.lazada.vn/products/bia-oj-strong-imported-85-lon-500ml-i3028015307.html", "https://www.lazada.vn/products/bia-oj-strong-imported-85-lon-500ml-i3028015307.html")</f>
        <v>https://www.lazada.vn/products/bia-oj-strong-imported-85-lon-500ml-i3028015307.html</v>
      </c>
      <c r="C967" s="10" t="s">
        <v>967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8">
        <v>5822.0</v>
      </c>
      <c r="B968" s="9" t="str">
        <f>HYPERLINK("https://www.lazada.vn/products/ruou-vang-trang-chile-luis-felipe-edwards-chardonnay-i2392548169.html", "https://www.lazada.vn/products/ruou-vang-trang-chile-luis-felipe-edwards-chardonnay-i2392548169.html")</f>
        <v>https://www.lazada.vn/products/ruou-vang-trang-chile-luis-felipe-edwards-chardonnay-i2392548169.html</v>
      </c>
      <c r="C968" s="10" t="s">
        <v>968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8">
        <v>5823.0</v>
      </c>
      <c r="B969" s="9" t="str">
        <f>HYPERLINK("https://www.lazada.vn/products/bia-lua-mi-reeper-b-lon-500ml-54-i3027968318.html", "https://www.lazada.vn/products/bia-lua-mi-reeper-b-lon-500ml-54-i3027968318.html")</f>
        <v>https://www.lazada.vn/products/bia-lua-mi-reeper-b-lon-500ml-54-i3027968318.html</v>
      </c>
      <c r="C969" s="10" t="s">
        <v>969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8">
        <v>5824.0</v>
      </c>
      <c r="B970" s="9" t="str">
        <f>HYPERLINK("https://www.lazada.vn/products/ruou-vang-trang-my-chateau-ste-michelle-riesling-i2391773436.html", "https://www.lazada.vn/products/ruou-vang-trang-my-chateau-ste-michelle-riesling-i2391773436.html")</f>
        <v>https://www.lazada.vn/products/ruou-vang-trang-my-chateau-ste-michelle-riesling-i2391773436.html</v>
      </c>
      <c r="C970" s="10" t="s">
        <v>970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8">
        <v>5825.0</v>
      </c>
      <c r="B971" s="9" t="str">
        <f>HYPERLINK("https://www.lazada.vn/products/bia-gap-2-lop-de-giu-chuong-trinh-vo-kich-broadway-va-chuong-trinh-san-khau-voi-30-tam-bao-ve-to-tuy-chinh-da-pu-phu-hop-voi-chuong-trinh-tu-giua-nhung-i3026515225.html", "https://www.lazada.vn/products/bia-gap-2-lop-de-giu-chuong-trinh-vo-kich-broadway-va-chuong-trinh-san-khau-voi-30-tam-bao-ve-to-tuy-chinh-da-pu-phu-hop-voi-chuong-trinh-tu-giua-nhung-i3026515225.html")</f>
        <v>https://www.lazada.vn/products/bia-gap-2-lop-de-giu-chuong-trinh-vo-kich-broadway-va-chuong-trinh-san-khau-voi-30-tam-bao-ve-to-tuy-chinh-da-pu-phu-hop-voi-chuong-trinh-tu-giua-nhung-i3026515225.html</v>
      </c>
      <c r="C971" s="10" t="s">
        <v>971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8">
        <v>5826.0</v>
      </c>
      <c r="B972" s="9" t="str">
        <f>HYPERLINK("https://www.lazada.vn/products/ruou-vang-trang-chile-luis-felipe-edwards-gran-reserva-sauvignon-blanc-i2391769002.html", "https://www.lazada.vn/products/ruou-vang-trang-chile-luis-felipe-edwards-gran-reserva-sauvignon-blanc-i2391769002.html")</f>
        <v>https://www.lazada.vn/products/ruou-vang-trang-chile-luis-felipe-edwards-gran-reserva-sauvignon-blanc-i2391769002.html</v>
      </c>
      <c r="C972" s="10" t="s">
        <v>972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8">
        <v>5827.0</v>
      </c>
      <c r="B973" s="9" t="str">
        <f>HYPERLINK("https://www.lazada.vn/products/bia-oj-20-nhap-khau-bi-1-lon-500ml-i3025096280.html", "https://www.lazada.vn/products/bia-oj-20-nhap-khau-bi-1-lon-500ml-i3025096280.html")</f>
        <v>https://www.lazada.vn/products/bia-oj-20-nhap-khau-bi-1-lon-500ml-i3025096280.html</v>
      </c>
      <c r="C973" s="10" t="s">
        <v>973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8">
        <v>5828.0</v>
      </c>
      <c r="B974" s="9" t="str">
        <f>HYPERLINK("https://www.lazada.vn/products/ruou-vang-trang-y-baccolo-appassimento-i2391739459.html", "https://www.lazada.vn/products/ruou-vang-trang-y-baccolo-appassimento-i2391739459.html")</f>
        <v>https://www.lazada.vn/products/ruou-vang-trang-y-baccolo-appassimento-i2391739459.html</v>
      </c>
      <c r="C974" s="10" t="s">
        <v>974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8">
        <v>5829.0</v>
      </c>
      <c r="B975" s="9" t="str">
        <f>HYPERLINK("https://www.lazada.vn/products/bia-oj-20-nhap-khau-bi-1-thung-24-lon-500ml-i3025084435.html", "https://www.lazada.vn/products/bia-oj-20-nhap-khau-bi-1-thung-24-lon-500ml-i3025084435.html")</f>
        <v>https://www.lazada.vn/products/bia-oj-20-nhap-khau-bi-1-thung-24-lon-500ml-i3025084435.html</v>
      </c>
      <c r="C975" s="10" t="s">
        <v>975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8">
        <v>5830.0</v>
      </c>
      <c r="B976" s="9" t="str">
        <f>HYPERLINK("https://www.lazada.vn/products/ruou-vang-trang-chile-montgras-mg-estate-sauvignon-blanc-i2391732235.html", "https://www.lazada.vn/products/ruou-vang-trang-chile-montgras-mg-estate-sauvignon-blanc-i2391732235.html")</f>
        <v>https://www.lazada.vn/products/ruou-vang-trang-chile-montgras-mg-estate-sauvignon-blanc-i2391732235.html</v>
      </c>
      <c r="C976" s="10" t="s">
        <v>976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8">
        <v>5831.0</v>
      </c>
      <c r="B977" s="9" t="str">
        <f>HYPERLINK("https://www.lazada.vn/products/bia-westmalle-tripel-95-nhap-khau-bi-1-chai-330ml-i3024990566.html", "https://www.lazada.vn/products/bia-westmalle-tripel-95-nhap-khau-bi-1-chai-330ml-i3024990566.html")</f>
        <v>https://www.lazada.vn/products/bia-westmalle-tripel-95-nhap-khau-bi-1-chai-330ml-i3024990566.html</v>
      </c>
      <c r="C977" s="10" t="s">
        <v>977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8">
        <v>5832.0</v>
      </c>
      <c r="B978" s="9" t="str">
        <f>HYPERLINK("https://www.lazada.vn/products/ruou-vang-trang-mcguigan-single-batch-project-chardonnay-i2391720093.html", "https://www.lazada.vn/products/ruou-vang-trang-mcguigan-single-batch-project-chardonnay-i2391720093.html")</f>
        <v>https://www.lazada.vn/products/ruou-vang-trang-mcguigan-single-batch-project-chardonnay-i2391720093.html</v>
      </c>
      <c r="C978" s="10" t="s">
        <v>978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8">
        <v>5833.0</v>
      </c>
      <c r="B979" s="9" t="str">
        <f>HYPERLINK("https://www.lazada.vn/products/bia-oj-20-nhap-khau-bi-1-lon-500ml-i3024897642.html", "https://www.lazada.vn/products/bia-oj-20-nhap-khau-bi-1-lon-500ml-i3024897642.html")</f>
        <v>https://www.lazada.vn/products/bia-oj-20-nhap-khau-bi-1-lon-500ml-i3024897642.html</v>
      </c>
      <c r="C979" s="10" t="s">
        <v>979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8">
        <v>5834.0</v>
      </c>
      <c r="B980" s="9" t="str">
        <f>HYPERLINK("https://www.lazada.vn/products/ruou-vang-trang-chile-montgras-de-vine-reserva-sauvignon-blanc-i2391714517.html", "https://www.lazada.vn/products/ruou-vang-trang-chile-montgras-de-vine-reserva-sauvignon-blanc-i2391714517.html")</f>
        <v>https://www.lazada.vn/products/ruou-vang-trang-chile-montgras-de-vine-reserva-sauvignon-blanc-i2391714517.html</v>
      </c>
      <c r="C980" s="10" t="s">
        <v>980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8">
        <v>5835.0</v>
      </c>
      <c r="B981" s="9" t="str">
        <f>HYPERLINK("https://www.lazada.vn/products/bia-delirium-tremens-85-nhap-khau-bi-1-chai-330ml-i3024882598.html", "https://www.lazada.vn/products/bia-delirium-tremens-85-nhap-khau-bi-1-chai-330ml-i3024882598.html")</f>
        <v>https://www.lazada.vn/products/bia-delirium-tremens-85-nhap-khau-bi-1-chai-330ml-i3024882598.html</v>
      </c>
      <c r="C981" s="10" t="s">
        <v>981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8">
        <v>5836.0</v>
      </c>
      <c r="B982" s="9" t="str">
        <f>HYPERLINK("https://www.lazada.vn/products/ruou-vang-trang-my-chateau-ste-michelle-chardonnay-i2391713717.html", "https://www.lazada.vn/products/ruou-vang-trang-my-chateau-ste-michelle-chardonnay-i2391713717.html")</f>
        <v>https://www.lazada.vn/products/ruou-vang-trang-my-chateau-ste-michelle-chardonnay-i2391713717.html</v>
      </c>
      <c r="C982" s="10" t="s">
        <v>982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8">
        <v>5837.0</v>
      </c>
      <c r="B983" s="9" t="str">
        <f>HYPERLINK("https://www.lazada.vn/products/bia-delirium-tremens-85-nhap-khau-bi-1-chai-330ml-i3024854698.html", "https://www.lazada.vn/products/bia-delirium-tremens-85-nhap-khau-bi-1-chai-330ml-i3024854698.html")</f>
        <v>https://www.lazada.vn/products/bia-delirium-tremens-85-nhap-khau-bi-1-chai-330ml-i3024854698.html</v>
      </c>
      <c r="C983" s="10" t="s">
        <v>983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8">
        <v>5838.0</v>
      </c>
      <c r="B984" s="9" t="str">
        <f>HYPERLINK("https://www.lazada.vn/products/ruou-vang-trang-chile-montgras-de-vine-reserva-chardonnay-i2391713480.html", "https://www.lazada.vn/products/ruou-vang-trang-chile-montgras-de-vine-reserva-chardonnay-i2391713480.html")</f>
        <v>https://www.lazada.vn/products/ruou-vang-trang-chile-montgras-de-vine-reserva-chardonnay-i2391713480.html</v>
      </c>
      <c r="C984" s="10" t="s">
        <v>984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8">
        <v>5839.0</v>
      </c>
      <c r="B985" s="9" t="str">
        <f>HYPERLINK("https://www.lazada.vn/products/bia-oj-20-nhap-khau-bi-1-thung-24-lon-500ml-i3024744828.html", "https://www.lazada.vn/products/bia-oj-20-nhap-khau-bi-1-thung-24-lon-500ml-i3024744828.html")</f>
        <v>https://www.lazada.vn/products/bia-oj-20-nhap-khau-bi-1-thung-24-lon-500ml-i3024744828.html</v>
      </c>
      <c r="C985" s="10" t="s">
        <v>985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8">
        <v>5840.0</v>
      </c>
      <c r="B986" s="9" t="str">
        <f>HYPERLINK("https://www.lazada.vn/products/banh-bong-lan-hap-yinpin-dau-nanh-sau-rieng-xoai-dua-banh-thom-ngon-45gr-do-an-vat-the-garden-i2412073313.html", "https://www.lazada.vn/products/banh-bong-lan-hap-yinpin-dau-nanh-sau-rieng-xoai-dua-banh-thom-ngon-45gr-do-an-vat-the-garden-i2412073313.html")</f>
        <v>https://www.lazada.vn/products/banh-bong-lan-hap-yinpin-dau-nanh-sau-rieng-xoai-dua-banh-thom-ngon-45gr-do-an-vat-the-garden-i2412073313.html</v>
      </c>
      <c r="C986" s="10" t="s">
        <v>986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8">
        <v>5841.0</v>
      </c>
      <c r="B987" s="9" t="str">
        <f>HYPERLINK("https://www.lazada.vn/products/ruou-vang-trang-new-zealand-rapaura-springs-classic-marlborough-sauvignon-blanc-i2391697510.html", "https://www.lazada.vn/products/ruou-vang-trang-new-zealand-rapaura-springs-classic-marlborough-sauvignon-blanc-i2391697510.html")</f>
        <v>https://www.lazada.vn/products/ruou-vang-trang-new-zealand-rapaura-springs-classic-marlborough-sauvignon-blanc-i2391697510.html</v>
      </c>
      <c r="C987" s="10" t="s">
        <v>987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8">
        <v>5842.0</v>
      </c>
      <c r="B988" s="9" t="str">
        <f>HYPERLINK("https://www.lazada.vn/products/bia-westmalle-tripel-95-nhap-khau-bi-1-chai-330ml-i3024735779.html", "https://www.lazada.vn/products/bia-westmalle-tripel-95-nhap-khau-bi-1-chai-330ml-i3024735779.html")</f>
        <v>https://www.lazada.vn/products/bia-westmalle-tripel-95-nhap-khau-bi-1-chai-330ml-i3024735779.html</v>
      </c>
      <c r="C988" s="10" t="s">
        <v>988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8">
        <v>5843.0</v>
      </c>
      <c r="B989" s="9" t="str">
        <f>HYPERLINK("https://www.lazada.vn/products/oliu-den-khong-hat-crespo-387gr-425ml-i3057104292.html", "https://www.lazada.vn/products/oliu-den-khong-hat-crespo-387gr-425ml-i3057104292.html")</f>
        <v>https://www.lazada.vn/products/oliu-den-khong-hat-crespo-387gr-425ml-i3057104292.html</v>
      </c>
      <c r="C989" s="10" t="s">
        <v>989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8">
        <v>5844.0</v>
      </c>
      <c r="B990" s="9" t="str">
        <f>HYPERLINK("https://www.lazada.vn/products/date-1128-ca-trich-hun-khoi-ngam-dau-dong-hop-hieu-vitafish-loai-premium-160g-i3057102268.html", "https://www.lazada.vn/products/date-1128-ca-trich-hun-khoi-ngam-dau-dong-hop-hieu-vitafish-loai-premium-160g-i3057102268.html")</f>
        <v>https://www.lazada.vn/products/date-1128-ca-trich-hun-khoi-ngam-dau-dong-hop-hieu-vitafish-loai-premium-160g-i3057102268.html</v>
      </c>
      <c r="C990" s="10" t="s">
        <v>990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8">
        <v>5845.0</v>
      </c>
      <c r="B991" s="9" t="str">
        <f>HYPERLINK("https://www.lazada.vn/products/ruou-vang-trang-chile-montgras-quatro-i2391684313.html", "https://www.lazada.vn/products/ruou-vang-trang-chile-montgras-quatro-i2391684313.html")</f>
        <v>https://www.lazada.vn/products/ruou-vang-trang-chile-montgras-quatro-i2391684313.html</v>
      </c>
      <c r="C991" s="10" t="s">
        <v>991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8">
        <v>5846.0</v>
      </c>
      <c r="B992" s="9" t="str">
        <f>HYPERLINK("https://www.lazada.vn/products/date-1028-phi-le-ca-trich-dai-tay-duong-hun-khoi-ngam-dau-dong-hop-hieu-vitafish-loai-premium-170g-i3057063434.html", "https://www.lazada.vn/products/date-1028-phi-le-ca-trich-dai-tay-duong-hun-khoi-ngam-dau-dong-hop-hieu-vitafish-loai-premium-170g-i3057063434.html")</f>
        <v>https://www.lazada.vn/products/date-1028-phi-le-ca-trich-dai-tay-duong-hun-khoi-ngam-dau-dong-hop-hieu-vitafish-loai-premium-170g-i3057063434.html</v>
      </c>
      <c r="C992" s="10" t="s">
        <v>992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8">
        <v>5847.0</v>
      </c>
      <c r="B993" s="9" t="str">
        <f>HYPERLINK("https://www.lazada.vn/products/ruou-vang-trang-my-columbia-crest-grand-estates-chardonnay-i2391659942.html", "https://www.lazada.vn/products/ruou-vang-trang-my-columbia-crest-grand-estates-chardonnay-i2391659942.html")</f>
        <v>https://www.lazada.vn/products/ruou-vang-trang-my-columbia-crest-grand-estates-chardonnay-i2391659942.html</v>
      </c>
      <c r="C993" s="10" t="s">
        <v>993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8">
        <v>5848.0</v>
      </c>
      <c r="B994" s="9" t="str">
        <f>HYPERLINK("https://www.lazada.vn/products/thanh-ca-ngu-ngon-dai-duong-1kghcm-hoa-toc-i3057053878.html", "https://www.lazada.vn/products/thanh-ca-ngu-ngon-dai-duong-1kghcm-hoa-toc-i3057053878.html")</f>
        <v>https://www.lazada.vn/products/thanh-ca-ngu-ngon-dai-duong-1kghcm-hoa-toc-i3057053878.html</v>
      </c>
      <c r="C994" s="10" t="s">
        <v>994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8">
        <v>5849.0</v>
      </c>
      <c r="B995" s="9" t="str">
        <f>HYPERLINK("https://www.lazada.vn/products/ruou-vang-trang-chile-luis-felipe-edwards-gran-reserva-chardonnay-i2391622413.html", "https://www.lazada.vn/products/ruou-vang-trang-chile-luis-felipe-edwards-gran-reserva-chardonnay-i2391622413.html")</f>
        <v>https://www.lazada.vn/products/ruou-vang-trang-chile-luis-felipe-edwards-gran-reserva-chardonnay-i2391622413.html</v>
      </c>
      <c r="C995" s="10" t="s">
        <v>995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8">
        <v>5850.0</v>
      </c>
      <c r="B996" s="9" t="str">
        <f>HYPERLINK("https://www.lazada.vn/products/steak-ca-ngu-dai-duong-bo-duong-ngon-1kgtphcm-hoa-toc-i3057032933.html", "https://www.lazada.vn/products/steak-ca-ngu-dai-duong-bo-duong-ngon-1kgtphcm-hoa-toc-i3057032933.html")</f>
        <v>https://www.lazada.vn/products/steak-ca-ngu-dai-duong-bo-duong-ngon-1kgtphcm-hoa-toc-i3057032933.html</v>
      </c>
      <c r="C996" s="10" t="s">
        <v>996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8">
        <v>5851.0</v>
      </c>
      <c r="B997" s="9" t="str">
        <f>HYPERLINK("https://www.lazada.vn/products/ruou-vang-trang-y-leonardo-da-vinci-pinot-grigio-delle-venezie-i2391617754.html", "https://www.lazada.vn/products/ruou-vang-trang-y-leonardo-da-vinci-pinot-grigio-delle-venezie-i2391617754.html")</f>
        <v>https://www.lazada.vn/products/ruou-vang-trang-y-leonardo-da-vinci-pinot-grigio-delle-venezie-i2391617754.html</v>
      </c>
      <c r="C997" s="10" t="s">
        <v>997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8">
        <v>5852.0</v>
      </c>
      <c r="B998" s="9" t="str">
        <f>HYPERLINK("https://www.lazada.vn/products/ruoc-tom-hop-500gr-dac-san-nam-dinh-lam-tu-tom-bien-va-thit-nac-vai-thom-ngon-giau-dinh-duong-i3056540908.html", "https://www.lazada.vn/products/ruoc-tom-hop-500gr-dac-san-nam-dinh-lam-tu-tom-bien-va-thit-nac-vai-thom-ngon-giau-dinh-duong-i3056540908.html")</f>
        <v>https://www.lazada.vn/products/ruoc-tom-hop-500gr-dac-san-nam-dinh-lam-tu-tom-bien-va-thit-nac-vai-thom-ngon-giau-dinh-duong-i3056540908.html</v>
      </c>
      <c r="C998" s="10" t="s">
        <v>998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8">
        <v>5853.0</v>
      </c>
      <c r="B999" s="9" t="str">
        <f>HYPERLINK("https://www.lazada.vn/products/ruou-vang-trang-new-zealand-rapaura-springs-reserve-marlborough-sauvignon-blanc-i2391586820.html", "https://www.lazada.vn/products/ruou-vang-trang-new-zealand-rapaura-springs-reserve-marlborough-sauvignon-blanc-i2391586820.html")</f>
        <v>https://www.lazada.vn/products/ruou-vang-trang-new-zealand-rapaura-springs-reserve-marlborough-sauvignon-blanc-i2391586820.html</v>
      </c>
      <c r="C999" s="10" t="s">
        <v>999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8">
        <v>5854.0</v>
      </c>
      <c r="B1000" s="9" t="str">
        <f>HYPERLINK("https://www.lazada.vn/products/hu-500g-dua-mon-cu-kieu-nha-lam-i3055789587.html", "https://www.lazada.vn/products/hu-500g-dua-mon-cu-kieu-nha-lam-i3055789587.html")</f>
        <v>https://www.lazada.vn/products/hu-500g-dua-mon-cu-kieu-nha-lam-i3055789587.html</v>
      </c>
      <c r="C1000" s="10" t="s">
        <v>1000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8">
        <v>5855.0</v>
      </c>
      <c r="B1001" s="9" t="str">
        <f>HYPERLINK("https://www.lazada.vn/products/ruou-vang-trang-uc-mcguigan-the-shortlist-riesling-i2391548609.html", "https://www.lazada.vn/products/ruou-vang-trang-uc-mcguigan-the-shortlist-riesling-i2391548609.html")</f>
        <v>https://www.lazada.vn/products/ruou-vang-trang-uc-mcguigan-the-shortlist-riesling-i2391548609.html</v>
      </c>
      <c r="C1001" s="10" t="s">
        <v>1001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8">
        <v>5856.0</v>
      </c>
      <c r="B1002" s="9" t="str">
        <f>HYPERLINK("https://www.lazada.vn/products/rau-tien-vua-ngam-chua-ngot-hu-800gr-luon-nuoc-i3055443070.html", "https://www.lazada.vn/products/rau-tien-vua-ngam-chua-ngot-hu-800gr-luon-nuoc-i3055443070.html")</f>
        <v>https://www.lazada.vn/products/rau-tien-vua-ngam-chua-ngot-hu-800gr-luon-nuoc-i3055443070.html</v>
      </c>
      <c r="C1002" s="10" t="s">
        <v>1002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8">
        <v>5857.0</v>
      </c>
      <c r="B1003" s="9" t="str">
        <f>HYPERLINK("https://www.lazada.vn/products/ruou-vang-trang-chile-montgras-late-harvest-i2391545726.html", "https://www.lazada.vn/products/ruou-vang-trang-chile-montgras-late-harvest-i2391545726.html")</f>
        <v>https://www.lazada.vn/products/ruou-vang-trang-chile-montgras-late-harvest-i2391545726.html</v>
      </c>
      <c r="C1003" s="10" t="s">
        <v>1003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8">
        <v>5858.0</v>
      </c>
      <c r="B1004" s="9" t="str">
        <f>HYPERLINK("https://www.lazada.vn/products/mut-dau-tay-da-lat-sieu-ngon-hu-1kg-i3055436226.html", "https://www.lazada.vn/products/mut-dau-tay-da-lat-sieu-ngon-hu-1kg-i3055436226.html")</f>
        <v>https://www.lazada.vn/products/mut-dau-tay-da-lat-sieu-ngon-hu-1kg-i3055436226.html</v>
      </c>
      <c r="C1004" s="10" t="s">
        <v>1004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8">
        <v>5859.0</v>
      </c>
      <c r="B1005" s="9" t="str">
        <f>HYPERLINK("https://www.lazada.vn/products/ruou-vang-trang-uc-mcguigan-the-shortlist-chardonnay-i2391545575.html", "https://www.lazada.vn/products/ruou-vang-trang-uc-mcguigan-the-shortlist-chardonnay-i2391545575.html")</f>
        <v>https://www.lazada.vn/products/ruou-vang-trang-uc-mcguigan-the-shortlist-chardonnay-i2391545575.html</v>
      </c>
      <c r="C1005" s="10" t="s">
        <v>1005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8">
        <v>5860.0</v>
      </c>
      <c r="B1006" s="9" t="str">
        <f>HYPERLINK("https://www.lazada.vn/products/dac-rim-thom-thach-dua-hat-chia-sieu-ngon-hu-1kg-i3055398097.html", "https://www.lazada.vn/products/dac-rim-thom-thach-dua-hat-chia-sieu-ngon-hu-1kg-i3055398097.html")</f>
        <v>https://www.lazada.vn/products/dac-rim-thom-thach-dua-hat-chia-sieu-ngon-hu-1kg-i3055398097.html</v>
      </c>
      <c r="C1006" s="10" t="s">
        <v>1006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8">
        <v>5861.0</v>
      </c>
      <c r="B1007" s="9" t="str">
        <f>HYPERLINK("https://www.lazada.vn/products/dac-rim-thot-not-hu-1kg-i3055390098.html", "https://www.lazada.vn/products/dac-rim-thot-not-hu-1kg-i3055390098.html")</f>
        <v>https://www.lazada.vn/products/dac-rim-thot-not-hu-1kg-i3055390098.html</v>
      </c>
      <c r="C1007" s="10" t="s">
        <v>1007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8">
        <v>5862.0</v>
      </c>
      <c r="B1008" s="9" t="str">
        <f>HYPERLINK("https://www.lazada.vn/products/me-ngao-khom-kem-dau-phong-hu-1kg-i3055379432.html", "https://www.lazada.vn/products/me-ngao-khom-kem-dau-phong-hu-1kg-i3055379432.html")</f>
        <v>https://www.lazada.vn/products/me-ngao-khom-kem-dau-phong-hu-1kg-i3055379432.html</v>
      </c>
      <c r="C1008" s="10" t="s">
        <v>1008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8">
        <v>5863.0</v>
      </c>
      <c r="B1009" s="9" t="str">
        <f>HYPERLINK("https://www.lazada.vn/products/hu-200g-ca-com-rim-binh-minh-tu-ca-com-vung-bien-nam-hoi-an-i3055376574.html", "https://www.lazada.vn/products/hu-200g-ca-com-rim-binh-minh-tu-ca-com-vung-bien-nam-hoi-an-i3055376574.html")</f>
        <v>https://www.lazada.vn/products/hu-200g-ca-com-rim-binh-minh-tu-ca-com-vung-bien-nam-hoi-an-i3055376574.html</v>
      </c>
      <c r="C1009" s="10" t="s">
        <v>1009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8">
        <v>5864.0</v>
      </c>
      <c r="B1010" s="9" t="str">
        <f>HYPERLINK("https://www.lazada.vn/products/uc-ga-hap-masti-an-lien-cho-cho-meo-40grgoi-i3055372396.html", "https://www.lazada.vn/products/uc-ga-hap-masti-an-lien-cho-cho-meo-40grgoi-i3055372396.html")</f>
        <v>https://www.lazada.vn/products/uc-ga-hap-masti-an-lien-cho-cho-meo-40grgoi-i3055372396.html</v>
      </c>
      <c r="C1010" s="10" t="s">
        <v>1010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8">
        <v>5865.0</v>
      </c>
      <c r="B1011" s="9" t="str">
        <f>HYPERLINK("https://www.lazada.vn/products/ca-hoi-thuy-ngan-thap-pink-salmon-safe-catch-1-hop-le-142g-i3055285623.html", "https://www.lazada.vn/products/ca-hoi-thuy-ngan-thap-pink-salmon-safe-catch-1-hop-le-142g-i3055285623.html")</f>
        <v>https://www.lazada.vn/products/ca-hoi-thuy-ngan-thap-pink-salmon-safe-catch-1-hop-le-142g-i3055285623.html</v>
      </c>
      <c r="C1011" s="10" t="s">
        <v>1011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8">
        <v>5866.0</v>
      </c>
      <c r="B1012" s="9" t="str">
        <f>HYPERLINK("https://www.lazada.vn/products/khoai-say-deo-500g-1kg-i2924554985.html", "https://www.lazada.vn/products/khoai-say-deo-500g-1kg-i2924554985.html")</f>
        <v>https://www.lazada.vn/products/khoai-say-deo-500g-1kg-i2924554985.html</v>
      </c>
      <c r="C1012" s="10" t="s">
        <v>1012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8">
        <v>5867.0</v>
      </c>
      <c r="B1013" s="9" t="str">
        <f>HYPERLINK("https://www.lazada.vn/products/khoai-tay-lac-bot-pho-mai-dang-ong-tui-500g-an-vat-ngon-an-chay-duoc-an-vat-do-an-vat-muasamnhanh-i2908128469.html", "https://www.lazada.vn/products/khoai-tay-lac-bot-pho-mai-dang-ong-tui-500g-an-vat-ngon-an-chay-duoc-an-vat-do-an-vat-muasamnhanh-i2908128469.html")</f>
        <v>https://www.lazada.vn/products/khoai-tay-lac-bot-pho-mai-dang-ong-tui-500g-an-vat-ngon-an-chay-duoc-an-vat-do-an-vat-muasamnhanh-i2908128469.html</v>
      </c>
      <c r="C1013" s="10" t="s">
        <v>1013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8">
        <v>5868.0</v>
      </c>
      <c r="B1014" s="9" t="str">
        <f>HYPERLINK("https://www.lazada.vn/products/bot-cacao-lua-mach-ovaltine-goi-285g-date-2025-i2496180658.html", "https://www.lazada.vn/products/bot-cacao-lua-mach-ovaltine-goi-285g-date-2025-i2496180658.html")</f>
        <v>https://www.lazada.vn/products/bot-cacao-lua-mach-ovaltine-goi-285g-date-2025-i2496180658.html</v>
      </c>
      <c r="C1014" s="10" t="s">
        <v>1014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8">
        <v>5869.0</v>
      </c>
      <c r="B1015" s="9" t="str">
        <f>HYPERLINK("https://www.lazada.vn/products/snack-ong-ma-thuat-1-bich-30-goi-i1679783237.html", "https://www.lazada.vn/products/snack-ong-ma-thuat-1-bich-30-goi-i1679783237.html")</f>
        <v>https://www.lazada.vn/products/snack-ong-ma-thuat-1-bich-30-goi-i1679783237.html</v>
      </c>
      <c r="C1015" s="10" t="s">
        <v>1015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8">
        <v>5870.0</v>
      </c>
      <c r="B1016" s="9" t="str">
        <f>HYPERLINK("https://www.lazada.vn/products/nuoc-tang-luc-eastroc-250ml-500ml-thung-24-chai-i2668308714.html", "https://www.lazada.vn/products/nuoc-tang-luc-eastroc-250ml-500ml-thung-24-chai-i2668308714.html")</f>
        <v>https://www.lazada.vn/products/nuoc-tang-luc-eastroc-250ml-500ml-thung-24-chai-i2668308714.html</v>
      </c>
      <c r="C1016" s="10" t="s">
        <v>1016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8">
        <v>5871.0</v>
      </c>
      <c r="B1017" s="9" t="str">
        <f>HYPERLINK("https://www.lazada.vn/products/thung-x-20-chai-soju-han-quoc-7drops-360ml-i2331901878.html", "https://www.lazada.vn/products/thung-x-20-chai-soju-han-quoc-7drops-360ml-i2331901878.html")</f>
        <v>https://www.lazada.vn/products/thung-x-20-chai-soju-han-quoc-7drops-360ml-i2331901878.html</v>
      </c>
      <c r="C1017" s="10" t="s">
        <v>1017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8">
        <v>5872.0</v>
      </c>
      <c r="B1018" s="9" t="str">
        <f>HYPERLINK("https://www.lazada.vn/products/tong-hop-banh-mix-dai-loan-25-loai-tu-mix-theo-so-thich-the-garden-i2412070335.html", "https://www.lazada.vn/products/tong-hop-banh-mix-dai-loan-25-loai-tu-mix-theo-so-thich-the-garden-i2412070335.html")</f>
        <v>https://www.lazada.vn/products/tong-hop-banh-mix-dai-loan-25-loai-tu-mix-theo-so-thich-the-garden-i2412070335.html</v>
      </c>
      <c r="C1018" s="10" t="s">
        <v>1018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8">
        <v>5873.0</v>
      </c>
      <c r="B1019" s="9" t="str">
        <f>HYPERLINK("https://www.lazada.vn/products/banh-mi-hoa-cuc-vi-sua-chua-vi-pho-mai-dai-loan-mem-min-thom-ngon-mem-min-kho-cuong-the-garden-i2412037448.html", "https://www.lazada.vn/products/banh-mi-hoa-cuc-vi-sua-chua-vi-pho-mai-dai-loan-mem-min-thom-ngon-mem-min-kho-cuong-the-garden-i2412037448.html")</f>
        <v>https://www.lazada.vn/products/banh-mi-hoa-cuc-vi-sua-chua-vi-pho-mai-dai-loan-mem-min-thom-ngon-mem-min-kho-cuong-the-garden-i2412037448.html</v>
      </c>
      <c r="C1019" s="10" t="s">
        <v>1019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8">
        <v>5874.0</v>
      </c>
      <c r="B1020" s="9" t="str">
        <f>HYPERLINK("https://www.lazada.vn/products/banh-mi-kep-ruoc-bo-sua-the-garden-banh-thom-ngon-67gr-i2411970614.html", "https://www.lazada.vn/products/banh-mi-kep-ruoc-bo-sua-the-garden-banh-thom-ngon-67gr-i2411970614.html")</f>
        <v>https://www.lazada.vn/products/banh-mi-kep-ruoc-bo-sua-the-garden-banh-thom-ngon-67gr-i2411970614.html</v>
      </c>
      <c r="C1020" s="10" t="s">
        <v>1020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8">
        <v>5875.0</v>
      </c>
      <c r="B1021" s="9" t="str">
        <f>HYPERLINK("https://www.lazada.vn/products/banh-ruoc-gau-dai-loan-date-moi-the-garden-i2411952655.html", "https://www.lazada.vn/products/banh-ruoc-gau-dai-loan-date-moi-the-garden-i2411952655.html")</f>
        <v>https://www.lazada.vn/products/banh-ruoc-gau-dai-loan-date-moi-the-garden-i2411952655.html</v>
      </c>
      <c r="C1021" s="10" t="s">
        <v>1021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8">
        <v>5876.0</v>
      </c>
      <c r="B1022" s="9" t="str">
        <f>HYPERLINK("https://www.lazada.vn/products/banh-sua-chua-dai-loan-horsh-ong-gia-the-garden-i2411914725.html", "https://www.lazada.vn/products/banh-sua-chua-dai-loan-horsh-ong-gia-the-garden-i2411914725.html")</f>
        <v>https://www.lazada.vn/products/banh-sua-chua-dai-loan-horsh-ong-gia-the-garden-i2411914725.html</v>
      </c>
      <c r="C1022" s="10" t="s">
        <v>1022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8">
        <v>5877.0</v>
      </c>
      <c r="B1023" s="9" t="str">
        <f>HYPERLINK("https://www.lazada.vn/products/banh-bong-lan-nhien-loi-shougong-mong-to-mong-nho-lep-tam-giac-the-garden-i2411905760.html", "https://www.lazada.vn/products/banh-bong-lan-nhien-loi-shougong-mong-to-mong-nho-lep-tam-giac-the-garden-i2411905760.html")</f>
        <v>https://www.lazada.vn/products/banh-bong-lan-nhien-loi-shougong-mong-to-mong-nho-lep-tam-giac-the-garden-i2411905760.html</v>
      </c>
      <c r="C1023" s="10" t="s">
        <v>1023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8">
        <v>5878.0</v>
      </c>
      <c r="B1024" s="9" t="str">
        <f>HYPERLINK("https://www.lazada.vn/products/banh-deo-mochi-phu-the-nhan-bong-lan-mix-4-vi-matcha-dau-xoai-sua-sieu-ngon-an-la-ghien-do-an-vat-the-garden-i2411890758.html", "https://www.lazada.vn/products/banh-deo-mochi-phu-the-nhan-bong-lan-mix-4-vi-matcha-dau-xoai-sua-sieu-ngon-an-la-ghien-do-an-vat-the-garden-i2411890758.html")</f>
        <v>https://www.lazada.vn/products/banh-deo-mochi-phu-the-nhan-bong-lan-mix-4-vi-matcha-dau-xoai-sua-sieu-ngon-an-la-ghien-do-an-vat-the-garden-i2411890758.html</v>
      </c>
      <c r="C1024" s="10" t="s">
        <v>1024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8">
        <v>5879.0</v>
      </c>
      <c r="B1025" s="9" t="str">
        <f>HYPERLINK("https://www.lazada.vn/products/banh-trung-chay-ngan-lop-banh-trung-muoi-tan-chay-dai-loan-sieu-ngon-the-garden-i2411887856.html", "https://www.lazada.vn/products/banh-trung-chay-ngan-lop-banh-trung-muoi-tan-chay-dai-loan-sieu-ngon-the-garden-i2411887856.html")</f>
        <v>https://www.lazada.vn/products/banh-trung-chay-ngan-lop-banh-trung-muoi-tan-chay-dai-loan-sieu-ngon-the-garden-i2411887856.html</v>
      </c>
      <c r="C1025" s="10" t="s">
        <v>1025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8">
        <v>5880.0</v>
      </c>
      <c r="B1026" s="9" t="str">
        <f>HYPERLINK("https://www.lazada.vn/products/banh-sua-dau-nanh-the-garden-mem-beo-thom-ngon-45gr-i2411863846.html", "https://www.lazada.vn/products/banh-sua-dau-nanh-the-garden-mem-beo-thom-ngon-45gr-i2411863846.html")</f>
        <v>https://www.lazada.vn/products/banh-sua-dau-nanh-the-garden-mem-beo-thom-ngon-45gr-i2411863846.html</v>
      </c>
      <c r="C1026" s="10" t="s">
        <v>1026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8">
        <v>5881.0</v>
      </c>
      <c r="B1027" s="9" t="str">
        <f>HYPERLINK("https://www.lazada.vn/products/giam-shock-60k-combo-3-mon-banh-ngan-lop-sau-rieng-phu-si-banh-crepe-sau-rieng-sau-rieng-cap-dong-i2409567788.html", "https://www.lazada.vn/products/giam-shock-60k-combo-3-mon-banh-ngan-lop-sau-rieng-phu-si-banh-crepe-sau-rieng-sau-rieng-cap-dong-i2409567788.html")</f>
        <v>https://www.lazada.vn/products/giam-shock-60k-combo-3-mon-banh-ngan-lop-sau-rieng-phu-si-banh-crepe-sau-rieng-sau-rieng-cap-dong-i2409567788.html</v>
      </c>
      <c r="C1027" s="10" t="s">
        <v>1027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8">
        <v>5882.0</v>
      </c>
      <c r="B1028" s="9" t="str">
        <f>HYPERLINK("https://www.lazada.vn/products/rau-cau-banh-flan-trai-dua-vi-tra-xanh-matcha-i2400829054.html", "https://www.lazada.vn/products/rau-cau-banh-flan-trai-dua-vi-tra-xanh-matcha-i2400829054.html")</f>
        <v>https://www.lazada.vn/products/rau-cau-banh-flan-trai-dua-vi-tra-xanh-matcha-i2400829054.html</v>
      </c>
      <c r="C1028" s="10" t="s">
        <v>1028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8">
        <v>5883.0</v>
      </c>
      <c r="B1029" s="9" t="str">
        <f>HYPERLINK("https://www.lazada.vn/products/banh-flan-rau-cau-trai-dua-vi-cacao-chocolate-i2400828075.html", "https://www.lazada.vn/products/banh-flan-rau-cau-trai-dua-vi-cacao-chocolate-i2400828075.html")</f>
        <v>https://www.lazada.vn/products/banh-flan-rau-cau-trai-dua-vi-cacao-chocolate-i2400828075.html</v>
      </c>
      <c r="C1029" s="10" t="s">
        <v>1029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8">
        <v>5884.0</v>
      </c>
      <c r="B1030" s="9" t="str">
        <f>HYPERLINK("https://www.lazada.vn/products/dac-san-sai-gon-rau-cau-banh-flan-trai-dua-i2400748126.html", "https://www.lazada.vn/products/dac-san-sai-gon-rau-cau-banh-flan-trai-dua-i2400748126.html")</f>
        <v>https://www.lazada.vn/products/dac-san-sai-gon-rau-cau-banh-flan-trai-dua-i2400748126.html</v>
      </c>
      <c r="C1030" s="10" t="s">
        <v>1030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8">
        <v>5885.0</v>
      </c>
      <c r="B1031" s="9" t="str">
        <f>HYPERLINK("https://www.lazada.vn/products/giao-2h-banh-flan-rau-cau-trai-dua-vi-sau-rieng-i2400730701.html", "https://www.lazada.vn/products/giao-2h-banh-flan-rau-cau-trai-dua-vi-sau-rieng-i2400730701.html")</f>
        <v>https://www.lazada.vn/products/giao-2h-banh-flan-rau-cau-trai-dua-vi-sau-rieng-i2400730701.html</v>
      </c>
      <c r="C1031" s="10" t="s">
        <v>1031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8">
        <v>5886.0</v>
      </c>
      <c r="B1032" s="9" t="str">
        <f>HYPERLINK("https://www.lazada.vn/products/banhsolite-kinh-do-10-cai-chi-voi-10000-vi-kem-dau-i2387448511.html", "https://www.lazada.vn/products/banhsolite-kinh-do-10-cai-chi-voi-10000-vi-kem-dau-i2387448511.html")</f>
        <v>https://www.lazada.vn/products/banhsolite-kinh-do-10-cai-chi-voi-10000-vi-kem-dau-i2387448511.html</v>
      </c>
      <c r="C1032" s="10" t="s">
        <v>1032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8">
        <v>5887.0</v>
      </c>
      <c r="B1033" s="9" t="str">
        <f>HYPERLINK("https://www.lazada.vn/products/bap-rang-bo-vi-mat-ong-110g-i2357164891.html", "https://www.lazada.vn/products/bap-rang-bo-vi-mat-ong-110g-i2357164891.html")</f>
        <v>https://www.lazada.vn/products/bap-rang-bo-vi-mat-ong-110g-i2357164891.html</v>
      </c>
      <c r="C1033" s="10" t="s">
        <v>1033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8">
        <v>5888.0</v>
      </c>
      <c r="B1034" s="9" t="str">
        <f>HYPERLINK("https://www.lazada.vn/products/banh-an-dam-cho-be-bebedang-fruto-pigeon-i2355152095.html", "https://www.lazada.vn/products/banh-an-dam-cho-be-bebedang-fruto-pigeon-i2355152095.html")</f>
        <v>https://www.lazada.vn/products/banh-an-dam-cho-be-bebedang-fruto-pigeon-i2355152095.html</v>
      </c>
      <c r="C1034" s="10" t="s">
        <v>1034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8">
        <v>5889.0</v>
      </c>
      <c r="B1035" s="9" t="str">
        <f>HYPERLINK("https://www.lazada.vn/products/banh-an-dam-cho-be-gao-tuoi-hainhain-nhat-ban-cho-be-i2355053396.html", "https://www.lazada.vn/products/banh-an-dam-cho-be-gao-tuoi-hainhain-nhat-ban-cho-be-i2355053396.html")</f>
        <v>https://www.lazada.vn/products/banh-an-dam-cho-be-gao-tuoi-hainhain-nhat-ban-cho-be-i2355053396.html</v>
      </c>
      <c r="C1035" s="10" t="s">
        <v>1035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8">
        <v>5890.0</v>
      </c>
      <c r="B1036" s="9" t="str">
        <f>HYPERLINK("https://www.lazada.vn/products/banh-bake-vi-kem-pho-mai-morinaga-han-082020-i2338200650.html", "https://www.lazada.vn/products/banh-bake-vi-kem-pho-mai-morinaga-han-082020-i2338200650.html")</f>
        <v>https://www.lazada.vn/products/banh-bake-vi-kem-pho-mai-morinaga-han-082020-i2338200650.html</v>
      </c>
      <c r="C1036" s="10" t="s">
        <v>1036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8">
        <v>5891.0</v>
      </c>
      <c r="B1037" s="9" t="str">
        <f>HYPERLINK("https://www.lazada.vn/products/banh-snack-poca-ga-quay-da-gion-65g-i2330309258.html", "https://www.lazada.vn/products/banh-snack-poca-ga-quay-da-gion-65g-i2330309258.html")</f>
        <v>https://www.lazada.vn/products/banh-snack-poca-ga-quay-da-gion-65g-i2330309258.html</v>
      </c>
      <c r="C1037" s="10" t="s">
        <v>1037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8">
        <v>5892.0</v>
      </c>
      <c r="B1038" s="9" t="str">
        <f>HYPERLINK("https://www.lazada.vn/products/banh-hoang-mon-hai-san-250gchon-giao-hang-2h-giup-shop-i2271485943.html", "https://www.lazada.vn/products/banh-hoang-mon-hai-san-250gchon-giao-hang-2h-giup-shop-i2271485943.html")</f>
        <v>https://www.lazada.vn/products/banh-hoang-mon-hai-san-250gchon-giao-hang-2h-giup-shop-i2271485943.html</v>
      </c>
      <c r="C1038" s="10" t="s">
        <v>1038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8">
        <v>5893.0</v>
      </c>
      <c r="B1039" s="9" t="str">
        <f>HYPERLINK("https://www.lazada.vn/products/banh-dua-tuyet-vi-dau-do-chon-giao-hang-2h-giup-shop-i2271218448.html", "https://www.lazada.vn/products/banh-dua-tuyet-vi-dau-do-chon-giao-hang-2h-giup-shop-i2271218448.html")</f>
        <v>https://www.lazada.vn/products/banh-dua-tuyet-vi-dau-do-chon-giao-hang-2h-giup-shop-i2271218448.html</v>
      </c>
      <c r="C1039" s="10" t="s">
        <v>1039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8">
        <v>5894.0</v>
      </c>
      <c r="B1040" s="9" t="str">
        <f>HYPERLINK("https://www.lazada.vn/products/khoai-tay-cong-bi-1-goi-1-kg-giao-2h-i2245518342.html", "https://www.lazada.vn/products/khoai-tay-cong-bi-1-goi-1-kg-giao-2h-i2245518342.html")</f>
        <v>https://www.lazada.vn/products/khoai-tay-cong-bi-1-goi-1-kg-giao-2h-i2245518342.html</v>
      </c>
      <c r="C1040" s="10" t="s">
        <v>1040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8">
        <v>5895.0</v>
      </c>
      <c r="B1041" s="9" t="str">
        <f>HYPERLINK("https://www.lazada.vn/products/khoai-tay-trung-muoi-i2242949574.html", "https://www.lazada.vn/products/khoai-tay-trung-muoi-i2242949574.html")</f>
        <v>https://www.lazada.vn/products/khoai-tay-trung-muoi-i2242949574.html</v>
      </c>
      <c r="C1041" s="10" t="s">
        <v>1041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8">
        <v>5896.0</v>
      </c>
      <c r="B1042" s="9" t="str">
        <f>HYPERLINK("https://www.lazada.vn/products/dau-tam-vi-gach-cuahat-huong-duong-vi-trung-cua-i2184544425.html", "https://www.lazada.vn/products/dau-tam-vi-gach-cuahat-huong-duong-vi-trung-cua-i2184544425.html")</f>
        <v>https://www.lazada.vn/products/dau-tam-vi-gach-cuahat-huong-duong-vi-trung-cua-i2184544425.html</v>
      </c>
      <c r="C1042" s="10" t="s">
        <v>1042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8">
        <v>5897.0</v>
      </c>
      <c r="B1043" s="9" t="str">
        <f>HYPERLINK("https://www.lazada.vn/products/que-cay-dongdong-i2168568210.html", "https://www.lazada.vn/products/que-cay-dongdong-i2168568210.html")</f>
        <v>https://www.lazada.vn/products/que-cay-dongdong-i2168568210.html</v>
      </c>
      <c r="C1043" s="10" t="s">
        <v>1043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8">
        <v>5898.0</v>
      </c>
      <c r="B1044" s="9" t="str">
        <f>HYPERLINK("https://www.lazada.vn/products/sua-chua-say-lanh-yomit-huong-vi-hoa-qua-phomai-tuoi-ngon-dinh-duong-cho-be-an-vat-i2101703601.html", "https://www.lazada.vn/products/sua-chua-say-lanh-yomit-huong-vi-hoa-qua-phomai-tuoi-ngon-dinh-duong-cho-be-an-vat-i2101703601.html")</f>
        <v>https://www.lazada.vn/products/sua-chua-say-lanh-yomit-huong-vi-hoa-qua-phomai-tuoi-ngon-dinh-duong-cho-be-an-vat-i2101703601.html</v>
      </c>
      <c r="C1044" s="10" t="s">
        <v>1044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8">
        <v>5899.0</v>
      </c>
      <c r="B1045" s="9" t="str">
        <f>HYPERLINK("https://www.lazada.vn/products/set-keo-hanh-phuc-i2084572334.html", "https://www.lazada.vn/products/set-keo-hanh-phuc-i2084572334.html")</f>
        <v>https://www.lazada.vn/products/set-keo-hanh-phuc-i2084572334.html</v>
      </c>
      <c r="C1045" s="10" t="s">
        <v>1045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8">
        <v>5900.0</v>
      </c>
      <c r="B1046" s="9" t="str">
        <f>HYPERLINK("https://www.lazada.vn/products/xoi-khuc-hut-chan-khong-i2060789913.html", "https://www.lazada.vn/products/xoi-khuc-hut-chan-khong-i2060789913.html")</f>
        <v>https://www.lazada.vn/products/xoi-khuc-hut-chan-khong-i2060789913.html</v>
      </c>
      <c r="C1046" s="10" t="s">
        <v>1046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8">
        <v>5901.0</v>
      </c>
      <c r="B1047" s="9" t="str">
        <f>HYPERLINK("https://www.lazada.vn/products/ca-phe-mam-xoi-den-hop-15-goi-e-max-eagle-cafe-chinh-hang-i2922924376.html", "https://www.lazada.vn/products/ca-phe-mam-xoi-den-hop-15-goi-e-max-eagle-cafe-chinh-hang-i2922924376.html")</f>
        <v>https://www.lazada.vn/products/ca-phe-mam-xoi-den-hop-15-goi-e-max-eagle-cafe-chinh-hang-i2922924376.html</v>
      </c>
      <c r="C1047" s="10" t="s">
        <v>1047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8">
        <v>5902.0</v>
      </c>
      <c r="B1048" s="9" t="str">
        <f>HYPERLINK("https://www.lazada.vn/products/dung-thu-1-lon-bia-liquan-330ml-hang-chuan-noi-dia-trung-quoc-i2942467722.html", "https://www.lazada.vn/products/dung-thu-1-lon-bia-liquan-330ml-hang-chuan-noi-dia-trung-quoc-i2942467722.html")</f>
        <v>https://www.lazada.vn/products/dung-thu-1-lon-bia-liquan-330ml-hang-chuan-noi-dia-trung-quoc-i2942467722.html</v>
      </c>
      <c r="C1048" s="10" t="s">
        <v>1048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8">
        <v>5903.0</v>
      </c>
      <c r="B1049" s="9" t="str">
        <f>HYPERLINK("https://www.lazada.vn/products/500gr-banh-trang-pho-mai-mix-vi-dac-san-tay-ninh-i2741466713.html", "https://www.lazada.vn/products/500gr-banh-trang-pho-mai-mix-vi-dac-san-tay-ninh-i2741466713.html")</f>
        <v>https://www.lazada.vn/products/500gr-banh-trang-pho-mai-mix-vi-dac-san-tay-ninh-i2741466713.html</v>
      </c>
      <c r="C1049" s="10" t="s">
        <v>1049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8">
        <v>5904.0</v>
      </c>
      <c r="B1050" s="9" t="str">
        <f>HYPERLINK("https://www.lazada.vn/products/khoai-say-deo-500g-1kg-i2924546970.html", "https://www.lazada.vn/products/khoai-say-deo-500g-1kg-i2924546970.html")</f>
        <v>https://www.lazada.vn/products/khoai-say-deo-500g-1kg-i2924546970.html</v>
      </c>
      <c r="C1050" s="10" t="s">
        <v>1050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8">
        <v>5905.0</v>
      </c>
      <c r="B1051" s="9" t="str">
        <f>HYPERLINK("https://www.lazada.vn/products/day-10-goi-bot-cacao-lua-mach-ovaltine-22g-date-42025-i2496057933.html", "https://www.lazada.vn/products/day-10-goi-bot-cacao-lua-mach-ovaltine-22g-date-42025-i2496057933.html")</f>
        <v>https://www.lazada.vn/products/day-10-goi-bot-cacao-lua-mach-ovaltine-22g-date-42025-i2496057933.html</v>
      </c>
      <c r="C1051" s="10" t="s">
        <v>1051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8">
        <v>5906.0</v>
      </c>
      <c r="B1052" s="9" t="str">
        <f>HYPERLINK("https://www.lazada.vn/products/banh-tao-do-oc-cho-khoai-dau-kep-khong-duong-sieu-hot-i2905309813.html", "https://www.lazada.vn/products/banh-tao-do-oc-cho-khoai-dau-kep-khong-duong-sieu-hot-i2905309813.html")</f>
        <v>https://www.lazada.vn/products/banh-tao-do-oc-cho-khoai-dau-kep-khong-duong-sieu-hot-i2905309813.html</v>
      </c>
      <c r="C1052" s="10" t="s">
        <v>1052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8">
        <v>5907.0</v>
      </c>
      <c r="B1053" s="9" t="str">
        <f>HYPERLINK("https://www.lazada.vn/products/soju-han-quoc-damso-360ml-vi-quyt-i2331897772.html", "https://www.lazada.vn/products/soju-han-quoc-damso-360ml-vi-quyt-i2331897772.html")</f>
        <v>https://www.lazada.vn/products/soju-han-quoc-damso-360ml-vi-quyt-i2331897772.html</v>
      </c>
      <c r="C1053" s="10" t="s">
        <v>1053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8">
        <v>5908.0</v>
      </c>
      <c r="B1054" s="9" t="str">
        <f>HYPERLINK("https://www.lazada.vn/products/loc-6-chai-nuoc-tang-luc-247-wake-up-huong-ca-phe-i2668069718.html", "https://www.lazada.vn/products/loc-6-chai-nuoc-tang-luc-247-wake-up-huong-ca-phe-i2668069718.html")</f>
        <v>https://www.lazada.vn/products/loc-6-chai-nuoc-tang-luc-247-wake-up-huong-ca-phe-i2668069718.html</v>
      </c>
      <c r="C1054" s="10" t="s">
        <v>1054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8">
        <v>5909.0</v>
      </c>
      <c r="B1055" s="9" t="str">
        <f>HYPERLINK("https://www.lazada.vn/products/combo-2-goi-com-nua-vi-nguyen-an-kieng-das-keto-goi-240g-an-kieng-das-lowcard-giam-can-i1524513603.html", "https://www.lazada.vn/products/combo-2-goi-com-nua-vi-nguyen-an-kieng-das-keto-goi-240g-an-kieng-das-lowcard-giam-can-i1524513603.html")</f>
        <v>https://www.lazada.vn/products/combo-2-goi-com-nua-vi-nguyen-an-kieng-das-keto-goi-240g-an-kieng-das-lowcard-giam-can-i1524513603.html</v>
      </c>
      <c r="C1055" s="10" t="s">
        <v>1055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8">
        <v>5910.0</v>
      </c>
      <c r="B1056" s="9" t="str">
        <f>HYPERLINK("https://www.lazada.vn/products/gia-huy-diet-si-1-bich-30-goi-snach-canh-ga-mau-moi-chien-gion-thom-ngon-i1679734398.html", "https://www.lazada.vn/products/gia-huy-diet-si-1-bich-30-goi-snach-canh-ga-mau-moi-chien-gion-thom-ngon-i1679734398.html")</f>
        <v>https://www.lazada.vn/products/gia-huy-diet-si-1-bich-30-goi-snach-canh-ga-mau-moi-chien-gion-thom-ngon-i1679734398.html</v>
      </c>
      <c r="C1056" s="10" t="s">
        <v>1056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8">
        <v>5911.0</v>
      </c>
      <c r="B1057" s="9" t="str">
        <f>HYPERLINK("https://www.lazada.vn/products/combo-mam-muc-va-mam-ca-com-moi-hu-500g-lasi-foods-i2145509730.html", "https://www.lazada.vn/products/combo-mam-muc-va-mam-ca-com-moi-hu-500g-lasi-foods-i2145509730.html")</f>
        <v>https://www.lazada.vn/products/combo-mam-muc-va-mam-ca-com-moi-hu-500g-lasi-foods-i2145509730.html</v>
      </c>
      <c r="C1057" s="10" t="s">
        <v>1057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8">
        <v>5912.0</v>
      </c>
      <c r="B1058" s="9" t="str">
        <f>HYPERLINK("https://www.lazada.vn/products/chinh-hang_hsd_122026-bich-ca-phe-muoi-coffee-279-bich-45-goi-720g-i2861176534.html", "https://www.lazada.vn/products/chinh-hang_hsd_122026-bich-ca-phe-muoi-coffee-279-bich-45-goi-720g-i2861176534.html")</f>
        <v>https://www.lazada.vn/products/chinh-hang_hsd_122026-bich-ca-phe-muoi-coffee-279-bich-45-goi-720g-i2861176534.html</v>
      </c>
      <c r="C1058" s="10" t="s">
        <v>1058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8">
        <v>5913.0</v>
      </c>
      <c r="B1059" s="9" t="str">
        <f>HYPERLINK("https://www.lazada.vn/products/snack-cot-dien-bo-kobe-sashimi-nem-nuong-phen-an-cung-ba-tuyet-25g-i2740940098.html", "https://www.lazada.vn/products/snack-cot-dien-bo-kobe-sashimi-nem-nuong-phen-an-cung-ba-tuyet-25g-i2740940098.html")</f>
        <v>https://www.lazada.vn/products/snack-cot-dien-bo-kobe-sashimi-nem-nuong-phen-an-cung-ba-tuyet-25g-i2740940098.html</v>
      </c>
      <c r="C1059" s="10" t="s">
        <v>1059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8">
        <v>5914.0</v>
      </c>
      <c r="B1060" s="9" t="str">
        <f>HYPERLINK("https://www.lazada.vn/products/combo-1-loc-6-lon-bia-liquan-lon-330ml-hang-chuan-noi-dia-trung-quoc-i2942437701.html", "https://www.lazada.vn/products/combo-1-loc-6-lon-bia-liquan-lon-330ml-hang-chuan-noi-dia-trung-quoc-i2942437701.html")</f>
        <v>https://www.lazada.vn/products/combo-1-loc-6-lon-bia-liquan-lon-330ml-hang-chuan-noi-dia-trung-quoc-i2942437701.html</v>
      </c>
      <c r="C1060" s="10" t="s">
        <v>1060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8">
        <v>5915.0</v>
      </c>
      <c r="B1061" s="9" t="str">
        <f>HYPERLINK("https://www.lazada.vn/products/bot-thach-pudding-huong-sua-goi-500gr-i2631608351.html", "https://www.lazada.vn/products/bot-thach-pudding-huong-sua-goi-500gr-i2631608351.html")</f>
        <v>https://www.lazada.vn/products/bot-thach-pudding-huong-sua-goi-500gr-i2631608351.html</v>
      </c>
      <c r="C1061" s="10" t="s">
        <v>1061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8">
        <v>5916.0</v>
      </c>
      <c r="B1062" s="9" t="str">
        <f>HYPERLINK("https://www.lazada.vn/products/siro-carisa-chai-680g-i2706471045.html", "https://www.lazada.vn/products/siro-carisa-chai-680g-i2706471045.html")</f>
        <v>https://www.lazada.vn/products/siro-carisa-chai-680g-i2706471045.html</v>
      </c>
      <c r="C1062" s="10" t="s">
        <v>1062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8">
        <v>5917.0</v>
      </c>
      <c r="B1063" s="9" t="str">
        <f>HYPERLINK("https://www.lazada.vn/products/ruou-vang-trang-chile-montgras-day-one-chardonnay-i2391538856.html", "https://www.lazada.vn/products/ruou-vang-trang-chile-montgras-day-one-chardonnay-i2391538856.html")</f>
        <v>https://www.lazada.vn/products/ruou-vang-trang-chile-montgras-day-one-chardonnay-i2391538856.html</v>
      </c>
      <c r="C1063" s="10" t="s">
        <v>1063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8">
        <v>5918.0</v>
      </c>
      <c r="B1064" s="9" t="str">
        <f>HYPERLINK("https://www.lazada.vn/products/socola-schogetten-vi-caramel-brownie-thanh-100g-gom-18-vien-roi-i2965589368.html", "https://www.lazada.vn/products/socola-schogetten-vi-caramel-brownie-thanh-100g-gom-18-vien-roi-i2965589368.html")</f>
        <v>https://www.lazada.vn/products/socola-schogetten-vi-caramel-brownie-thanh-100g-gom-18-vien-roi-i2965589368.html</v>
      </c>
      <c r="C1064" s="10" t="s">
        <v>1064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8">
        <v>5919.0</v>
      </c>
      <c r="B1065" s="9" t="str">
        <f>HYPERLINK("https://www.lazada.vn/products/sparkling-yogurt-malto-shake-it-off-sua-chua-co-ga-vi-nguyen-ban-chai-340ml-i3029185482.html", "https://www.lazada.vn/products/sparkling-yogurt-malto-shake-it-off-sua-chua-co-ga-vi-nguyen-ban-chai-340ml-i3029185482.html")</f>
        <v>https://www.lazada.vn/products/sparkling-yogurt-malto-shake-it-off-sua-chua-co-ga-vi-nguyen-ban-chai-340ml-i3029185482.html</v>
      </c>
      <c r="C1065" s="10" t="s">
        <v>1065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8">
        <v>5920.0</v>
      </c>
      <c r="B1066" s="9" t="str">
        <f>HYPERLINK("https://www.lazada.vn/products/chuoi-say-deo-500g-1kg-i2924273256.html", "https://www.lazada.vn/products/chuoi-say-deo-500g-1kg-i2924273256.html")</f>
        <v>https://www.lazada.vn/products/chuoi-say-deo-500g-1kg-i2924273256.html</v>
      </c>
      <c r="C1066" s="10" t="s">
        <v>1066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8">
        <v>5921.0</v>
      </c>
      <c r="B1067" s="9" t="str">
        <f>HYPERLINK("https://www.lazada.vn/products/vang-do-chile-palena-13-750ml-i2833840770.html", "https://www.lazada.vn/products/vang-do-chile-palena-13-750ml-i2833840770.html")</f>
        <v>https://www.lazada.vn/products/vang-do-chile-palena-13-750ml-i2833840770.html</v>
      </c>
      <c r="C1067" s="10" t="s">
        <v>1067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8">
        <v>5922.0</v>
      </c>
      <c r="B1068" s="9" t="str">
        <f>HYPERLINK("https://www.lazada.vn/products/nuoc-ngot-co-ga-cocacola-nguyen-ban-co-duong-chai-390ml-i2673301423.html", "https://www.lazada.vn/products/nuoc-ngot-co-ga-cocacola-nguyen-ban-co-duong-chai-390ml-i2673301423.html")</f>
        <v>https://www.lazada.vn/products/nuoc-ngot-co-ga-cocacola-nguyen-ban-co-duong-chai-390ml-i2673301423.html</v>
      </c>
      <c r="C1068" s="10" t="s">
        <v>1068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8">
        <v>5923.0</v>
      </c>
      <c r="B1069" s="9" t="str">
        <f>HYPERLINK("https://www.lazada.vn/products/freeship-toi-tim-da-lat-nha-trong-thom-ngon-de-boc-khong-chat-bao-quan-05kg-1kg-giao-nhanh-tp-hcm-2025-i1519697189.html", "https://www.lazada.vn/products/freeship-toi-tim-da-lat-nha-trong-thom-ngon-de-boc-khong-chat-bao-quan-05kg-1kg-giao-nhanh-tp-hcm-2025-i1519697189.html")</f>
        <v>https://www.lazada.vn/products/freeship-toi-tim-da-lat-nha-trong-thom-ngon-de-boc-khong-chat-bao-quan-05kg-1kg-giao-nhanh-tp-hcm-2025-i1519697189.html</v>
      </c>
      <c r="C1069" s="10" t="s">
        <v>1069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8">
        <v>5924.0</v>
      </c>
      <c r="B1070" s="9" t="str">
        <f>HYPERLINK("https://www.lazada.vn/products/me-xung-anh-hue-loai-1-i2136707594.html", "https://www.lazada.vn/products/me-xung-anh-hue-loai-1-i2136707594.html")</f>
        <v>https://www.lazada.vn/products/me-xung-anh-hue-loai-1-i2136707594.html</v>
      </c>
      <c r="C1070" s="10" t="s">
        <v>1070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8">
        <v>5925.0</v>
      </c>
      <c r="B1071" s="9" t="str">
        <f>HYPERLINK("https://www.lazada.vn/products/1-bich-bim-bim-snack-10-goi-34g-hinh-cua-ga-quay-phong-tom-phong-muc-bo-luc-lac-muc-lan-muoi-ot-bap-ngot-bap-pho-mai-bap-suabap-nuong-bbq-bi-do-vi-cay-hanh-i2903990145.html", "https://www.lazada.vn/products/1-bich-bim-bim-snack-10-goi-34g-hinh-cua-ga-quay-phong-tom-phong-muc-bo-luc-lac-muc-lan-muoi-ot-bap-ngot-bap-pho-mai-bap-suabap-nuong-bbq-bi-do-vi-cay-hanh-i2903990145.html")</f>
        <v>https://www.lazada.vn/products/1-bich-bim-bim-snack-10-goi-34g-hinh-cua-ga-quay-phong-tom-phong-muc-bo-luc-lac-muc-lan-muoi-ot-bap-ngot-bap-pho-mai-bap-suabap-nuong-bbq-bi-do-vi-cay-hanh-i2903990145.html</v>
      </c>
      <c r="C1071" s="10" t="s">
        <v>1071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8">
        <v>5926.0</v>
      </c>
      <c r="B1072" s="9" t="str">
        <f>HYPERLINK("https://www.lazada.vn/products/240gam-citrulline-nguyen-chat-i2494628607.html", "https://www.lazada.vn/products/240gam-citrulline-nguyen-chat-i2494628607.html")</f>
        <v>https://www.lazada.vn/products/240gam-citrulline-nguyen-chat-i2494628607.html</v>
      </c>
      <c r="C1072" s="10" t="s">
        <v>1072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8">
        <v>5927.0</v>
      </c>
      <c r="B1073" s="9" t="str">
        <f>HYPERLINK("https://www.lazada.vn/products/1-thung-nuoc-khoang-quang-hanh-co-ga-nuoc-khoang-man-thung-20-chai-500ml-i2667992115.html", "https://www.lazada.vn/products/1-thung-nuoc-khoang-quang-hanh-co-ga-nuoc-khoang-man-thung-20-chai-500ml-i2667992115.html")</f>
        <v>https://www.lazada.vn/products/1-thung-nuoc-khoang-quang-hanh-co-ga-nuoc-khoang-man-thung-20-chai-500ml-i2667992115.html</v>
      </c>
      <c r="C1073" s="10" t="s">
        <v>1073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8">
        <v>5928.0</v>
      </c>
      <c r="B1074" s="9" t="str">
        <f>HYPERLINK("https://www.lazada.vn/products/soju-han-quoc-chum-churum-360ml-vi-dau-i2331897666.html", "https://www.lazada.vn/products/soju-han-quoc-chum-churum-360ml-vi-dau-i2331897666.html")</f>
        <v>https://www.lazada.vn/products/soju-han-quoc-chum-churum-360ml-vi-dau-i2331897666.html</v>
      </c>
      <c r="C1074" s="10" t="s">
        <v>1074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8">
        <v>5929.0</v>
      </c>
      <c r="B1075" s="9" t="str">
        <f>HYPERLINK("https://www.lazada.vn/products/set-mi-hao-hang-ottogi-10-goi-moi-loai-2-goi-i1518736068.html", "https://www.lazada.vn/products/set-mi-hao-hang-ottogi-10-goi-moi-loai-2-goi-i1518736068.html")</f>
        <v>https://www.lazada.vn/products/set-mi-hao-hang-ottogi-10-goi-moi-loai-2-goi-i1518736068.html</v>
      </c>
      <c r="C1075" s="10" t="s">
        <v>1075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8">
        <v>5930.0</v>
      </c>
      <c r="B1076" s="9" t="str">
        <f>HYPERLINK("https://www.lazada.vn/products/500g-o-mai-xi-muoi-mo-sua-khong-hat-chua-ngot-da-lat-loai-1-i1514777952.html", "https://www.lazada.vn/products/500g-o-mai-xi-muoi-mo-sua-khong-hat-chua-ngot-da-lat-loai-1-i1514777952.html")</f>
        <v>https://www.lazada.vn/products/500g-o-mai-xi-muoi-mo-sua-khong-hat-chua-ngot-da-lat-loai-1-i1514777952.html</v>
      </c>
      <c r="C1076" s="10" t="s">
        <v>1076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8">
        <v>5931.0</v>
      </c>
      <c r="B1077" s="9" t="str">
        <f>HYPERLINK("https://www.lazada.vn/products/com-nua-vi-nguyen-an-kieng-das-keto-goi-240g-an-kieng-das-lowcard-giam-can-i1511149552.html", "https://www.lazada.vn/products/com-nua-vi-nguyen-an-kieng-das-keto-goi-240g-an-kieng-das-lowcard-giam-can-i1511149552.html")</f>
        <v>https://www.lazada.vn/products/com-nua-vi-nguyen-an-kieng-das-keto-goi-240g-an-kieng-das-lowcard-giam-can-i1511149552.html</v>
      </c>
      <c r="C1077" s="10" t="s">
        <v>1077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8">
        <v>5932.0</v>
      </c>
      <c r="B1078" s="9" t="str">
        <f>HYPERLINK("https://www.lazada.vn/products/combo-5-goi-com-nua-vi-nguyen-an-kieng-das-keto-goi-240g-an-kieng-das-lowcard-giam-can-i1511131701.html", "https://www.lazada.vn/products/combo-5-goi-com-nua-vi-nguyen-an-kieng-das-keto-goi-240g-an-kieng-das-lowcard-giam-can-i1511131701.html")</f>
        <v>https://www.lazada.vn/products/combo-5-goi-com-nua-vi-nguyen-an-kieng-das-keto-goi-240g-an-kieng-das-lowcard-giam-can-i1511131701.html</v>
      </c>
      <c r="C1078" s="10" t="s">
        <v>1078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8">
        <v>5933.0</v>
      </c>
      <c r="B1079" s="9" t="str">
        <f>HYPERLINK("https://www.lazada.vn/products/combo-10-goi-com-nua-vi-nguyen-an-kieng-das-keto-goi-240g-an-kieng-das-lowcard-giam-can-i1511125754.html", "https://www.lazada.vn/products/combo-10-goi-com-nua-vi-nguyen-an-kieng-das-keto-goi-240g-an-kieng-das-lowcard-giam-can-i1511125754.html")</f>
        <v>https://www.lazada.vn/products/combo-10-goi-com-nua-vi-nguyen-an-kieng-das-keto-goi-240g-an-kieng-das-lowcard-giam-can-i1511125754.html</v>
      </c>
      <c r="C1079" s="10" t="s">
        <v>1079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8">
        <v>5934.0</v>
      </c>
      <c r="B1080" s="9" t="str">
        <f>HYPERLINK("https://www.lazada.vn/products/500gr-banh-trang-cuon-pho-mai-ong-dai-dac-san-tay-ninh-i2738032999.html", "https://www.lazada.vn/products/500gr-banh-trang-cuon-pho-mai-ong-dai-dac-san-tay-ninh-i2738032999.html")</f>
        <v>https://www.lazada.vn/products/500gr-banh-trang-cuon-pho-mai-ong-dai-dac-san-tay-ninh-i2738032999.html</v>
      </c>
      <c r="C1080" s="10" t="s">
        <v>1080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8">
        <v>5935.0</v>
      </c>
      <c r="B1081" s="9" t="str">
        <f>HYPERLINK("https://www.lazada.vn/products/my-tom-waiwai-thai-lan-i1500391065.html", "https://www.lazada.vn/products/my-tom-waiwai-thai-lan-i1500391065.html")</f>
        <v>https://www.lazada.vn/products/my-tom-waiwai-thai-lan-i1500391065.html</v>
      </c>
      <c r="C1081" s="10" t="s">
        <v>1081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8">
        <v>5936.0</v>
      </c>
      <c r="B1082" s="9" t="str">
        <f>HYPERLINK("https://www.lazada.vn/products/mi-somen-tach-muoi-hakubaku-cho-be-goi-100g-i1487069078.html", "https://www.lazada.vn/products/mi-somen-tach-muoi-hakubaku-cho-be-goi-100g-i1487069078.html")</f>
        <v>https://www.lazada.vn/products/mi-somen-tach-muoi-hakubaku-cho-be-goi-100g-i1487069078.html</v>
      </c>
      <c r="C1082" s="10" t="s">
        <v>1082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8">
        <v>5937.0</v>
      </c>
      <c r="B1083" s="9" t="str">
        <f>HYPERLINK("https://www.lazada.vn/products/mien-an-dam-hikari-miso-loai-10-goi-nhat-ban-mien-an-lien-cho-be-i1484545109.html", "https://www.lazada.vn/products/mien-an-dam-hikari-miso-loai-10-goi-nhat-ban-mien-an-lien-cho-be-i1484545109.html")</f>
        <v>https://www.lazada.vn/products/mien-an-dam-hikari-miso-loai-10-goi-nhat-ban-mien-an-lien-cho-be-i1484545109.html</v>
      </c>
      <c r="C1083" s="10" t="s">
        <v>1083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8">
        <v>5938.0</v>
      </c>
      <c r="B1084" s="9" t="str">
        <f>HYPERLINK("https://www.lazada.vn/products/mi-khong-gia-vi-han-quoc-ottogi-goi-110g-i1482256887.html", "https://www.lazada.vn/products/mi-khong-gia-vi-han-quoc-ottogi-goi-110g-i1482256887.html")</f>
        <v>https://www.lazada.vn/products/mi-khong-gia-vi-han-quoc-ottogi-goi-110g-i1482256887.html</v>
      </c>
      <c r="C1084" s="10" t="s">
        <v>1084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8">
        <v>5939.0</v>
      </c>
      <c r="B1085" s="9" t="str">
        <f>HYPERLINK("https://www.lazada.vn/products/banh-canh-kho-hue-500gr-i1479365736.html", "https://www.lazada.vn/products/banh-canh-kho-hue-500gr-i1479365736.html")</f>
        <v>https://www.lazada.vn/products/banh-canh-kho-hue-500gr-i1479365736.html</v>
      </c>
      <c r="C1085" s="10" t="s">
        <v>1085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8">
        <v>5940.0</v>
      </c>
      <c r="B1086" s="9" t="str">
        <f>HYPERLINK("https://www.lazada.vn/products/ruou-vang-trang-chile-montgras-mg-estate-chardonnay-i2391528888.html", "https://www.lazada.vn/products/ruou-vang-trang-chile-montgras-mg-estate-chardonnay-i2391528888.html")</f>
        <v>https://www.lazada.vn/products/ruou-vang-trang-chile-montgras-mg-estate-chardonnay-i2391528888.html</v>
      </c>
      <c r="C1086" s="10" t="s">
        <v>1086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8">
        <v>5941.0</v>
      </c>
      <c r="B1087" s="9" t="str">
        <f>HYPERLINK("https://www.lazada.vn/products/chuoi-say-deo-500g-1kg-i2924193398.html", "https://www.lazada.vn/products/chuoi-say-deo-500g-1kg-i2924193398.html")</f>
        <v>https://www.lazada.vn/products/chuoi-say-deo-500g-1kg-i2924193398.html</v>
      </c>
      <c r="C1087" s="10" t="s">
        <v>1087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8">
        <v>5942.0</v>
      </c>
      <c r="B1088" s="9" t="str">
        <f>HYPERLINK("https://www.lazada.vn/products/banh-canh-kho-hue-sieu-ngon-1kg-i1479333848.html", "https://www.lazada.vn/products/banh-canh-kho-hue-sieu-ngon-1kg-i1479333848.html")</f>
        <v>https://www.lazada.vn/products/banh-canh-kho-hue-sieu-ngon-1kg-i1479333848.html</v>
      </c>
      <c r="C1088" s="10" t="s">
        <v>1088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8">
        <v>5943.0</v>
      </c>
      <c r="B1089" s="9" t="str">
        <f>HYPERLINK("https://www.lazada.vn/products/1kg-bot-thach-pudding-huong-sua-thom-ngon-dam-vi-i2631604173.html", "https://www.lazada.vn/products/1kg-bot-thach-pudding-huong-sua-thom-ngon-dam-vi-i2631604173.html")</f>
        <v>https://www.lazada.vn/products/1kg-bot-thach-pudding-huong-sua-thom-ngon-dam-vi-i2631604173.html</v>
      </c>
      <c r="C1089" s="10" t="s">
        <v>1089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8">
        <v>5944.0</v>
      </c>
      <c r="B1090" s="9" t="str">
        <f>HYPERLINK("https://www.lazada.vn/products/ruou-vang-trang-phap-la-fiole-special-bottle-i2391500089.html", "https://www.lazada.vn/products/ruou-vang-trang-phap-la-fiole-special-bottle-i2391500089.html")</f>
        <v>https://www.lazada.vn/products/ruou-vang-trang-phap-la-fiole-special-bottle-i2391500089.html</v>
      </c>
      <c r="C1090" s="10" t="s">
        <v>1090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8">
        <v>5945.0</v>
      </c>
      <c r="B1091" s="9" t="str">
        <f>HYPERLINK("https://www.lazada.vn/products/vang-ngot-y-1919-anno-domini-thebestwine-vang-y-i2831237208.html", "https://www.lazada.vn/products/vang-ngot-y-1919-anno-domini-thebestwine-vang-y-i2831237208.html")</f>
        <v>https://www.lazada.vn/products/vang-ngot-y-1919-anno-domini-thebestwine-vang-y-i2831237208.html</v>
      </c>
      <c r="C1091" s="10" t="s">
        <v>1091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8">
        <v>5946.0</v>
      </c>
      <c r="B1092" s="9" t="str">
        <f>HYPERLINK("https://www.lazada.vn/products/re-vo-dich-10-goi-snack-bim-bim-ong-ma-thuat-i1679725468.html", "https://www.lazada.vn/products/re-vo-dich-10-goi-snack-bim-bim-ong-ma-thuat-i1679725468.html")</f>
        <v>https://www.lazada.vn/products/re-vo-dich-10-goi-snack-bim-bim-ong-ma-thuat-i1679725468.html</v>
      </c>
      <c r="C1092" s="10" t="s">
        <v>1092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8">
        <v>5947.0</v>
      </c>
      <c r="B1093" s="9" t="str">
        <f>HYPERLINK("https://www.lazada.vn/products/2-hop-ca-phe-sau-rieng-dua-24-goi-i2820902650.html", "https://www.lazada.vn/products/2-hop-ca-phe-sau-rieng-dua-24-goi-i2820902650.html")</f>
        <v>https://www.lazada.vn/products/2-hop-ca-phe-sau-rieng-dua-24-goi-i2820902650.html</v>
      </c>
      <c r="C1093" s="10" t="s">
        <v>1093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8">
        <v>5948.0</v>
      </c>
      <c r="B1094" s="9" t="str">
        <f>HYPERLINK("https://www.lazada.vn/products/tom-chua-phu-thanh-tom-non-bo-dau-500g-sieu-ngon-dac-san-hue-i2134033813.html", "https://www.lazada.vn/products/tom-chua-phu-thanh-tom-non-bo-dau-500g-sieu-ngon-dac-san-hue-i2134033813.html")</f>
        <v>https://www.lazada.vn/products/tom-chua-phu-thanh-tom-non-bo-dau-500g-sieu-ngon-dac-san-hue-i2134033813.html</v>
      </c>
      <c r="C1094" s="10" t="s">
        <v>1094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8">
        <v>5949.0</v>
      </c>
      <c r="B1095" s="9" t="str">
        <f>HYPERLINK("https://www.lazada.vn/products/tran-chau-duong-den-an-lien-cao-cap-oppa-bubble-hop-350g-10-goi-i3028907228.html", "https://www.lazada.vn/products/tran-chau-duong-den-an-lien-cao-cap-oppa-bubble-hop-350g-10-goi-i3028907228.html")</f>
        <v>https://www.lazada.vn/products/tran-chau-duong-den-an-lien-cao-cap-oppa-bubble-hop-350g-10-goi-i3028907228.html</v>
      </c>
      <c r="C1095" s="10" t="s">
        <v>1095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8">
        <v>5950.0</v>
      </c>
      <c r="B1096" s="9" t="str">
        <f>HYPERLINK("https://www.lazada.vn/products/ha-noi-1-thung-24-lon-bia-liquan-lon-330ml-hang-chuan-noi-dia-trung-quoc-i2942437642.html", "https://www.lazada.vn/products/ha-noi-1-thung-24-lon-bia-liquan-lon-330ml-hang-chuan-noi-dia-trung-quoc-i2942437642.html")</f>
        <v>https://www.lazada.vn/products/ha-noi-1-thung-24-lon-bia-liquan-lon-330ml-hang-chuan-noi-dia-trung-quoc-i2942437642.html</v>
      </c>
      <c r="C1096" s="10" t="s">
        <v>1096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8">
        <v>5951.0</v>
      </c>
      <c r="B1097" s="9" t="str">
        <f>HYPERLINK("https://www.lazada.vn/products/siro-carisa-chai-680g-i2706224959.html", "https://www.lazada.vn/products/siro-carisa-chai-680g-i2706224959.html")</f>
        <v>https://www.lazada.vn/products/siro-carisa-chai-680g-i2706224959.html</v>
      </c>
      <c r="C1097" s="10" t="s">
        <v>1097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8">
        <v>5952.0</v>
      </c>
      <c r="B1098" s="9" t="str">
        <f>HYPERLINK("https://www.lazada.vn/products/hop-qua-luc-bao-0309dg-song-phat-yen-to-tinh-che-kem-topping-tao-do-dong-trung-hat-chia-duong-phen-va-6-hu-chung-san-i2945794140.html", "https://www.lazada.vn/products/hop-qua-luc-bao-0309dg-song-phat-yen-to-tinh-che-kem-topping-tao-do-dong-trung-hat-chia-duong-phen-va-6-hu-chung-san-i2945794140.html")</f>
        <v>https://www.lazada.vn/products/hop-qua-luc-bao-0309dg-song-phat-yen-to-tinh-che-kem-topping-tao-do-dong-trung-hat-chia-duong-phen-va-6-hu-chung-san-i2945794140.html</v>
      </c>
      <c r="C1098" s="10" t="s">
        <v>1098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8">
        <v>5953.0</v>
      </c>
      <c r="B1099" s="9" t="str">
        <f>HYPERLINK("https://www.lazada.vn/products/keo-socola-ivan-hanh-nhan-nga-i2964602979.html", "https://www.lazada.vn/products/keo-socola-ivan-hanh-nhan-nga-i2964602979.html")</f>
        <v>https://www.lazada.vn/products/keo-socola-ivan-hanh-nhan-nga-i2964602979.html</v>
      </c>
      <c r="C1099" s="10" t="s">
        <v>1099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8">
        <v>5954.0</v>
      </c>
      <c r="B1100" s="9" t="str">
        <f>HYPERLINK("https://www.lazada.vn/products/1-thung-sua-milo-110ml-4-hop-i2492775658.html", "https://www.lazada.vn/products/1-thung-sua-milo-110ml-4-hop-i2492775658.html")</f>
        <v>https://www.lazada.vn/products/1-thung-sua-milo-110ml-4-hop-i2492775658.html</v>
      </c>
      <c r="C1100" s="10" t="s">
        <v>1100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8">
        <v>5955.0</v>
      </c>
      <c r="B1101" s="9" t="str">
        <f>HYPERLINK("https://www.lazada.vn/products/soju-han-quoc-jinro-360ml-vi-dau-i2331896734.html", "https://www.lazada.vn/products/soju-han-quoc-jinro-360ml-vi-dau-i2331896734.html")</f>
        <v>https://www.lazada.vn/products/soju-han-quoc-jinro-360ml-vi-dau-i2331896734.html</v>
      </c>
      <c r="C1101" s="10" t="s">
        <v>1101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8">
        <v>5956.0</v>
      </c>
      <c r="B1102" s="9" t="str">
        <f>HYPERLINK("https://www.lazada.vn/products/ban-si-nuoc-tang-luc-t-rex-x-oishi-bich-10-goi-180ml-vi-dau-va-vi-trai-cay-thom-mat-giai-nhiet-mua-hedo-an-vat-hot-nhat-i2667961529.html", "https://www.lazada.vn/products/ban-si-nuoc-tang-luc-t-rex-x-oishi-bich-10-goi-180ml-vi-dau-va-vi-trai-cay-thom-mat-giai-nhiet-mua-hedo-an-vat-hot-nhat-i2667961529.html")</f>
        <v>https://www.lazada.vn/products/ban-si-nuoc-tang-luc-t-rex-x-oishi-bich-10-goi-180ml-vi-dau-va-vi-trai-cay-thom-mat-giai-nhiet-mua-hedo-an-vat-hot-nhat-i2667961529.html</v>
      </c>
      <c r="C1102" s="10" t="s">
        <v>1102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8">
        <v>5957.0</v>
      </c>
      <c r="B1103" s="9" t="str">
        <f>HYPERLINK("https://www.lazada.vn/products/khoai-tay-lac-pho-mai-bich-500g-tan-loc-phat-food-i2903843057.html", "https://www.lazada.vn/products/khoai-tay-lac-pho-mai-bich-500g-tan-loc-phat-food-i2903843057.html")</f>
        <v>https://www.lazada.vn/products/khoai-tay-lac-pho-mai-bich-500g-tan-loc-phat-food-i2903843057.html</v>
      </c>
      <c r="C1103" s="10" t="s">
        <v>1103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8">
        <v>5958.0</v>
      </c>
      <c r="B1104" s="9" t="str">
        <f>HYPERLINK("https://www.lazada.vn/products/nuoc-ngot-co-ga-cocacola-nguyen-ban-co-duong-chai-300ml-i2673301422.html", "https://www.lazada.vn/products/nuoc-ngot-co-ga-cocacola-nguyen-ban-co-duong-chai-300ml-i2673301422.html")</f>
        <v>https://www.lazada.vn/products/nuoc-ngot-co-ga-cocacola-nguyen-ban-co-duong-chai-300ml-i2673301422.html</v>
      </c>
      <c r="C1104" s="10" t="s">
        <v>1104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8">
        <v>5959.0</v>
      </c>
      <c r="B1105" s="9" t="str">
        <f>HYPERLINK("https://www.lazada.vn/products/loai-tot-banh-trang-muoi-tac-sa-te-ot-cay-huong-vi-dam-da-ngon-kho-cuong-banh-trang-muoi-tac-xau-tuoi-julietstorenl-i2737486410.html", "https://www.lazada.vn/products/loai-tot-banh-trang-muoi-tac-sa-te-ot-cay-huong-vi-dam-da-ngon-kho-cuong-banh-trang-muoi-tac-xau-tuoi-julietstorenl-i2737486410.html")</f>
        <v>https://www.lazada.vn/products/loai-tot-banh-trang-muoi-tac-sa-te-ot-cay-huong-vi-dam-da-ngon-kho-cuong-banh-trang-muoi-tac-xau-tuoi-julietstorenl-i2737486410.html</v>
      </c>
      <c r="C1105" s="10" t="s">
        <v>1105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8">
        <v>5960.0</v>
      </c>
      <c r="B1106" s="9" t="str">
        <f>HYPERLINK("https://www.lazada.vn/products/chuoi-say-deo-500g-1kg-i2924192399.html", "https://www.lazada.vn/products/chuoi-say-deo-500g-1kg-i2924192399.html")</f>
        <v>https://www.lazada.vn/products/chuoi-say-deo-500g-1kg-i2924192399.html</v>
      </c>
      <c r="C1106" s="10" t="s">
        <v>1106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8">
        <v>5961.0</v>
      </c>
      <c r="B1107" s="9" t="str">
        <f>HYPERLINK("https://www.lazada.vn/products/vo-ram-ha-tinh-hut-chan-khong-tep-100-loai-dac-biet-i2133600548.html", "https://www.lazada.vn/products/vo-ram-ha-tinh-hut-chan-khong-tep-100-loai-dac-biet-i2133600548.html")</f>
        <v>https://www.lazada.vn/products/vo-ram-ha-tinh-hut-chan-khong-tep-100-loai-dac-biet-i2133600548.html</v>
      </c>
      <c r="C1107" s="10" t="s">
        <v>1107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8">
        <v>5962.0</v>
      </c>
      <c r="B1108" s="9" t="str">
        <f>HYPERLINK("https://www.lazada.vn/products/ruou-vang-trang-uc-mcguigan-private-bin-chardonnay-i2391424513.html", "https://www.lazada.vn/products/ruou-vang-trang-uc-mcguigan-private-bin-chardonnay-i2391424513.html")</f>
        <v>https://www.lazada.vn/products/ruou-vang-trang-uc-mcguigan-private-bin-chardonnay-i2391424513.html</v>
      </c>
      <c r="C1108" s="10" t="s">
        <v>1108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8">
        <v>5963.0</v>
      </c>
      <c r="B1109" s="9" t="str">
        <f>HYPERLINK("https://www.lazada.vn/products/tra-la-nam-tieu-u-hach-nang-tuyen-giap-9-vi-i3027690650.html", "https://www.lazada.vn/products/tra-la-nam-tieu-u-hach-nang-tuyen-giap-9-vi-i3027690650.html")</f>
        <v>https://www.lazada.vn/products/tra-la-nam-tieu-u-hach-nang-tuyen-giap-9-vi-i3027690650.html</v>
      </c>
      <c r="C1109" s="10" t="s">
        <v>1109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8">
        <v>5964.0</v>
      </c>
      <c r="B1110" s="9" t="str">
        <f>HYPERLINK("https://www.lazada.vn/products/combo-5-goi-pho-bo-vifon-loai-65g-i1466820652.html", "https://www.lazada.vn/products/combo-5-goi-pho-bo-vifon-loai-65g-i1466820652.html")</f>
        <v>https://www.lazada.vn/products/combo-5-goi-pho-bo-vifon-loai-65g-i1466820652.html</v>
      </c>
      <c r="C1110" s="10" t="s">
        <v>1110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8">
        <v>5965.0</v>
      </c>
      <c r="B1111" s="9" t="str">
        <f>HYPERLINK("https://www.lazada.vn/products/100gr-bot-thach-pudding-huong-xoai-dung-thu-i2631544614.html", "https://www.lazada.vn/products/100gr-bot-thach-pudding-huong-xoai-dung-thu-i2631544614.html")</f>
        <v>https://www.lazada.vn/products/100gr-bot-thach-pudding-huong-xoai-dung-thu-i2631544614.html</v>
      </c>
      <c r="C1111" s="10" t="s">
        <v>1111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8">
        <v>5966.0</v>
      </c>
      <c r="B1112" s="9" t="str">
        <f>HYPERLINK("https://www.lazada.vn/products/tchibo-lo-tt-exclusive-100g-ca-phe-hoa-tan-tach-caffein-germany-exclusive-decaf-coffee-i2820817205.html", "https://www.lazada.vn/products/tchibo-lo-tt-exclusive-100g-ca-phe-hoa-tan-tach-caffein-germany-exclusive-decaf-coffee-i2820817205.html")</f>
        <v>https://www.lazada.vn/products/tchibo-lo-tt-exclusive-100g-ca-phe-hoa-tan-tach-caffein-germany-exclusive-decaf-coffee-i2820817205.html</v>
      </c>
      <c r="C1112" s="10" t="s">
        <v>1112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8">
        <v>5967.0</v>
      </c>
      <c r="B1113" s="9" t="str">
        <f>HYPERLINK("https://www.lazada.vn/products/loai-tot-10-bich-banh-trang-phoi-suong-muoi-tac-tom-sa-te-ot-sieu-cay-huong-vi-dam-da-chua-cay-giao-hoa-toc-2h-i2736759037.html", "https://www.lazada.vn/products/loai-tot-10-bich-banh-trang-phoi-suong-muoi-tac-tom-sa-te-ot-sieu-cay-huong-vi-dam-da-chua-cay-giao-hoa-toc-2h-i2736759037.html")</f>
        <v>https://www.lazada.vn/products/loai-tot-10-bich-banh-trang-phoi-suong-muoi-tac-tom-sa-te-ot-sieu-cay-huong-vi-dam-da-chua-cay-giao-hoa-toc-2h-i2736759037.html</v>
      </c>
      <c r="C1113" s="10" t="s">
        <v>1113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8">
        <v>5968.0</v>
      </c>
      <c r="B1114" s="9" t="str">
        <f>HYPERLINK("https://www.lazada.vn/products/100g-bot-thach-pudding-huong-sua-i2631523584.html", "https://www.lazada.vn/products/100g-bot-thach-pudding-huong-sua-i2631523584.html")</f>
        <v>https://www.lazada.vn/products/100g-bot-thach-pudding-huong-sua-i2631523584.html</v>
      </c>
      <c r="C1114" s="10" t="s">
        <v>1114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8">
        <v>5969.0</v>
      </c>
      <c r="B1115" s="9" t="str">
        <f>HYPERLINK("https://www.lazada.vn/products/gia-huy-diet-1-goi-muc-bento-i1679725421.html", "https://www.lazada.vn/products/gia-huy-diet-1-goi-muc-bento-i1679725421.html")</f>
        <v>https://www.lazada.vn/products/gia-huy-diet-1-goi-muc-bento-i1679725421.html</v>
      </c>
      <c r="C1115" s="10" t="s">
        <v>1115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8">
        <v>5970.0</v>
      </c>
      <c r="B1116" s="9" t="str">
        <f>HYPERLINK("https://www.lazada.vn/products/thung-x-20-chai-soju-han-quoc-jinro-360ml-i2331890661.html", "https://www.lazada.vn/products/thung-x-20-chai-soju-han-quoc-jinro-360ml-i2331890661.html")</f>
        <v>https://www.lazada.vn/products/thung-x-20-chai-soju-han-quoc-jinro-360ml-i2331890661.html</v>
      </c>
      <c r="C1116" s="10" t="s">
        <v>1116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8">
        <v>5971.0</v>
      </c>
      <c r="B1117" s="9" t="str">
        <f>HYPERLINK("https://www.lazada.vn/products/nuoc-ngot-co-ga-cocacola-nguyen-ban-co-duong-chai-225-lit-i2673298406.html", "https://www.lazada.vn/products/nuoc-ngot-co-ga-cocacola-nguyen-ban-co-duong-chai-225-lit-i2673298406.html")</f>
        <v>https://www.lazada.vn/products/nuoc-ngot-co-ga-cocacola-nguyen-ban-co-duong-chai-225-lit-i2673298406.html</v>
      </c>
      <c r="C1117" s="10" t="s">
        <v>1117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8">
        <v>5972.0</v>
      </c>
      <c r="B1118" s="9" t="str">
        <f>HYPERLINK("https://www.lazada.vn/products/1-thung-12-lon-bia-co-lao-gia-wojiabo-kieu-duc-bia-lua-mach-san-xuat-theo-vi-kieu-duc-i2942412646.html", "https://www.lazada.vn/products/1-thung-12-lon-bia-co-lao-gia-wojiabo-kieu-duc-bia-lua-mach-san-xuat-theo-vi-kieu-duc-i2942412646.html")</f>
        <v>https://www.lazada.vn/products/1-thung-12-lon-bia-co-lao-gia-wojiabo-kieu-duc-bia-lua-mach-san-xuat-theo-vi-kieu-duc-i2942412646.html</v>
      </c>
      <c r="C1118" s="10" t="s">
        <v>1118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8">
        <v>5973.0</v>
      </c>
      <c r="B1119" s="9" t="str">
        <f>HYPERLINK("https://www.lazada.vn/products/snack-dui-ga-tan-loc-phat-food-i2903632684.html", "https://www.lazada.vn/products/snack-dui-ga-tan-loc-phat-food-i2903632684.html")</f>
        <v>https://www.lazada.vn/products/snack-dui-ga-tan-loc-phat-food-i2903632684.html</v>
      </c>
      <c r="C1119" s="10" t="s">
        <v>1119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8">
        <v>5974.0</v>
      </c>
      <c r="B1120" s="9" t="str">
        <f>HYPERLINK("https://www.lazada.vn/products/keo-socola-sua-vi-kem-chay-creme-brulee-dome-alenka-nga-i2964299111.html", "https://www.lazada.vn/products/keo-socola-sua-vi-kem-chay-creme-brulee-dome-alenka-nga-i2964299111.html")</f>
        <v>https://www.lazada.vn/products/keo-socola-sua-vi-kem-chay-creme-brulee-dome-alenka-nga-i2964299111.html</v>
      </c>
      <c r="C1120" s="10" t="s">
        <v>1120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8">
        <v>5975.0</v>
      </c>
      <c r="B1121" s="9" t="str">
        <f>HYPERLINK("https://www.lazada.vn/products/syrup-davinci-chai-750ml-hat-de-i2702104675.html", "https://www.lazada.vn/products/syrup-davinci-chai-750ml-hat-de-i2702104675.html")</f>
        <v>https://www.lazada.vn/products/syrup-davinci-chai-750ml-hat-de-i2702104675.html</v>
      </c>
      <c r="C1121" s="10" t="s">
        <v>1121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8">
        <v>5976.0</v>
      </c>
      <c r="B1122" s="9" t="str">
        <f>HYPERLINK("https://www.lazada.vn/products/sua-milo-180ml-1loc-4-hop-i2489867208.html", "https://www.lazada.vn/products/sua-milo-180ml-1loc-4-hop-i2489867208.html")</f>
        <v>https://www.lazada.vn/products/sua-milo-180ml-1loc-4-hop-i2489867208.html</v>
      </c>
      <c r="C1122" s="10" t="s">
        <v>1122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8">
        <v>5977.0</v>
      </c>
      <c r="B1123" s="9" t="str">
        <f>HYPERLINK("https://www.lazada.vn/products/ruou-vang-1919-anno-domini-19-750ml-i2827173897.html", "https://www.lazada.vn/products/ruou-vang-1919-anno-domini-19-750ml-i2827173897.html")</f>
        <v>https://www.lazada.vn/products/ruou-vang-1919-anno-domini-19-750ml-i2827173897.html</v>
      </c>
      <c r="C1123" s="10" t="s">
        <v>1123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8">
        <v>5978.0</v>
      </c>
      <c r="B1124" s="9" t="str">
        <f>HYPERLINK("https://www.lazada.vn/products/500gr-bot-hat-sen-nguyen-chat-nha-lam-rang-moc-handmade-i2910908221.html", "https://www.lazada.vn/products/500gr-bot-hat-sen-nguyen-chat-nha-lam-rang-moc-handmade-i2910908221.html")</f>
        <v>https://www.lazada.vn/products/500gr-bot-hat-sen-nguyen-chat-nha-lam-rang-moc-handmade-i2910908221.html</v>
      </c>
      <c r="C1124" s="10" t="s">
        <v>1124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8">
        <v>5979.0</v>
      </c>
      <c r="B1125" s="9" t="str">
        <f>HYPERLINK("https://www.lazada.vn/products/sot-ca-chua-huu-co-cho-be-bio-junior-150g-tu-8-thang-tuoi-i2133044031.html", "https://www.lazada.vn/products/sot-ca-chua-huu-co-cho-be-bio-junior-150g-tu-8-thang-tuoi-i2133044031.html")</f>
        <v>https://www.lazada.vn/products/sot-ca-chua-huu-co-cho-be-bio-junior-150g-tu-8-thang-tuoi-i2133044031.html</v>
      </c>
      <c r="C1125" s="10" t="s">
        <v>1125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8">
        <v>5980.0</v>
      </c>
      <c r="B1126" s="9" t="str">
        <f>HYPERLINK("https://www.lazada.vn/products/sua-hat-dinh-duong-fanu-meal-hop-20-goi-tot-cho-tieu-hoa-i3015254528.html", "https://www.lazada.vn/products/sua-hat-dinh-duong-fanu-meal-hop-20-goi-tot-cho-tieu-hoa-i3015254528.html")</f>
        <v>https://www.lazada.vn/products/sua-hat-dinh-duong-fanu-meal-hop-20-goi-tot-cho-tieu-hoa-i3015254528.html</v>
      </c>
      <c r="C1126" s="10" t="s">
        <v>1126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8">
        <v>5981.0</v>
      </c>
      <c r="B1127" s="9" t="str">
        <f>HYPERLINK("https://www.lazada.vn/products/ruou-vang-trang-phap-chateau-haut-saric-i2391344721.html", "https://www.lazada.vn/products/ruou-vang-trang-phap-chateau-haut-saric-i2391344721.html")</f>
        <v>https://www.lazada.vn/products/ruou-vang-trang-phap-chateau-haut-saric-i2391344721.html</v>
      </c>
      <c r="C1127" s="10" t="s">
        <v>1127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8">
        <v>5982.0</v>
      </c>
      <c r="B1128" s="9" t="str">
        <f>HYPERLINK("https://www.lazada.vn/products/my-tom-kokomi-chua-cay-thung-30-goi-i1443585331.html", "https://www.lazada.vn/products/my-tom-kokomi-chua-cay-thung-30-goi-i1443585331.html")</f>
        <v>https://www.lazada.vn/products/my-tom-kokomi-chua-cay-thung-30-goi-i1443585331.html</v>
      </c>
      <c r="C1128" s="10" t="s">
        <v>1128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8">
        <v>5983.0</v>
      </c>
      <c r="B1129" s="9" t="str">
        <f>HYPERLINK("https://www.lazada.vn/products/chuoi-say-deo-500g-1kg-i2924188401.html", "https://www.lazada.vn/products/chuoi-say-deo-500g-1kg-i2924188401.html")</f>
        <v>https://www.lazada.vn/products/chuoi-say-deo-500g-1kg-i2924188401.html</v>
      </c>
      <c r="C1129" s="10" t="s">
        <v>1129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8">
        <v>5984.0</v>
      </c>
      <c r="B1130" s="9" t="str">
        <f>HYPERLINK("https://www.lazada.vn/products/thung-24-lon-nuoc-tang-luc-rockstar-250ml-thuong-hieu-my-san-pham-cua-pepsico-i2667485577.html", "https://www.lazada.vn/products/thung-24-lon-nuoc-tang-luc-rockstar-250ml-thuong-hieu-my-san-pham-cua-pepsico-i2667485577.html")</f>
        <v>https://www.lazada.vn/products/thung-24-lon-nuoc-tang-luc-rockstar-250ml-thuong-hieu-my-san-pham-cua-pepsico-i2667485577.html</v>
      </c>
      <c r="C1130" s="10" t="s">
        <v>1130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8">
        <v>5985.0</v>
      </c>
      <c r="B1131" s="9" t="str">
        <f>HYPERLINK("https://www.lazada.vn/products/ruou-vang-trang-phap-grand-theatre-i2391105760.html", "https://www.lazada.vn/products/ruou-vang-trang-phap-grand-theatre-i2391105760.html")</f>
        <v>https://www.lazada.vn/products/ruou-vang-trang-phap-grand-theatre-i2391105760.html</v>
      </c>
      <c r="C1131" s="10" t="s">
        <v>1131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8">
        <v>5986.0</v>
      </c>
      <c r="B1132" s="9" t="str">
        <f>HYPERLINK("https://www.lazada.vn/products/khoai-say-deo-500g-1kg-i2924183463.html", "https://www.lazada.vn/products/khoai-say-deo-500g-1kg-i2924183463.html")</f>
        <v>https://www.lazada.vn/products/khoai-say-deo-500g-1kg-i2924183463.html</v>
      </c>
      <c r="C1132" s="10" t="s">
        <v>1132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8">
        <v>5987.0</v>
      </c>
      <c r="B1133" s="9" t="str">
        <f>HYPERLINK("https://www.lazada.vn/products/combo-10-goi-pho-bo-vifon-loai-65g-i1442186369.html", "https://www.lazada.vn/products/combo-10-goi-pho-bo-vifon-loai-65g-i1442186369.html")</f>
        <v>https://www.lazada.vn/products/combo-10-goi-pho-bo-vifon-loai-65g-i1442186369.html</v>
      </c>
      <c r="C1133" s="10" t="s">
        <v>1133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8">
        <v>5988.0</v>
      </c>
      <c r="B1134" s="9" t="str">
        <f>HYPERLINK("https://www.lazada.vn/products/banh-que-dau-hu-non-ildong-han-quoc-date-t6-72023-i1995400133.html", "https://www.lazada.vn/products/banh-que-dau-hu-non-ildong-han-quoc-date-t6-72023-i1995400133.html")</f>
        <v>https://www.lazada.vn/products/banh-que-dau-hu-non-ildong-han-quoc-date-t6-72023-i1995400133.html</v>
      </c>
      <c r="C1134" s="10" t="s">
        <v>1134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8">
        <v>5989.0</v>
      </c>
      <c r="B1135" s="9" t="str">
        <f>HYPERLINK("https://www.lazada.vn/products/ruou-vang-y-amorini-venneto-rosso-750ml-i2827167880.html", "https://www.lazada.vn/products/ruou-vang-y-amorini-venneto-rosso-750ml-i2827167880.html")</f>
        <v>https://www.lazada.vn/products/ruou-vang-y-amorini-venneto-rosso-750ml-i2827167880.html</v>
      </c>
      <c r="C1135" s="10" t="s">
        <v>1135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8">
        <v>5990.0</v>
      </c>
      <c r="B1136" s="9" t="str">
        <f>HYPERLINK("https://www.lazada.vn/products/200gr-bot-thach-pudding-huong-sua-thom-ngon-i2631515559.html", "https://www.lazada.vn/products/200gr-bot-thach-pudding-huong-sua-thom-ngon-i2631515559.html")</f>
        <v>https://www.lazada.vn/products/200gr-bot-thach-pudding-huong-sua-thom-ngon-i2631515559.html</v>
      </c>
      <c r="C1136" s="10" t="s">
        <v>1136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8">
        <v>5991.0</v>
      </c>
      <c r="B1137" s="9" t="str">
        <f>HYPERLINK("https://www.lazada.vn/products/mut-dau-tay-deo-da-lat-400g-dau-tay-nguyen-trai-pha-nuoc-dau-tay-lac-sieu-ngon-hoac-an-kem-banh-mi-sanwich-i2121351979.html", "https://www.lazada.vn/products/mut-dau-tay-deo-da-lat-400g-dau-tay-nguyen-trai-pha-nuoc-dau-tay-lac-sieu-ngon-hoac-an-kem-banh-mi-sanwich-i2121351979.html")</f>
        <v>https://www.lazada.vn/products/mut-dau-tay-deo-da-lat-400g-dau-tay-nguyen-trai-pha-nuoc-dau-tay-lac-sieu-ngon-hoac-an-kem-banh-mi-sanwich-i2121351979.html</v>
      </c>
      <c r="C1137" s="10" t="s">
        <v>1137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8">
        <v>5992.0</v>
      </c>
      <c r="B1138" s="9" t="str">
        <f>HYPERLINK("https://www.lazada.vn/products/banh-oreo-i1951337753.html", "https://www.lazada.vn/products/banh-oreo-i1951337753.html")</f>
        <v>https://www.lazada.vn/products/banh-oreo-i1951337753.html</v>
      </c>
      <c r="C1138" s="10" t="s">
        <v>1138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8">
        <v>5993.0</v>
      </c>
      <c r="B1139" s="9" t="str">
        <f>HYPERLINK("https://www.lazada.vn/products/thung-x-20-chai-soju-han-quoc-chum-churum-360ml-i2331882719.html", "https://www.lazada.vn/products/thung-x-20-chai-soju-han-quoc-chum-churum-360ml-i2331882719.html")</f>
        <v>https://www.lazada.vn/products/thung-x-20-chai-soju-han-quoc-chum-churum-360ml-i2331882719.html</v>
      </c>
      <c r="C1139" s="10" t="s">
        <v>1139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8">
        <v>5994.0</v>
      </c>
      <c r="B1140" s="9" t="str">
        <f>HYPERLINK("https://www.lazada.vn/products/ca-phe-nam-men-ca-phe-giam-can-na-coffee-hop-lon-12-goi-tang-vit-c-i2819704191.html", "https://www.lazada.vn/products/ca-phe-nam-men-ca-phe-giam-can-na-coffee-hop-lon-12-goi-tang-vit-c-i2819704191.html")</f>
        <v>https://www.lazada.vn/products/ca-phe-nam-men-ca-phe-giam-can-na-coffee-hop-lon-12-goi-tang-vit-c-i2819704191.html</v>
      </c>
      <c r="C1140" s="10" t="s">
        <v>1140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8">
        <v>5995.0</v>
      </c>
      <c r="B1141" s="9" t="str">
        <f>HYPERLINK("https://www.lazada.vn/products/loc-6-lon-nuoc-tang-luc-rockstar-250ml-thuong-hieu-my-san-pham-cua-pepsico-i2667444682.html", "https://www.lazada.vn/products/loc-6-lon-nuoc-tang-luc-rockstar-250ml-thuong-hieu-my-san-pham-cua-pepsico-i2667444682.html")</f>
        <v>https://www.lazada.vn/products/loc-6-lon-nuoc-tang-luc-rockstar-250ml-thuong-hieu-my-san-pham-cua-pepsico-i2667444682.html</v>
      </c>
      <c r="C1141" s="10" t="s">
        <v>1141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8">
        <v>5996.0</v>
      </c>
      <c r="B1142" s="9" t="str">
        <f>HYPERLINK("https://www.lazada.vn/products/sat-nuoc-atiferole-lo-15ml-bo-sung-sat-hieu-qua-dang-siro-huong-dau-de-uong-i2698075140.html", "https://www.lazada.vn/products/sat-nuoc-atiferole-lo-15ml-bo-sung-sat-hieu-qua-dang-siro-huong-dau-de-uong-i2698075140.html")</f>
        <v>https://www.lazada.vn/products/sat-nuoc-atiferole-lo-15ml-bo-sung-sat-hieu-qua-dang-siro-huong-dau-de-uong-i2698075140.html</v>
      </c>
      <c r="C1142" s="10" t="s">
        <v>1142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8">
        <v>5997.0</v>
      </c>
      <c r="B1143" s="9" t="str">
        <f>HYPERLINK("https://www.lazada.vn/products/1kg-khoai-tay-lac-pho-mai-tan-loc-phat-i2902092080.html", "https://www.lazada.vn/products/1kg-khoai-tay-lac-pho-mai-tan-loc-phat-i2902092080.html")</f>
        <v>https://www.lazada.vn/products/1kg-khoai-tay-lac-pho-mai-tan-loc-phat-i2902092080.html</v>
      </c>
      <c r="C1143" s="10" t="s">
        <v>1143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8">
        <v>5998.0</v>
      </c>
      <c r="B1144" s="9" t="str">
        <f>HYPERLINK("https://www.lazada.vn/products/nuoc-ngot-co-ga-cocacola-nguyen-ban-co-duong-chai-15-lit-i2673288370.html", "https://www.lazada.vn/products/nuoc-ngot-co-ga-cocacola-nguyen-ban-co-duong-chai-15-lit-i2673288370.html")</f>
        <v>https://www.lazada.vn/products/nuoc-ngot-co-ga-cocacola-nguyen-ban-co-duong-chai-15-lit-i2673288370.html</v>
      </c>
      <c r="C1144" s="10" t="s">
        <v>1144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8">
        <v>5999.0</v>
      </c>
      <c r="B1145" s="9" t="str">
        <f>HYPERLINK("https://www.lazada.vn/products/10-goi-tam-cay-den-i1679720498.html", "https://www.lazada.vn/products/10-goi-tam-cay-den-i1679720498.html")</f>
        <v>https://www.lazada.vn/products/10-goi-tam-cay-den-i1679720498.html</v>
      </c>
      <c r="C1145" s="10" t="s">
        <v>1145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8">
        <v>6000.0</v>
      </c>
      <c r="B1146" s="9" t="str">
        <f>HYPERLINK("https://www.lazada.vn/products/vang-no-mocasto-i2373737521.html", "https://www.lazada.vn/products/vang-no-mocasto-i2373737521.html")</f>
        <v>https://www.lazada.vn/products/vang-no-mocasto-i2373737521.html</v>
      </c>
      <c r="C1146" s="10" t="s">
        <v>1146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8">
        <v>6001.0</v>
      </c>
      <c r="B1147" s="9" t="str">
        <f>HYPERLINK("https://www.lazada.vn/products/chuoi-say-deo-500g-1kg-i2924165458.html", "https://www.lazada.vn/products/chuoi-say-deo-500g-1kg-i2924165458.html")</f>
        <v>https://www.lazada.vn/products/chuoi-say-deo-500g-1kg-i2924165458.html</v>
      </c>
      <c r="C1147" s="10" t="s">
        <v>1147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8">
        <v>6002.0</v>
      </c>
      <c r="B1148" s="9" t="str">
        <f>HYPERLINK("https://www.lazada.vn/products/chinh-hang-socola-feastables-mrbeast-vi-bo-dau-phong-bong-gao-60g-keo-i2963459211.html", "https://www.lazada.vn/products/chinh-hang-socola-feastables-mrbeast-vi-bo-dau-phong-bong-gao-60g-keo-i2963459211.html")</f>
        <v>https://www.lazada.vn/products/chinh-hang-socola-feastables-mrbeast-vi-bo-dau-phong-bong-gao-60g-keo-i2963459211.html</v>
      </c>
      <c r="C1148" s="10" t="s">
        <v>1148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8">
        <v>6003.0</v>
      </c>
      <c r="B1149" s="9" t="str">
        <f>HYPERLINK("https://www.lazada.vn/products/bot-tra-xanh-tra-sua-matcha-milk-nhat-ban-190g-i2895317436.html", "https://www.lazada.vn/products/bot-tra-xanh-tra-sua-matcha-milk-nhat-ban-190g-i2895317436.html")</f>
        <v>https://www.lazada.vn/products/bot-tra-xanh-tra-sua-matcha-milk-nhat-ban-190g-i2895317436.html</v>
      </c>
      <c r="C1149" s="10" t="s">
        <v>1149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8">
        <v>6004.0</v>
      </c>
      <c r="B1150" s="9" t="str">
        <f>HYPERLINK("https://www.lazada.vn/products/bia-co-lao-gia-wojiabo-kieu-duc-bia-lua-mach-san-xuat-theo-vi-kieu-duc-chai-1l-i2942412619.html", "https://www.lazada.vn/products/bia-co-lao-gia-wojiabo-kieu-duc-bia-lua-mach-san-xuat-theo-vi-kieu-duc-chai-1l-i2942412619.html")</f>
        <v>https://www.lazada.vn/products/bia-co-lao-gia-wojiabo-kieu-duc-bia-lua-mach-san-xuat-theo-vi-kieu-duc-chai-1l-i2942412619.html</v>
      </c>
      <c r="C1150" s="10" t="s">
        <v>1150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8">
        <v>6005.0</v>
      </c>
      <c r="B1151" s="9" t="str">
        <f>HYPERLINK("https://www.lazada.vn/products/banrock-station-red-crimson-cabernet-2021-vang-do-ngot-uc-i2825753759.html", "https://www.lazada.vn/products/banrock-station-red-crimson-cabernet-2021-vang-do-ngot-uc-i2825753759.html")</f>
        <v>https://www.lazada.vn/products/banrock-station-red-crimson-cabernet-2021-vang-do-ngot-uc-i2825753759.html</v>
      </c>
      <c r="C1151" s="10" t="s">
        <v>1151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8">
        <v>6006.0</v>
      </c>
      <c r="B1152" s="9" t="str">
        <f>HYPERLINK("https://www.lazada.vn/products/tui-500g-banh-quy-bong-tuyet-nhan-kem-socolakem-sua-sieu-ngon-sieu-xinh-i2945076245.html", "https://www.lazada.vn/products/tui-500g-banh-quy-bong-tuyet-nhan-kem-socolakem-sua-sieu-ngon-sieu-xinh-i2945076245.html")</f>
        <v>https://www.lazada.vn/products/tui-500g-banh-quy-bong-tuyet-nhan-kem-socolakem-sua-sieu-ngon-sieu-xinh-i2945076245.html</v>
      </c>
      <c r="C1152" s="10" t="s">
        <v>1152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8">
        <v>6007.0</v>
      </c>
      <c r="B1153" s="9" t="str">
        <f>HYPERLINK("https://www.lazada.vn/products/my-tom-an-lien-hao-hao-coc-1-thung-24-coc-i1441353794.html", "https://www.lazada.vn/products/my-tom-an-lien-hao-hao-coc-1-thung-24-coc-i1441353794.html")</f>
        <v>https://www.lazada.vn/products/my-tom-an-lien-hao-hao-coc-1-thung-24-coc-i1441353794.html</v>
      </c>
      <c r="C1153" s="10" t="s">
        <v>1153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8">
        <v>6008.0</v>
      </c>
      <c r="B1154" s="9" t="str">
        <f>HYPERLINK("https://www.lazada.vn/products/banh-quy-choco-chip-hat-dieu-choco-chips-hop-144g-02478-i2391544044.html", "https://www.lazada.vn/products/banh-quy-choco-chip-hat-dieu-choco-chips-hop-144g-02478-i2391544044.html")</f>
        <v>https://www.lazada.vn/products/banh-quy-choco-chip-hat-dieu-choco-chips-hop-144g-02478-i2391544044.html</v>
      </c>
      <c r="C1154" s="10" t="s">
        <v>1154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8">
        <v>6009.0</v>
      </c>
      <c r="B1155" s="9" t="str">
        <f>HYPERLINK("https://www.lazada.vn/products/mien-phi-ship-bot-cacao-nguyen-chat-hop-nua-kg-vi-thom-de-uong-i2486696947.html", "https://www.lazada.vn/products/mien-phi-ship-bot-cacao-nguyen-chat-hop-nua-kg-vi-thom-de-uong-i2486696947.html")</f>
        <v>https://www.lazada.vn/products/mien-phi-ship-bot-cacao-nguyen-chat-hop-nua-kg-vi-thom-de-uong-i2486696947.html</v>
      </c>
      <c r="C1155" s="10" t="s">
        <v>1155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8">
        <v>6010.0</v>
      </c>
      <c r="B1156" s="9" t="str">
        <f>HYPERLINK("https://www.lazada.vn/products/banh-pizza-nhan-hai-san-goi-140g-size-15-i1893154602.html", "https://www.lazada.vn/products/banh-pizza-nhan-hai-san-goi-140g-size-15-i1893154602.html")</f>
        <v>https://www.lazada.vn/products/banh-pizza-nhan-hai-san-goi-140g-size-15-i1893154602.html</v>
      </c>
      <c r="C1156" s="10" t="s">
        <v>1156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8">
        <v>6011.0</v>
      </c>
      <c r="B1157" s="9" t="str">
        <f>HYPERLINK("https://www.lazada.vn/products/thung-6-goi-tran-chau-3q-minh-hanh-sea-jelly-i2933581496.html", "https://www.lazada.vn/products/thung-6-goi-tran-chau-3q-minh-hanh-sea-jelly-i2933581496.html")</f>
        <v>https://www.lazada.vn/products/thung-6-goi-tran-chau-3q-minh-hanh-sea-jelly-i2933581496.html</v>
      </c>
      <c r="C1157" s="10" t="s">
        <v>1157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8">
        <v>6012.0</v>
      </c>
      <c r="B1158" s="9" t="str">
        <f>HYPERLINK("https://www.lazada.vn/products/thung-40-goi-mi-tron-indomie-mix-3-vi-bo-cay-suon-cay-nong-i1439702817.html", "https://www.lazada.vn/products/thung-40-goi-mi-tron-indomie-mix-3-vi-bo-cay-suon-cay-nong-i1439702817.html")</f>
        <v>https://www.lazada.vn/products/thung-40-goi-mi-tron-indomie-mix-3-vi-bo-cay-suon-cay-nong-i1439702817.html</v>
      </c>
      <c r="C1158" s="10" t="s">
        <v>1158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8">
        <v>6013.0</v>
      </c>
      <c r="B1159" s="9" t="str">
        <f>HYPERLINK("https://www.lazada.vn/products/tinh-bot-sam-to-nu-200gr-500gr-thom-chuan-i2811527169.html", "https://www.lazada.vn/products/tinh-bot-sam-to-nu-200gr-500gr-thom-chuan-i2811527169.html")</f>
        <v>https://www.lazada.vn/products/tinh-bot-sam-to-nu-200gr-500gr-thom-chuan-i2811527169.html</v>
      </c>
      <c r="C1159" s="10" t="s">
        <v>1159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8">
        <v>6014.0</v>
      </c>
      <c r="B1160" s="9" t="str">
        <f>HYPERLINK("https://www.lazada.vn/products/bot-pudding-vi-xoai-goi-500gr-thom-ngon-dam-vi-i2631507694.html", "https://www.lazada.vn/products/bot-pudding-vi-xoai-goi-500gr-thom-ngon-dam-vi-i2631507694.html")</f>
        <v>https://www.lazada.vn/products/bot-pudding-vi-xoai-goi-500gr-thom-ngon-dam-vi-i2631507694.html</v>
      </c>
      <c r="C1160" s="10" t="s">
        <v>1160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8">
        <v>6015.0</v>
      </c>
      <c r="B1161" s="9" t="str">
        <f>HYPERLINK("https://www.lazada.vn/products/khoai-say-deo-500g-1kg-i2924161458.html", "https://www.lazada.vn/products/khoai-say-deo-500g-1kg-i2924161458.html")</f>
        <v>https://www.lazada.vn/products/khoai-say-deo-500g-1kg-i2924161458.html</v>
      </c>
      <c r="C1161" s="10" t="s">
        <v>1161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8">
        <v>6016.0</v>
      </c>
      <c r="B1162" s="9" t="str">
        <f>HYPERLINK("https://www.lazada.vn/products/noi-dia-thai-nuoc-suong-sao-chabaa-thai-lan-i2880571054.html", "https://www.lazada.vn/products/noi-dia-thai-nuoc-suong-sao-chabaa-thai-lan-i2880571054.html")</f>
        <v>https://www.lazada.vn/products/noi-dia-thai-nuoc-suong-sao-chabaa-thai-lan-i2880571054.html</v>
      </c>
      <c r="C1162" s="10" t="s">
        <v>1162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8">
        <v>6017.0</v>
      </c>
      <c r="B1163" s="9" t="str">
        <f>HYPERLINK("https://www.lazada.vn/products/san-pham-chinh-hang-gia-vi-nau-ga-ham-sam-han-quoc-i1437354505.html", "https://www.lazada.vn/products/san-pham-chinh-hang-gia-vi-nau-ga-ham-sam-han-quoc-i1437354505.html")</f>
        <v>https://www.lazada.vn/products/san-pham-chinh-hang-gia-vi-nau-ga-ham-sam-han-quoc-i1437354505.html</v>
      </c>
      <c r="C1163" s="10" t="s">
        <v>1163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8">
        <v>6018.0</v>
      </c>
      <c r="B1164" s="9" t="str">
        <f>HYPERLINK("https://www.lazada.vn/products/bot-gao-lut-dau-do-me-den-vitapro-bich-350g-20686-i2795718831.html", "https://www.lazada.vn/products/bot-gao-lut-dau-do-me-den-vitapro-bich-350g-20686-i2795718831.html")</f>
        <v>https://www.lazada.vn/products/bot-gao-lut-dau-do-me-den-vitapro-bich-350g-20686-i2795718831.html</v>
      </c>
      <c r="C1164" s="10" t="s">
        <v>1164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8">
        <v>6019.0</v>
      </c>
      <c r="B1165" s="9" t="str">
        <f>HYPERLINK("https://www.lazada.vn/products/bot-pudding-1kg-vi-xoai-thom-ngon-i2631506723.html", "https://www.lazada.vn/products/bot-pudding-1kg-vi-xoai-thom-ngon-i2631506723.html")</f>
        <v>https://www.lazada.vn/products/bot-pudding-1kg-vi-xoai-thom-ngon-i2631506723.html</v>
      </c>
      <c r="C1165" s="10" t="s">
        <v>1165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8">
        <v>6020.0</v>
      </c>
      <c r="B1166" s="9" t="str">
        <f>HYPERLINK("https://www.lazada.vn/products/nuoc-giai-khat-soda-sangaria-500ml-noi-dia-nhat-i2664361186.html", "https://www.lazada.vn/products/nuoc-giai-khat-soda-sangaria-500ml-noi-dia-nhat-i2664361186.html")</f>
        <v>https://www.lazada.vn/products/nuoc-giai-khat-soda-sangaria-500ml-noi-dia-nhat-i2664361186.html</v>
      </c>
      <c r="C1166" s="10" t="s">
        <v>1166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8">
        <v>6021.0</v>
      </c>
      <c r="B1167" s="9" t="str">
        <f>HYPERLINK("https://www.lazada.vn/products/argentina-vang-trumpeter-reserva-chardonnay-750ml-i2372277765.html", "https://www.lazada.vn/products/argentina-vang-trumpeter-reserva-chardonnay-750ml-i2372277765.html")</f>
        <v>https://www.lazada.vn/products/argentina-vang-trumpeter-reserva-chardonnay-750ml-i2372277765.html</v>
      </c>
      <c r="C1167" s="10" t="s">
        <v>1167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8">
        <v>6022.0</v>
      </c>
      <c r="B1168" s="9" t="str">
        <f>HYPERLINK("https://www.lazada.vn/products/blues-cat-strip-full-price-main-course-nutritious-wet-food-meat-full-strip-adult-kittens-pigeon-cod-fish-rabbit-flavor-cat-snacks-i2896739164.html", "https://www.lazada.vn/products/blues-cat-strip-full-price-main-course-nutritious-wet-food-meat-full-strip-adult-kittens-pigeon-cod-fish-rabbit-flavor-cat-snacks-i2896739164.html")</f>
        <v>https://www.lazada.vn/products/blues-cat-strip-full-price-main-course-nutritious-wet-food-meat-full-strip-adult-kittens-pigeon-cod-fish-rabbit-flavor-cat-snacks-i2896739164.html</v>
      </c>
      <c r="C1168" s="10" t="s">
        <v>1168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8">
        <v>6023.0</v>
      </c>
      <c r="B1169" s="9" t="str">
        <f>HYPERLINK("https://www.lazada.vn/products/banh-quy-lat-plain-cho-nguoi-an-kieng-meiji-104g-i2944802721.html", "https://www.lazada.vn/products/banh-quy-lat-plain-cho-nguoi-an-kieng-meiji-104g-i2944802721.html")</f>
        <v>https://www.lazada.vn/products/banh-quy-lat-plain-cho-nguoi-an-kieng-meiji-104g-i2944802721.html</v>
      </c>
      <c r="C1169" s="10" t="s">
        <v>1169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8">
        <v>6024.0</v>
      </c>
      <c r="B1170" s="9" t="str">
        <f>HYPERLINK("https://www.lazada.vn/products/nuoc-ngot-co-ga-cocacola-zero-khong-duong-lon-320ml-i2673287416.html", "https://www.lazada.vn/products/nuoc-ngot-co-ga-cocacola-zero-khong-duong-lon-320ml-i2673287416.html")</f>
        <v>https://www.lazada.vn/products/nuoc-ngot-co-ga-cocacola-zero-khong-duong-lon-320ml-i2673287416.html</v>
      </c>
      <c r="C1170" s="10" t="s">
        <v>1170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8">
        <v>6025.0</v>
      </c>
      <c r="B1171" s="9" t="str">
        <f>HYPERLINK("https://www.lazada.vn/products/freeship-maxchinh-hang-anh-that-banh-pia-mini-200g-i1881881425.html", "https://www.lazada.vn/products/freeship-maxchinh-hang-anh-that-banh-pia-mini-200g-i1881881425.html")</f>
        <v>https://www.lazada.vn/products/freeship-maxchinh-hang-anh-that-banh-pia-mini-200g-i1881881425.html</v>
      </c>
      <c r="C1171" s="10" t="s">
        <v>1171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8">
        <v>6026.0</v>
      </c>
      <c r="B1172" s="9" t="str">
        <f>HYPERLINK("https://www.lazada.vn/products/apple-dried-instant-snack-fresh-delicious-12-bags-red-fuji-apples-for-pregnant-women-and-children-no-added-ingredients-i2924097754.html", "https://www.lazada.vn/products/apple-dried-instant-snack-fresh-delicious-12-bags-red-fuji-apples-for-pregnant-women-and-children-no-added-ingredients-i2924097754.html")</f>
        <v>https://www.lazada.vn/products/apple-dried-instant-snack-fresh-delicious-12-bags-red-fuji-apples-for-pregnant-women-and-children-no-added-ingredients-i2924097754.html</v>
      </c>
      <c r="C1172" s="10" t="s">
        <v>1172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8">
        <v>6027.0</v>
      </c>
      <c r="B1173" s="9" t="str">
        <f>HYPERLINK("https://www.lazada.vn/products/banh-gao-want-want-nhieu-vi-sieu-ngon-i2391504002.html", "https://www.lazada.vn/products/banh-gao-want-want-nhieu-vi-sieu-ngon-i2391504002.html")</f>
        <v>https://www.lazada.vn/products/banh-gao-want-want-nhieu-vi-sieu-ngon-i2391504002.html</v>
      </c>
      <c r="C1173" s="10" t="s">
        <v>1173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8">
        <v>6028.0</v>
      </c>
      <c r="B1174" s="9" t="str">
        <f>HYPERLINK("https://www.lazada.vn/products/bot-cacao-lua-mach-ovaltine-hop-285g-date-32025-i2486023951.html", "https://www.lazada.vn/products/bot-cacao-lua-mach-ovaltine-hop-285g-date-32025-i2486023951.html")</f>
        <v>https://www.lazada.vn/products/bot-cacao-lua-mach-ovaltine-hop-285g-date-32025-i2486023951.html</v>
      </c>
      <c r="C1174" s="10" t="s">
        <v>1174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8">
        <v>6029.0</v>
      </c>
      <c r="B1175" s="9" t="str">
        <f>HYPERLINK("https://www.lazada.vn/products/chinh-hang-ca-phe-muoi-hop-10-goi-chuan-viet-dam-vi-ngon-kho-cuong-ban-ca-phe-hot-sale-i2810224585.html", "https://www.lazada.vn/products/chinh-hang-ca-phe-muoi-hop-10-goi-chuan-viet-dam-vi-ngon-kho-cuong-ban-ca-phe-hot-sale-i2810224585.html")</f>
        <v>https://www.lazada.vn/products/chinh-hang-ca-phe-muoi-hop-10-goi-chuan-viet-dam-vi-ngon-kho-cuong-ban-ca-phe-hot-sale-i2810224585.html</v>
      </c>
      <c r="C1175" s="10" t="s">
        <v>1175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8">
        <v>6030.0</v>
      </c>
      <c r="B1176" s="9" t="str">
        <f>HYPERLINK("https://www.lazada.vn/products/date-xa-bot-thach-den-suong-sao-duc-quy-goi-100g-i2697213559.html", "https://www.lazada.vn/products/date-xa-bot-thach-den-suong-sao-duc-quy-goi-100g-i2697213559.html")</f>
        <v>https://www.lazada.vn/products/date-xa-bot-thach-den-suong-sao-duc-quy-goi-100g-i2697213559.html</v>
      </c>
      <c r="C1176" s="10" t="s">
        <v>1176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8">
        <v>6031.0</v>
      </c>
      <c r="B1177" s="9" t="str">
        <f>HYPERLINK("https://www.lazada.vn/products/siyigiftcheap-1-thung-bia-corny-khoa-khilong-ngat-ket-noi-cho-bia-nha-kieu-cornelius-i3023831309.html", "https://www.lazada.vn/products/siyigiftcheap-1-thung-bia-corny-khoa-khilong-ngat-ket-noi-cho-bia-nha-kieu-cornelius-i3023831309.html")</f>
        <v>https://www.lazada.vn/products/siyigiftcheap-1-thung-bia-corny-khoa-khilong-ngat-ket-noi-cho-bia-nha-kieu-cornelius-i3023831309.html</v>
      </c>
      <c r="C1177" s="10" t="s">
        <v>1177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8">
        <v>6032.0</v>
      </c>
      <c r="B1178" s="9" t="str">
        <f>HYPERLINK("https://www.lazada.vn/products/vang-chile-queulat-gran-reserva-cabernet-sauvignon-nhap-khau-chinh-hang-i2821255115.html", "https://www.lazada.vn/products/vang-chile-queulat-gran-reserva-cabernet-sauvignon-nhap-khau-chinh-hang-i2821255115.html")</f>
        <v>https://www.lazada.vn/products/vang-chile-queulat-gran-reserva-cabernet-sauvignon-nhap-khau-chinh-hang-i2821255115.html</v>
      </c>
      <c r="C1178" s="10" t="s">
        <v>1178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8">
        <v>6033.0</v>
      </c>
      <c r="B1179" s="9" t="str">
        <f>HYPERLINK("https://www.lazada.vn/products/date-82025-banh-kitkat-mini-chocolate-noi-dia-nhat-i2963322559.html", "https://www.lazada.vn/products/date-82025-banh-kitkat-mini-chocolate-noi-dia-nhat-i2963322559.html")</f>
        <v>https://www.lazada.vn/products/date-82025-banh-kitkat-mini-chocolate-noi-dia-nhat-i2963322559.html</v>
      </c>
      <c r="C1179" s="10" t="s">
        <v>1179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8">
        <v>6034.0</v>
      </c>
      <c r="B1180" s="9" t="str">
        <f>HYPERLINK("https://www.lazada.vn/products/thung-40-goi-mi-tron-indomie-mix-2-vi-bo-cay-suon-i1433325602.html", "https://www.lazada.vn/products/thung-40-goi-mi-tron-indomie-mix-2-vi-bo-cay-suon-i1433325602.html")</f>
        <v>https://www.lazada.vn/products/thung-40-goi-mi-tron-indomie-mix-2-vi-bo-cay-suon-i1433325602.html</v>
      </c>
      <c r="C1180" s="10" t="s">
        <v>1180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8">
        <v>6035.0</v>
      </c>
      <c r="B1181" s="9" t="str">
        <f>HYPERLINK("https://www.lazada.vn/products/goi-500gr-tran-chau-ngu-sac-nau-sieu-toc-chi-3-phut-i2812089080.html", "https://www.lazada.vn/products/goi-500gr-tran-chau-ngu-sac-nau-sieu-toc-chi-3-phut-i2812089080.html")</f>
        <v>https://www.lazada.vn/products/goi-500gr-tran-chau-ngu-sac-nau-sieu-toc-chi-3-phut-i2812089080.html</v>
      </c>
      <c r="C1181" s="10" t="s">
        <v>1181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8">
        <v>6036.0</v>
      </c>
      <c r="B1182" s="9" t="str">
        <f>HYPERLINK("https://www.lazada.vn/products/argentina-vang-trumpeter-reserva-torrontes-750ml-i2372220933.html", "https://www.lazada.vn/products/argentina-vang-trumpeter-reserva-torrontes-750ml-i2372220933.html")</f>
        <v>https://www.lazada.vn/products/argentina-vang-trumpeter-reserva-torrontes-750ml-i2372220933.html</v>
      </c>
      <c r="C1182" s="10" t="s">
        <v>1182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8">
        <v>6037.0</v>
      </c>
      <c r="B1183" s="9" t="str">
        <f>HYPERLINK("https://www.lazada.vn/products/hot-qua-hot-d-goi-300g-khoang-32-cai-i2629222312.html", "https://www.lazada.vn/products/hot-qua-hot-d-goi-300g-khoang-32-cai-i2629222312.html")</f>
        <v>https://www.lazada.vn/products/hot-qua-hot-d-goi-300g-khoang-32-cai-i2629222312.html</v>
      </c>
      <c r="C1183" s="10" t="s">
        <v>1183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8">
        <v>6038.0</v>
      </c>
      <c r="B1184" s="9" t="str">
        <f>HYPERLINK("https://www.lazada.vn/products/gu-liquid-energy-dang-nuoc-i2664352752.html", "https://www.lazada.vn/products/gu-liquid-energy-dang-nuoc-i2664352752.html")</f>
        <v>https://www.lazada.vn/products/gu-liquid-energy-dang-nuoc-i2664352752.html</v>
      </c>
      <c r="C1184" s="10" t="s">
        <v>1184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8">
        <v>6039.0</v>
      </c>
      <c r="B1185" s="9" t="str">
        <f>HYPERLINK("https://www.lazada.vn/products/combo-2-xap-banh-xoai-dac-san-nha-trang-2-xap-i1855574879.html", "https://www.lazada.vn/products/combo-2-xap-banh-xoai-dac-san-nha-trang-2-xap-i1855574879.html")</f>
        <v>https://www.lazada.vn/products/combo-2-xap-banh-xoai-dac-san-nha-trang-2-xap-i1855574879.html</v>
      </c>
      <c r="C1185" s="10" t="s">
        <v>1185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8">
        <v>6040.0</v>
      </c>
      <c r="B1186" s="9" t="str">
        <f>HYPERLINK("https://www.lazada.vn/products/khoai-say-deo-500g-1kg-i2924087551.html", "https://www.lazada.vn/products/khoai-say-deo-500g-1kg-i2924087551.html")</f>
        <v>https://www.lazada.vn/products/khoai-say-deo-500g-1kg-i2924087551.html</v>
      </c>
      <c r="C1186" s="10" t="s">
        <v>1186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8">
        <v>6041.0</v>
      </c>
      <c r="B1187" s="9" t="str">
        <f>HYPERLINK("https://www.lazada.vn/products/tui-285g-luong-kho-sbt-energy-dice-8-vi-an-sang-an-vat-bua-phu-an-kieng-i2385880413.html", "https://www.lazada.vn/products/tui-285g-luong-kho-sbt-energy-dice-8-vi-an-sang-an-vat-bua-phu-an-kieng-i2385880413.html")</f>
        <v>https://www.lazada.vn/products/tui-285g-luong-kho-sbt-energy-dice-8-vi-an-sang-an-vat-bua-phu-an-kieng-i2385880413.html</v>
      </c>
      <c r="C1187" s="10" t="s">
        <v>1187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8">
        <v>6042.0</v>
      </c>
      <c r="B1188" s="9" t="str">
        <f>HYPERLINK("https://www.lazada.vn/products/mieng-lon-gia-cay-nong-huong-vi-hat-gung-ngon-mieng-do-an-nhe-cho-buoi-toi-va-giai-tri-do-an-vat-ngay-lap-tuc-san-pham-dau-phu-kho-i2896696957.html", "https://www.lazada.vn/products/mieng-lon-gia-cay-nong-huong-vi-hat-gung-ngon-mieng-do-an-nhe-cho-buoi-toi-va-giai-tri-do-an-vat-ngay-lap-tuc-san-pham-dau-phu-kho-i2896696957.html")</f>
        <v>https://www.lazada.vn/products/mieng-lon-gia-cay-nong-huong-vi-hat-gung-ngon-mieng-do-an-nhe-cho-buoi-toi-va-giai-tri-do-an-vat-ngay-lap-tuc-san-pham-dau-phu-kho-i2896696957.html</v>
      </c>
      <c r="C1188" s="10" t="s">
        <v>1188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8">
        <v>6043.0</v>
      </c>
      <c r="B1189" s="9" t="str">
        <f>HYPERLINK("https://www.lazada.vn/products/nuoc-ngot-co-ga-cocacola-nguyen-ban-co-duong-lon-320ml-i2673287415.html", "https://www.lazada.vn/products/nuoc-ngot-co-ga-cocacola-nguyen-ban-co-duong-lon-320ml-i2673287415.html")</f>
        <v>https://www.lazada.vn/products/nuoc-ngot-co-ga-cocacola-nguyen-ban-co-duong-lon-320ml-i2673287415.html</v>
      </c>
      <c r="C1189" s="10" t="s">
        <v>1189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8">
        <v>6044.0</v>
      </c>
      <c r="B1190" s="9" t="str">
        <f>HYPERLINK("https://www.lazada.vn/products/sua-cacao-dam-dac-ovaltine-finest-thai-lan-13-goi-x-29g-i2485038195.html", "https://www.lazada.vn/products/sua-cacao-dam-dac-ovaltine-finest-thai-lan-13-goi-x-29g-i2485038195.html")</f>
        <v>https://www.lazada.vn/products/sua-cacao-dam-dac-ovaltine-finest-thai-lan-13-goi-x-29g-i2485038195.html</v>
      </c>
      <c r="C1190" s="10" t="s">
        <v>1190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8">
        <v>6045.0</v>
      </c>
      <c r="B1191" s="9" t="str">
        <f>HYPERLINK("https://www.lazada.vn/products/khoai-say-deo-500g-1kg-i2924069568.html", "https://www.lazada.vn/products/khoai-say-deo-500g-1kg-i2924069568.html")</f>
        <v>https://www.lazada.vn/products/khoai-say-deo-500g-1kg-i2924069568.html</v>
      </c>
      <c r="C1191" s="10" t="s">
        <v>1191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8">
        <v>6046.0</v>
      </c>
      <c r="B1192" s="9" t="str">
        <f>HYPERLINK("https://www.lazada.vn/products/puree-xoai-wonderful-chai-13kg-i2694560943.html", "https://www.lazada.vn/products/puree-xoai-wonderful-chai-13kg-i2694560943.html")</f>
        <v>https://www.lazada.vn/products/puree-xoai-wonderful-chai-13kg-i2694560943.html</v>
      </c>
      <c r="C1192" s="10" t="s">
        <v>1192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8">
        <v>6047.0</v>
      </c>
      <c r="B1193" s="9" t="str">
        <f>HYPERLINK("https://www.lazada.vn/products/siro-huong-la-dua-la-nep-tenten-12kg-i2692083439.html", "https://www.lazada.vn/products/siro-huong-la-dua-la-nep-tenten-12kg-i2692083439.html")</f>
        <v>https://www.lazada.vn/products/siro-huong-la-dua-la-nep-tenten-12kg-i2692083439.html</v>
      </c>
      <c r="C1193" s="10" t="s">
        <v>1193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8">
        <v>6048.0</v>
      </c>
      <c r="B1194" s="9" t="str">
        <f>HYPERLINK("https://www.lazada.vn/products/chuoi-say-deo-500g-1kg-i2924037551.html", "https://www.lazada.vn/products/chuoi-say-deo-500g-1kg-i2924037551.html")</f>
        <v>https://www.lazada.vn/products/chuoi-say-deo-500g-1kg-i2924037551.html</v>
      </c>
      <c r="C1194" s="10" t="s">
        <v>1194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8">
        <v>6049.0</v>
      </c>
      <c r="B1195" s="9" t="str">
        <f>HYPERLINK("https://www.lazada.vn/products/set-qua-tang-doi-tac-hop-qua-tet-gio-qua-tang-beautiful-blossoms-qt036-i2813604355.html", "https://www.lazada.vn/products/set-qua-tang-doi-tac-hop-qua-tet-gio-qua-tang-beautiful-blossoms-qt036-i2813604355.html")</f>
        <v>https://www.lazada.vn/products/set-qua-tang-doi-tac-hop-qua-tet-gio-qua-tang-beautiful-blossoms-qt036-i2813604355.html</v>
      </c>
      <c r="C1195" s="10" t="s">
        <v>1195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8">
        <v>6050.0</v>
      </c>
      <c r="B1196" s="9" t="str">
        <f>HYPERLINK("https://www.lazada.vn/products/ca-phe-good-morning-tran-quang-i2810161777.html", "https://www.lazada.vn/products/ca-phe-good-morning-tran-quang-i2810161777.html")</f>
        <v>https://www.lazada.vn/products/ca-phe-good-morning-tran-quang-i2810161777.html</v>
      </c>
      <c r="C1196" s="10" t="s">
        <v>1196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8">
        <v>6051.0</v>
      </c>
      <c r="B1197" s="9" t="str">
        <f>HYPERLINK("https://www.lazada.vn/products/gio-2-hop-bot-gao-lut-hat-sen-me-den-bot-gao-lut-anan-tot-cho-suc-khoe-xuong-khop-va-cai-thien-giac-ngu-i2776518163.html", "https://www.lazada.vn/products/gio-2-hop-bot-gao-lut-hat-sen-me-den-bot-gao-lut-anan-tot-cho-suc-khoe-xuong-khop-va-cai-thien-giac-ngu-i2776518163.html")</f>
        <v>https://www.lazada.vn/products/gio-2-hop-bot-gao-lut-hat-sen-me-den-bot-gao-lut-anan-tot-cho-suc-khoe-xuong-khop-va-cai-thien-giac-ngu-i2776518163.html</v>
      </c>
      <c r="C1197" s="10" t="s">
        <v>1197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8">
        <v>6052.0</v>
      </c>
      <c r="B1198" s="9" t="str">
        <f>HYPERLINK("https://www.lazada.vn/products/banh-trung-gion-belgi-250g-va-banh-mem-250g-hot-sale-i2810154953.html", "https://www.lazada.vn/products/banh-trung-gion-belgi-250g-va-banh-mem-250g-hot-sale-i2810154953.html")</f>
        <v>https://www.lazada.vn/products/banh-trung-gion-belgi-250g-va-banh-mem-250g-hot-sale-i2810154953.html</v>
      </c>
      <c r="C1198" s="10" t="s">
        <v>1198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8">
        <v>6053.0</v>
      </c>
      <c r="B1199" s="9" t="str">
        <f>HYPERLINK("https://www.lazada.vn/products/ao-thun-carlsberg-size-s-qua-tang-khong-ban-i3023756406.html", "https://www.lazada.vn/products/ao-thun-carlsberg-size-s-qua-tang-khong-ban-i3023756406.html")</f>
        <v>https://www.lazada.vn/products/ao-thun-carlsberg-size-s-qua-tang-khong-ban-i3023756406.html</v>
      </c>
      <c r="C1199" s="10" t="s">
        <v>1199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8">
        <v>6054.0</v>
      </c>
      <c r="B1200" s="9" t="str">
        <f>HYPERLINK("https://www.lazada.vn/products/banh-lava-ovaltine-143g-i2384775821.html", "https://www.lazada.vn/products/banh-lava-ovaltine-143g-i2384775821.html")</f>
        <v>https://www.lazada.vn/products/banh-lava-ovaltine-143g-i2384775821.html</v>
      </c>
      <c r="C1200" s="10" t="s">
        <v>1200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8">
        <v>6055.0</v>
      </c>
      <c r="B1201" s="9" t="str">
        <f>HYPERLINK("https://www.lazada.vn/products/nuoc-ngot-co-ga-cocacola-nguyen-ban-co-duong-chai-600ml-i2673281399.html", "https://www.lazada.vn/products/nuoc-ngot-co-ga-cocacola-nguyen-ban-co-duong-chai-600ml-i2673281399.html")</f>
        <v>https://www.lazada.vn/products/nuoc-ngot-co-ga-cocacola-nguyen-ban-co-duong-chai-600ml-i2673281399.html</v>
      </c>
      <c r="C1201" s="10" t="s">
        <v>1201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8">
        <v>6056.0</v>
      </c>
      <c r="B1202" s="9" t="str">
        <f>HYPERLINK("https://www.lazada.vn/products/si-1-kg-huong-duong-den-i1679707538.html", "https://www.lazada.vn/products/si-1-kg-huong-duong-den-i1679707538.html")</f>
        <v>https://www.lazada.vn/products/si-1-kg-huong-duong-den-i1679707538.html</v>
      </c>
      <c r="C1202" s="10" t="s">
        <v>1202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8">
        <v>6057.0</v>
      </c>
      <c r="B1203" s="9" t="str">
        <f>HYPERLINK("https://www.lazada.vn/products/keo-socola-gau-nga-joyco-goi-150g-hinh-gau-truc-ngo-nghinh-i2962764220.html", "https://www.lazada.vn/products/keo-socola-gau-nga-joyco-goi-150g-hinh-gau-truc-ngo-nghinh-i2962764220.html")</f>
        <v>https://www.lazada.vn/products/keo-socola-gau-nga-joyco-goi-150g-hinh-gau-truc-ngo-nghinh-i2962764220.html</v>
      </c>
      <c r="C1203" s="10" t="s">
        <v>1203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8">
        <v>6058.0</v>
      </c>
      <c r="B1204" s="9" t="str">
        <f>HYPERLINK("https://www.lazada.vn/products/sinh-to-golden-farm-chai-1000ml-tao-i2802679440.html", "https://www.lazada.vn/products/sinh-to-golden-farm-chai-1000ml-tao-i2802679440.html")</f>
        <v>https://www.lazada.vn/products/sinh-to-golden-farm-chai-1000ml-tao-i2802679440.html</v>
      </c>
      <c r="C1204" s="10" t="s">
        <v>1204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8">
        <v>6059.0</v>
      </c>
      <c r="B1205" s="9" t="str">
        <f>HYPERLINK("https://www.lazada.vn/products/combo-2-hop-banh-dinh-duong-mumsure-bibica-165g-danh-cho-phu-nu-mang-thai-va-cho-con-bu-i2944673904.html", "https://www.lazada.vn/products/combo-2-hop-banh-dinh-duong-mumsure-bibica-165g-danh-cho-phu-nu-mang-thai-va-cho-con-bu-i2944673904.html")</f>
        <v>https://www.lazada.vn/products/combo-2-hop-banh-dinh-duong-mumsure-bibica-165g-danh-cho-phu-nu-mang-thai-va-cho-con-bu-i2944673904.html</v>
      </c>
      <c r="C1205" s="10" t="s">
        <v>1205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8">
        <v>6060.0</v>
      </c>
      <c r="B1206" s="9" t="str">
        <f>HYPERLINK("https://www.lazada.vn/products/soju-han-quoc-jinro-360ml-vi-buoi-i2331864851.html", "https://www.lazada.vn/products/soju-han-quoc-jinro-360ml-vi-buoi-i2331864851.html")</f>
        <v>https://www.lazada.vn/products/soju-han-quoc-jinro-360ml-vi-buoi-i2331864851.html</v>
      </c>
      <c r="C1206" s="10" t="s">
        <v>1206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8">
        <v>6061.0</v>
      </c>
      <c r="B1207" s="9" t="str">
        <f>HYPERLINK("https://www.lazada.vn/products/30-goi-mi-tron-indomie-mix-3-vi-bo-cay-suon-cay-nong-i1433293836.html", "https://www.lazada.vn/products/30-goi-mi-tron-indomie-mix-3-vi-bo-cay-suon-cay-nong-i1433293836.html")</f>
        <v>https://www.lazada.vn/products/30-goi-mi-tron-indomie-mix-3-vi-bo-cay-suon-cay-nong-i1433293836.html</v>
      </c>
      <c r="C1207" s="10" t="s">
        <v>1207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8">
        <v>6062.0</v>
      </c>
      <c r="B1208" s="9" t="str">
        <f>HYPERLINK("https://www.lazada.vn/products/nguyen-thung-30-goi-d-goi-300g-khoang-32-cai-i2629206409.html", "https://www.lazada.vn/products/nguyen-thung-30-goi-d-goi-300g-khoang-32-cai-i2629206409.html")</f>
        <v>https://www.lazada.vn/products/nguyen-thung-30-goi-d-goi-300g-khoang-32-cai-i2629206409.html</v>
      </c>
      <c r="C1208" s="10" t="s">
        <v>1208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8">
        <v>6063.0</v>
      </c>
      <c r="B1209" s="9" t="str">
        <f>HYPERLINK("https://www.lazada.vn/products/chinh-hang-ruou-vang-chile-santa-macala-sauvignon-blanc-750ml-i2371805518.html", "https://www.lazada.vn/products/chinh-hang-ruou-vang-chile-santa-macala-sauvignon-blanc-750ml-i2371805518.html")</f>
        <v>https://www.lazada.vn/products/chinh-hang-ruou-vang-chile-santa-macala-sauvignon-blanc-750ml-i2371805518.html</v>
      </c>
      <c r="C1209" s="10" t="s">
        <v>1209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8">
        <v>6064.0</v>
      </c>
      <c r="B1210" s="9" t="str">
        <f>HYPERLINK("https://www.lazada.vn/products/bimbim-snack-ostar-khoai-tay-vi-tao-bienkim-chi-hanwing-goi-35gr-orion-i2893305423.html", "https://www.lazada.vn/products/bimbim-snack-ostar-khoai-tay-vi-tao-bienkim-chi-hanwing-goi-35gr-orion-i2893305423.html")</f>
        <v>https://www.lazada.vn/products/bimbim-snack-ostar-khoai-tay-vi-tao-bienkim-chi-hanwing-goi-35gr-orion-i2893305423.html</v>
      </c>
      <c r="C1210" s="10" t="s">
        <v>1210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8">
        <v>6065.0</v>
      </c>
      <c r="B1211" s="9" t="str">
        <f>HYPERLINK("https://www.lazada.vn/products/thit-vit-kho-vi-cay-tu-xuyen-nhan-hieu-di-kieu-i3055279282.html", "https://www.lazada.vn/products/thit-vit-kho-vi-cay-tu-xuyen-nhan-hieu-di-kieu-i3055279282.html")</f>
        <v>https://www.lazada.vn/products/thit-vit-kho-vi-cay-tu-xuyen-nhan-hieu-di-kieu-i3055279282.html</v>
      </c>
      <c r="C1211" s="10" t="s">
        <v>1211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8">
        <v>6066.0</v>
      </c>
      <c r="B1212" s="9" t="str">
        <f>HYPERLINK("https://www.lazada.vn/products/bot-cacao-nguyen-chat-dans-goi-500g-i2482659404.html", "https://www.lazada.vn/products/bot-cacao-nguyen-chat-dans-goi-500g-i2482659404.html")</f>
        <v>https://www.lazada.vn/products/bot-cacao-nguyen-chat-dans-goi-500g-i2482659404.html</v>
      </c>
      <c r="C1212" s="10" t="s">
        <v>1212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8">
        <v>6067.0</v>
      </c>
      <c r="B1213" s="9" t="str">
        <f>HYPERLINK("https://www.lazada.vn/products/mam-muc-ly-son-dac-san-mien-trung-mam-nguyen-chat-sieu-ngon-hu-500g-lasi-foods-i2118691964.html", "https://www.lazada.vn/products/mam-muc-ly-son-dac-san-mien-trung-mam-nguyen-chat-sieu-ngon-hu-500g-lasi-foods-i2118691964.html")</f>
        <v>https://www.lazada.vn/products/mam-muc-ly-son-dac-san-mien-trung-mam-nguyen-chat-sieu-ngon-hu-500g-lasi-foods-i2118691964.html</v>
      </c>
      <c r="C1213" s="10" t="s">
        <v>1213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8">
        <v>6068.0</v>
      </c>
      <c r="B1214" s="9" t="str">
        <f>HYPERLINK("https://www.lazada.vn/products/khoai-say-deo-500g-1kg-i2924020598.html", "https://www.lazada.vn/products/khoai-say-deo-500g-1kg-i2924020598.html")</f>
        <v>https://www.lazada.vn/products/khoai-say-deo-500g-1kg-i2924020598.html</v>
      </c>
      <c r="C1214" s="10" t="s">
        <v>1214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8">
        <v>6069.0</v>
      </c>
      <c r="B1215" s="9" t="str">
        <f>HYPERLINK("https://www.lazada.vn/products/banh-socola-cay-du-chokoku-kem-dau-strawberry-umbrella-chocolate-18g-hong-i2378044488.html", "https://www.lazada.vn/products/banh-socola-cay-du-chokoku-kem-dau-strawberry-umbrella-chocolate-18g-hong-i2378044488.html")</f>
        <v>https://www.lazada.vn/products/banh-socola-cay-du-chokoku-kem-dau-strawberry-umbrella-chocolate-18g-hong-i2378044488.html</v>
      </c>
      <c r="C1215" s="10" t="s">
        <v>1215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8">
        <v>6070.0</v>
      </c>
      <c r="B1216" s="9" t="str">
        <f>HYPERLINK("https://www.lazada.vn/products/combo-5-banh-cuon-chu-nhat-weiseil-nhan-kem-b208-tknk-beegin-i2809518914.html", "https://www.lazada.vn/products/combo-5-banh-cuon-chu-nhat-weiseil-nhan-kem-b208-tknk-beegin-i2809518914.html")</f>
        <v>https://www.lazada.vn/products/combo-5-banh-cuon-chu-nhat-weiseil-nhan-kem-b208-tknk-beegin-i2809518914.html</v>
      </c>
      <c r="C1216" s="10" t="s">
        <v>1216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8">
        <v>6071.0</v>
      </c>
      <c r="B1217" s="9" t="str">
        <f>HYPERLINK("https://www.lazada.vn/products/combo-10-goi-uc-ga-masti-uc-ga-hap-an-lien-cho-cho-meo-i3055189706.html", "https://www.lazada.vn/products/combo-10-goi-uc-ga-masti-uc-ga-hap-an-lien-cho-cho-meo-i3055189706.html")</f>
        <v>https://www.lazada.vn/products/combo-10-goi-uc-ga-masti-uc-ga-hap-an-lien-cho-cho-meo-i3055189706.html</v>
      </c>
      <c r="C1217" s="10" t="s">
        <v>1217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8">
        <v>6072.0</v>
      </c>
      <c r="B1218" s="9" t="str">
        <f>HYPERLINK("https://www.lazada.vn/products/combo-10-cai-banh-mi-tuoi-vi-bo-sua-40g-kido-thom-mem-ngot-ngao-bo-duong-i2806478006.html", "https://www.lazada.vn/products/combo-10-cai-banh-mi-tuoi-vi-bo-sua-40g-kido-thom-mem-ngot-ngao-bo-duong-i2806478006.html")</f>
        <v>https://www.lazada.vn/products/combo-10-cai-banh-mi-tuoi-vi-bo-sua-40g-kido-thom-mem-ngot-ngao-bo-duong-i2806478006.html</v>
      </c>
      <c r="C1218" s="10" t="s">
        <v>1218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8">
        <v>6073.0</v>
      </c>
      <c r="B1219" s="9" t="str">
        <f>HYPERLINK("https://www.lazada.vn/products/jalebi-mon-ngot-trang-mieng-an-do-250g-i1786858213.html", "https://www.lazada.vn/products/jalebi-mon-ngot-trang-mieng-an-do-250g-i1786858213.html")</f>
        <v>https://www.lazada.vn/products/jalebi-mon-ngot-trang-mieng-an-do-250g-i1786858213.html</v>
      </c>
      <c r="C1219" s="10" t="s">
        <v>1219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8">
        <v>6074.0</v>
      </c>
      <c r="B1220" s="9" t="str">
        <f>HYPERLINK("https://www.lazada.vn/products/coca-hang-noi-dia-nhat-ban-khong-chat-bao-quan-it-ngot-nhieu-ga-i2669143283.html", "https://www.lazada.vn/products/coca-hang-noi-dia-nhat-ban-khong-chat-bao-quan-it-ngot-nhieu-ga-i2669143283.html")</f>
        <v>https://www.lazada.vn/products/coca-hang-noi-dia-nhat-ban-khong-chat-bao-quan-it-ngot-nhieu-ga-i2669143283.html</v>
      </c>
      <c r="C1220" s="10" t="s">
        <v>1220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8">
        <v>6075.0</v>
      </c>
      <c r="B1221" s="9" t="str">
        <f>HYPERLINK("https://www.lazada.vn/products/huayou-1-thung-bia-corny-khoa-khilong-ngat-ket-noi-cho-bia-nha-kieu-cornelius-i3023752399.html", "https://www.lazada.vn/products/huayou-1-thung-bia-corny-khoa-khilong-ngat-ket-noi-cho-bia-nha-kieu-cornelius-i3023752399.html")</f>
        <v>https://www.lazada.vn/products/huayou-1-thung-bia-corny-khoa-khilong-ngat-ket-noi-cho-bia-nha-kieu-cornelius-i3023752399.html</v>
      </c>
      <c r="C1221" s="10" t="s">
        <v>1221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8">
        <v>6076.0</v>
      </c>
      <c r="B1222" s="9" t="str">
        <f>HYPERLINK("https://www.lazada.vn/products/cot-that-bao-20g-i2792738010.html", "https://www.lazada.vn/products/cot-that-bao-20g-i2792738010.html")</f>
        <v>https://www.lazada.vn/products/cot-that-bao-20g-i2792738010.html</v>
      </c>
      <c r="C1222" s="10" t="s">
        <v>1222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8">
        <v>6077.0</v>
      </c>
      <c r="B1223" s="9" t="str">
        <f>HYPERLINK("https://www.lazada.vn/products/thuc-uong-bo-sung-ion-pocari-sweat-6chaix500ml-nhap-khau-chinh-hang-du-hoa-don-i2664182269.html", "https://www.lazada.vn/products/thuc-uong-bo-sung-ion-pocari-sweat-6chaix500ml-nhap-khau-chinh-hang-du-hoa-don-i2664182269.html")</f>
        <v>https://www.lazada.vn/products/thuc-uong-bo-sung-ion-pocari-sweat-6chaix500ml-nhap-khau-chinh-hang-du-hoa-don-i2664182269.html</v>
      </c>
      <c r="C1223" s="10" t="s">
        <v>1223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8">
        <v>6078.0</v>
      </c>
      <c r="B1224" s="9" t="str">
        <f>HYPERLINK("https://www.lazada.vn/products/2-goi-gan-ga-nong-sot-i1679704709.html", "https://www.lazada.vn/products/2-goi-gan-ga-nong-sot-i1679704709.html")</f>
        <v>https://www.lazada.vn/products/2-goi-gan-ga-nong-sot-i1679704709.html</v>
      </c>
      <c r="C1224" s="10" t="s">
        <v>1224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8">
        <v>6079.0</v>
      </c>
      <c r="B1225" s="9" t="str">
        <f>HYPERLINK("https://www.lazada.vn/products/soju-han-quoc-7drops-360ml-vi-dua-luoi-i2331839935.html", "https://www.lazada.vn/products/soju-han-quoc-7drops-360ml-vi-dua-luoi-i2331839935.html")</f>
        <v>https://www.lazada.vn/products/soju-han-quoc-7drops-360ml-vi-dua-luoi-i2331839935.html</v>
      </c>
      <c r="C1225" s="10" t="s">
        <v>1225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8">
        <v>6080.0</v>
      </c>
      <c r="B1226" s="9" t="str">
        <f>HYPERLINK("https://www.lazada.vn/products/ruou-vang-phap-chales-gary-bordeaux-sauvignon-blanc-750ml-135-i2369941943.html", "https://www.lazada.vn/products/ruou-vang-phap-chales-gary-bordeaux-sauvignon-blanc-750ml-135-i2369941943.html")</f>
        <v>https://www.lazada.vn/products/ruou-vang-phap-chales-gary-bordeaux-sauvignon-blanc-750ml-135-i2369941943.html</v>
      </c>
      <c r="C1226" s="10" t="s">
        <v>1226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8">
        <v>6081.0</v>
      </c>
      <c r="B1227" s="9" t="str">
        <f>HYPERLINK("https://www.lazada.vn/products/my-tom-hao-hao-chua-cay-thung-30-goi-date-cap-nhat-ltuc-i1430077906.html", "https://www.lazada.vn/products/my-tom-hao-hao-chua-cay-thung-30-goi-date-cap-nhat-ltuc-i1430077906.html")</f>
        <v>https://www.lazada.vn/products/my-tom-hao-hao-chua-cay-thung-30-goi-date-cap-nhat-ltuc-i1430077906.html</v>
      </c>
      <c r="C1227" s="10" t="s">
        <v>1227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8">
        <v>6082.0</v>
      </c>
      <c r="B1228" s="9" t="str">
        <f>HYPERLINK("https://www.lazada.vn/products/bot-thach-pudding-vai-hoa-dau-biec-500g-lam-pudding-topping-tra-sua-vi-vaihoa-dau-biec-i2623686074.html", "https://www.lazada.vn/products/bot-thach-pudding-vai-hoa-dau-biec-500g-lam-pudding-topping-tra-sua-vi-vaihoa-dau-biec-i2623686074.html")</f>
        <v>https://www.lazada.vn/products/bot-thach-pudding-vai-hoa-dau-biec-500g-lam-pudding-topping-tra-sua-vi-vaihoa-dau-biec-i2623686074.html</v>
      </c>
      <c r="C1228" s="10" t="s">
        <v>1228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8">
        <v>6083.0</v>
      </c>
      <c r="B1229" s="9" t="str">
        <f>HYPERLINK("https://www.lazada.vn/products/12-kg-d-i2117377329.html", "https://www.lazada.vn/products/12-kg-d-i2117377329.html")</f>
        <v>https://www.lazada.vn/products/12-kg-d-i2117377329.html</v>
      </c>
      <c r="C1229" s="10" t="s">
        <v>1229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8">
        <v>6084.0</v>
      </c>
      <c r="B1230" s="9" t="str">
        <f>HYPERLINK("https://www.lazada.vn/products/bot-sua-milo-thai-lan-loc-48-goi-i2478014186.html", "https://www.lazada.vn/products/bot-sua-milo-thai-lan-loc-48-goi-i2478014186.html")</f>
        <v>https://www.lazada.vn/products/bot-sua-milo-thai-lan-loc-48-goi-i2478014186.html</v>
      </c>
      <c r="C1230" s="10" t="s">
        <v>1230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8">
        <v>6085.0</v>
      </c>
      <c r="B1231" s="9" t="str">
        <f>HYPERLINK("https://www.lazada.vn/products/coop-online-banh-me-gion-goute-orion-hop-288g-i2944008773.html", "https://www.lazada.vn/products/coop-online-banh-me-gion-goute-orion-hop-288g-i2944008773.html")</f>
        <v>https://www.lazada.vn/products/coop-online-banh-me-gion-goute-orion-hop-288g-i2944008773.html</v>
      </c>
      <c r="C1231" s="10" t="s">
        <v>1231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8">
        <v>6086.0</v>
      </c>
      <c r="B1232" s="9" t="str">
        <f>HYPERLINK("https://www.lazada.vn/products/bim-bim-khoai-tay-lays-cac-vi-30gr-i2893286515.html", "https://www.lazada.vn/products/bim-bim-khoai-tay-lays-cac-vi-30gr-i2893286515.html")</f>
        <v>https://www.lazada.vn/products/bim-bim-khoai-tay-lays-cac-vi-30gr-i2893286515.html</v>
      </c>
      <c r="C1232" s="10" t="s">
        <v>1232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8">
        <v>6087.0</v>
      </c>
      <c r="B1233" s="9" t="str">
        <f>HYPERLINK("https://www.lazada.vn/products/khoai-say-deo-500g-1kg-i2923974036.html", "https://www.lazada.vn/products/khoai-say-deo-500g-1kg-i2923974036.html")</f>
        <v>https://www.lazada.vn/products/khoai-say-deo-500g-1kg-i2923974036.html</v>
      </c>
      <c r="C1233" s="10" t="s">
        <v>1233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8">
        <v>6088.0</v>
      </c>
      <c r="B1234" s="9" t="str">
        <f>HYPERLINK("https://www.lazada.vn/products/banh-cookies-chocolate-khong-duong-khong-tinh-bot-khong-gay-tang-duong-huyet-danh-cho-nguoi-an-keto-das-low-carb-va-tieu-duong-i2377981565.html", "https://www.lazada.vn/products/banh-cookies-chocolate-khong-duong-khong-tinh-bot-khong-gay-tang-duong-huyet-danh-cho-nguoi-an-keto-das-low-carb-va-tieu-duong-i2377981565.html")</f>
        <v>https://www.lazada.vn/products/banh-cookies-chocolate-khong-duong-khong-tinh-bot-khong-gay-tang-duong-huyet-danh-cho-nguoi-an-keto-das-low-carb-va-tieu-duong-i2377981565.html</v>
      </c>
      <c r="C1234" s="10" t="s">
        <v>1234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8">
        <v>6089.0</v>
      </c>
      <c r="B1235" s="9" t="str">
        <f>HYPERLINK("https://www.lazada.vn/products/combo-5-banh-cuon-chu-nhat-weiseil-nhan-kem-b208-tknk-beegin-i2809505920.html", "https://www.lazada.vn/products/combo-5-banh-cuon-chu-nhat-weiseil-nhan-kem-b208-tknk-beegin-i2809505920.html")</f>
        <v>https://www.lazada.vn/products/combo-5-banh-cuon-chu-nhat-weiseil-nhan-kem-b208-tknk-beegin-i2809505920.html</v>
      </c>
      <c r="C1235" s="10" t="s">
        <v>1235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8">
        <v>6090.0</v>
      </c>
      <c r="B1236" s="9" t="str">
        <f>HYPERLINK("https://www.lazada.vn/products/combo-20-cay-sup-thuong-meo-mix-vi-i3055131778.html", "https://www.lazada.vn/products/combo-20-cay-sup-thuong-meo-mix-vi-i3055131778.html")</f>
        <v>https://www.lazada.vn/products/combo-20-cay-sup-thuong-meo-mix-vi-i3055131778.html</v>
      </c>
      <c r="C1236" s="10" t="s">
        <v>1236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8">
        <v>6091.0</v>
      </c>
      <c r="B1237" s="9" t="str">
        <f>HYPERLINK("https://www.lazada.vn/products/syrup-duong-den-han-quoc-black-sugar-can-2l-i2690314413.html", "https://www.lazada.vn/products/syrup-duong-den-han-quoc-black-sugar-can-2l-i2690314413.html")</f>
        <v>https://www.lazada.vn/products/syrup-duong-den-han-quoc-black-sugar-can-2l-i2690314413.html</v>
      </c>
      <c r="C1237" s="10" t="s">
        <v>1237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8">
        <v>6092.0</v>
      </c>
      <c r="B1238" s="9" t="str">
        <f>HYPERLINK("https://www.lazada.vn/products/ca-phe-trung-nguyen-chu-i-500-g-i2809469594.html", "https://www.lazada.vn/products/ca-phe-trung-nguyen-chu-i-500-g-i2809469594.html")</f>
        <v>https://www.lazada.vn/products/ca-phe-trung-nguyen-chu-i-500-g-i2809469594.html</v>
      </c>
      <c r="C1238" s="10" t="s">
        <v>1238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8">
        <v>6093.0</v>
      </c>
      <c r="B1239" s="9" t="str">
        <f>HYPERLINK("https://www.lazada.vn/products/keo-socola-hanh-nhan-nga-kpokaht-goi-500gr-keo-tim-nga-i2962755058.html", "https://www.lazada.vn/products/keo-socola-hanh-nhan-nga-kpokaht-goi-500gr-keo-tim-nga-i2962755058.html")</f>
        <v>https://www.lazada.vn/products/keo-socola-hanh-nhan-nga-kpokaht-goi-500gr-keo-tim-nga-i2962755058.html</v>
      </c>
      <c r="C1239" s="10" t="s">
        <v>1239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8">
        <v>6094.0</v>
      </c>
      <c r="B1240" s="9" t="str">
        <f>HYPERLINK("https://www.lazada.vn/products/eva-chuan-gia-goc-bot-gao-lut-nhu-y-giam-can-organic-800g-date-moi-i2775470133.html", "https://www.lazada.vn/products/eva-chuan-gia-goc-bot-gao-lut-nhu-y-giam-can-organic-800g-date-moi-i2775470133.html")</f>
        <v>https://www.lazada.vn/products/eva-chuan-gia-goc-bot-gao-lut-nhu-y-giam-can-organic-800g-date-moi-i2775470133.html</v>
      </c>
      <c r="C1240" s="10" t="s">
        <v>1240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8">
        <v>6095.0</v>
      </c>
      <c r="B1241" s="9" t="str">
        <f>HYPERLINK("https://www.lazada.vn/products/vang-phap-francis-shiraz-cabernet-sauvignon-vang-do-i2807952708.html", "https://www.lazada.vn/products/vang-phap-francis-shiraz-cabernet-sauvignon-vang-do-i2807952708.html")</f>
        <v>https://www.lazada.vn/products/vang-phap-francis-shiraz-cabernet-sauvignon-vang-do-i2807952708.html</v>
      </c>
      <c r="C1241" s="10" t="s">
        <v>1241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8">
        <v>6096.0</v>
      </c>
      <c r="B1242" s="9" t="str">
        <f>HYPERLINK("https://www.lazada.vn/products/combo-15-banh-mi-sandwich-staff-lat-mem-275g-date-14-ngay-i2806408704.html", "https://www.lazada.vn/products/combo-15-banh-mi-sandwich-staff-lat-mem-275g-date-14-ngay-i2806408704.html")</f>
        <v>https://www.lazada.vn/products/combo-15-banh-mi-sandwich-staff-lat-mem-275g-date-14-ngay-i2806408704.html</v>
      </c>
      <c r="C1242" s="10" t="s">
        <v>1242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8">
        <v>6097.0</v>
      </c>
      <c r="B1243" s="9" t="str">
        <f>HYPERLINK("https://www.lazada.vn/products/ruou-vang-trang-george-wyndham-bin-222-chardonnay-nong-do-alc-130-750ml-khong-kem-hop-i2367128709.html", "https://www.lazada.vn/products/ruou-vang-trang-george-wyndham-bin-222-chardonnay-nong-do-alc-130-750ml-khong-kem-hop-i2367128709.html")</f>
        <v>https://www.lazada.vn/products/ruou-vang-trang-george-wyndham-bin-222-chardonnay-nong-do-alc-130-750ml-khong-kem-hop-i2367128709.html</v>
      </c>
      <c r="C1243" s="10" t="s">
        <v>1243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8">
        <v>6098.0</v>
      </c>
      <c r="B1244" s="9" t="str">
        <f>HYPERLINK("https://www.lazada.vn/products/tran-chau-3q-dou-xian-du-vi-2kg-i2771201159.html", "https://www.lazada.vn/products/tran-chau-3q-dou-xian-du-vi-2kg-i2771201159.html")</f>
        <v>https://www.lazada.vn/products/tran-chau-3q-dou-xian-du-vi-2kg-i2771201159.html</v>
      </c>
      <c r="C1244" s="10" t="s">
        <v>1244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8">
        <v>6099.0</v>
      </c>
      <c r="B1245" s="9" t="str">
        <f>HYPERLINK("https://www.lazada.vn/products/kaju-katli-sweet-india-mon-ngot-trang-mieng-an-do-1kg-i1786847077.html", "https://www.lazada.vn/products/kaju-katli-sweet-india-mon-ngot-trang-mieng-an-do-1kg-i1786847077.html")</f>
        <v>https://www.lazada.vn/products/kaju-katli-sweet-india-mon-ngot-trang-mieng-an-do-1kg-i1786847077.html</v>
      </c>
      <c r="C1245" s="10" t="s">
        <v>1245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8">
        <v>6100.0</v>
      </c>
      <c r="B1246" s="9" t="str">
        <f>HYPERLINK("https://www.lazada.vn/products/soju-han-quoc-korice-360ml-vi-viet-quat-i2331838928.html", "https://www.lazada.vn/products/soju-han-quoc-korice-360ml-vi-viet-quat-i2331838928.html")</f>
        <v>https://www.lazada.vn/products/soju-han-quoc-korice-360ml-vi-viet-quat-i2331838928.html</v>
      </c>
      <c r="C1246" s="10" t="s">
        <v>1246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8">
        <v>6101.0</v>
      </c>
      <c r="B1247" s="9" t="str">
        <f>HYPERLINK("https://www.lazada.vn/products/keo-milo-socola-choco-bar-thanh-30g-date-moi-i2475080443.html", "https://www.lazada.vn/products/keo-milo-socola-choco-bar-thanh-30g-date-moi-i2475080443.html")</f>
        <v>https://www.lazada.vn/products/keo-milo-socola-choco-bar-thanh-30g-date-moi-i2475080443.html</v>
      </c>
      <c r="C1247" s="10" t="s">
        <v>1247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8">
        <v>6102.0</v>
      </c>
      <c r="B1248" s="9" t="str">
        <f>HYPERLINK("https://www.lazada.vn/products/ly-nuoc-doi-mau-qua-tang-khong-ban-i3023716774.html", "https://www.lazada.vn/products/ly-nuoc-doi-mau-qua-tang-khong-ban-i3023716774.html")</f>
        <v>https://www.lazada.vn/products/ly-nuoc-doi-mau-qua-tang-khong-ban-i3023716774.html</v>
      </c>
      <c r="C1248" s="10" t="s">
        <v>1248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8">
        <v>6103.0</v>
      </c>
      <c r="B1249" s="9" t="str">
        <f>HYPERLINK("https://www.lazada.vn/products/2-goi-snack-ca-vien-chien-i1679696851.html", "https://www.lazada.vn/products/2-goi-snack-ca-vien-chien-i1679696851.html")</f>
        <v>https://www.lazada.vn/products/2-goi-snack-ca-vien-chien-i1679696851.html</v>
      </c>
      <c r="C1249" s="10" t="s">
        <v>1249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8">
        <v>6104.0</v>
      </c>
      <c r="B1250" s="9" t="str">
        <f>HYPERLINK("https://www.lazada.vn/products/banh-quy-vi-ca-phe-coffee-joy-156g-i2943012652.html", "https://www.lazada.vn/products/banh-quy-vi-ca-phe-coffee-joy-156g-i2943012652.html")</f>
        <v>https://www.lazada.vn/products/banh-quy-vi-ca-phe-coffee-joy-156g-i2943012652.html</v>
      </c>
      <c r="C1250" s="10" t="s">
        <v>1250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8">
        <v>6105.0</v>
      </c>
      <c r="B1251" s="9" t="str">
        <f>HYPERLINK("https://www.lazada.vn/products/bot-thach-panna-cotta-vi-vai-hoa-dau-biec-thom-beo-500g-thuong-hieu-calay-mem-min-nun-ninh-nhu-banh-plan-i2623677139.html", "https://www.lazada.vn/products/bot-thach-panna-cotta-vi-vai-hoa-dau-biec-thom-beo-500g-thuong-hieu-calay-mem-min-nun-ninh-nhu-banh-plan-i2623677139.html")</f>
        <v>https://www.lazada.vn/products/bot-thach-panna-cotta-vi-vai-hoa-dau-biec-thom-beo-500g-thuong-hieu-calay-mem-min-nun-ninh-nhu-banh-plan-i2623677139.html</v>
      </c>
      <c r="C1251" s="10" t="s">
        <v>1251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8">
        <v>6106.0</v>
      </c>
      <c r="B1252" s="9" t="str">
        <f>HYPERLINK("https://www.lazada.vn/products/thung-mi-tom-chanh-omni-30-goi-i1427020229.html", "https://www.lazada.vn/products/thung-mi-tom-chanh-omni-30-goi-i1427020229.html")</f>
        <v>https://www.lazada.vn/products/thung-mi-tom-chanh-omni-30-goi-i1427020229.html</v>
      </c>
      <c r="C1252" s="10" t="s">
        <v>1252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8">
        <v>6107.0</v>
      </c>
      <c r="B1253" s="9" t="str">
        <f>HYPERLINK("https://www.lazada.vn/products/qua-tang-dung-thu-nuoc-tang-luc-eastroc-250ml-500ml-i2663742749.html", "https://www.lazada.vn/products/qua-tang-dung-thu-nuoc-tang-luc-eastroc-250ml-500ml-i2663742749.html")</f>
        <v>https://www.lazada.vn/products/qua-tang-dung-thu-nuoc-tang-luc-eastroc-250ml-500ml-i2663742749.html</v>
      </c>
      <c r="C1253" s="10" t="s">
        <v>1253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8">
        <v>6108.0</v>
      </c>
      <c r="B1254" s="9" t="str">
        <f>HYPERLINK("https://www.lazada.vn/products/bim-bim-khoai-tay-bim-bim-lays-goi-54gr-i2893215887.html", "https://www.lazada.vn/products/bim-bim-khoai-tay-bim-bim-lays-goi-54gr-i2893215887.html")</f>
        <v>https://www.lazada.vn/products/bim-bim-khoai-tay-bim-bim-lays-goi-54gr-i2893215887.html</v>
      </c>
      <c r="C1254" s="10" t="s">
        <v>1254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8">
        <v>6109.0</v>
      </c>
      <c r="B1255" s="9" t="str">
        <f>HYPERLINK("https://www.lazada.vn/products/cha-bong-heo-xu-soi-hu-pet-300gr-i2117335254.html", "https://www.lazada.vn/products/cha-bong-heo-xu-soi-hu-pet-300gr-i2117335254.html")</f>
        <v>https://www.lazada.vn/products/cha-bong-heo-xu-soi-hu-pet-300gr-i2117335254.html</v>
      </c>
      <c r="C1255" s="10" t="s">
        <v>1255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8">
        <v>6110.0</v>
      </c>
      <c r="B1256" s="9" t="str">
        <f>HYPERLINK("https://www.lazada.vn/products/nuoc-ngot-co-ga-pepsi-khong-calo-vi-chanh-chai-15-lit-i2664592236.html", "https://www.lazada.vn/products/nuoc-ngot-co-ga-pepsi-khong-calo-vi-chanh-chai-15-lit-i2664592236.html")</f>
        <v>https://www.lazada.vn/products/nuoc-ngot-co-ga-pepsi-khong-calo-vi-chanh-chai-15-lit-i2664592236.html</v>
      </c>
      <c r="C1256" s="10" t="s">
        <v>1256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8">
        <v>6111.0</v>
      </c>
      <c r="B1257" s="9" t="str">
        <f>HYPERLINK("https://www.lazada.vn/products/bo-sung-loi-khuan-sua-chua-dong-kho-dau-tay-xoai-qua-le-qua-mong-nourishing-snack-tre-em-snack-nho-bao-bi-tui-40g-i2923944062.html", "https://www.lazada.vn/products/bo-sung-loi-khuan-sua-chua-dong-kho-dau-tay-xoai-qua-le-qua-mong-nourishing-snack-tre-em-snack-nho-bao-bi-tui-40g-i2923944062.html")</f>
        <v>https://www.lazada.vn/products/bo-sung-loi-khuan-sua-chua-dong-kho-dau-tay-xoai-qua-le-qua-mong-nourishing-snack-tre-em-snack-nho-bao-bi-tui-40g-i2923944062.html</v>
      </c>
      <c r="C1257" s="10" t="s">
        <v>1257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8">
        <v>6112.0</v>
      </c>
      <c r="B1258" s="9" t="str">
        <f>HYPERLINK("https://www.lazada.vn/products/thung-1kg-18c-banh-cuon-chu-nhat-weiseil-nhan-kem-b208-beegin-mart-i2809171358.html", "https://www.lazada.vn/products/thung-1kg-18c-banh-cuon-chu-nhat-weiseil-nhan-kem-b208-beegin-mart-i2809171358.html")</f>
        <v>https://www.lazada.vn/products/thung-1kg-18c-banh-cuon-chu-nhat-weiseil-nhan-kem-b208-beegin-mart-i2809171358.html</v>
      </c>
      <c r="C1258" s="10" t="s">
        <v>1258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8">
        <v>6113.0</v>
      </c>
      <c r="B1259" s="9" t="str">
        <f>HYPERLINK("https://www.lazada.vn/products/banh-pia-dau-xanh-sau-rieng-soc-trang-my-hiep-thanh-520gr-i2367124781.html", "https://www.lazada.vn/products/banh-pia-dau-xanh-sau-rieng-soc-trang-my-hiep-thanh-520gr-i2367124781.html")</f>
        <v>https://www.lazada.vn/products/banh-pia-dau-xanh-sau-rieng-soc-trang-my-hiep-thanh-520gr-i2367124781.html</v>
      </c>
      <c r="C1259" s="10" t="s">
        <v>1259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8">
        <v>6114.0</v>
      </c>
      <c r="B1260" s="9" t="str">
        <f>HYPERLINK("https://www.lazada.vn/products/mi-tom-tre-em-an-binh-10-goi-mon-an-vat-tuoi-tho-mi-tre-em-vi-ngon-dac-biet-an-vat-nha-com-i3040572112.html", "https://www.lazada.vn/products/mi-tom-tre-em-an-binh-10-goi-mon-an-vat-tuoi-tho-mi-tre-em-vi-ngon-dac-biet-an-vat-nha-com-i3040572112.html")</f>
        <v>https://www.lazada.vn/products/mi-tom-tre-em-an-binh-10-goi-mon-an-vat-tuoi-tho-mi-tre-em-vi-ngon-dac-biet-an-vat-nha-com-i3040572112.html</v>
      </c>
      <c r="C1260" s="10" t="s">
        <v>1260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8">
        <v>6115.0</v>
      </c>
      <c r="B1261" s="9" t="str">
        <f>HYPERLINK("https://www.lazada.vn/products/ca-hoi-hong-hoang-da-pink-salmon-wild-planet-1-goi-le-85g-i3054012192.html", "https://www.lazada.vn/products/ca-hoi-hong-hoang-da-pink-salmon-wild-planet-1-goi-le-85g-i3054012192.html")</f>
        <v>https://www.lazada.vn/products/ca-hoi-hong-hoang-da-pink-salmon-wild-planet-1-goi-le-85g-i3054012192.html</v>
      </c>
      <c r="C1261" s="10" t="s">
        <v>1261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8">
        <v>6116.0</v>
      </c>
      <c r="B1262" s="9" t="str">
        <f>HYPERLINK("https://www.lazada.vn/products/tang-them-qua-combo-3-goi-mi-cay-chuan-vi-kem-goi-sup-pha-san-i3029038420.html", "https://www.lazada.vn/products/tang-them-qua-combo-3-goi-mi-cay-chuan-vi-kem-goi-sup-pha-san-i3029038420.html")</f>
        <v>https://www.lazada.vn/products/tang-them-qua-combo-3-goi-mi-cay-chuan-vi-kem-goi-sup-pha-san-i3029038420.html</v>
      </c>
      <c r="C1262" s="10" t="s">
        <v>1262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8">
        <v>6117.0</v>
      </c>
      <c r="B1263" s="9" t="str">
        <f>HYPERLINK("https://www.lazada.vn/products/siro-la-phong-nguyen-chat-maple-joe-syrup-250g-i2687201538.html", "https://www.lazada.vn/products/siro-la-phong-nguyen-chat-maple-joe-syrup-250g-i2687201538.html")</f>
        <v>https://www.lazada.vn/products/siro-la-phong-nguyen-chat-maple-joe-syrup-250g-i2687201538.html</v>
      </c>
      <c r="C1263" s="10" t="s">
        <v>1263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8">
        <v>6118.0</v>
      </c>
      <c r="B1264" s="9" t="str">
        <f>HYPERLINK("https://www.lazada.vn/products/500g-ca-phe-hat-nguyen-chat-ca-phe-hat-cf-hat-chua-xay-ca-phe-hot-cafe-hat-rang-moc-hat-ca-phe-i2808904011.html", "https://www.lazada.vn/products/500g-ca-phe-hat-nguyen-chat-ca-phe-hat-cf-hat-chua-xay-ca-phe-hot-cafe-hat-rang-moc-hat-ca-phe-i2808904011.html")</f>
        <v>https://www.lazada.vn/products/500g-ca-phe-hat-nguyen-chat-ca-phe-hat-cf-hat-chua-xay-ca-phe-hot-cafe-hat-rang-moc-hat-ca-phe-i2808904011.html</v>
      </c>
      <c r="C1264" s="10" t="s">
        <v>1264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8">
        <v>6119.0</v>
      </c>
      <c r="B1265" s="9" t="str">
        <f>HYPERLINK("https://www.lazada.vn/products/chinh-hang-socola-feastables-mrbeast-sua-60g-keo-i2962009804.html", "https://www.lazada.vn/products/chinh-hang-socola-feastables-mrbeast-sua-60g-keo-i2962009804.html")</f>
        <v>https://www.lazada.vn/products/chinh-hang-socola-feastables-mrbeast-sua-60g-keo-i2962009804.html</v>
      </c>
      <c r="C1265" s="10" t="s">
        <v>1265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8">
        <v>6120.0</v>
      </c>
      <c r="B1266" s="9" t="str">
        <f>HYPERLINK("https://www.lazada.vn/products/bot-rau-cu-tong-hop-dalahouse-gom-15-loai-rau-cu-huu-co-sieu-nang-luong-bao-ve-suc-khoe-ca-gia-dinh-i2774310229.html", "https://www.lazada.vn/products/bot-rau-cu-tong-hop-dalahouse-gom-15-loai-rau-cu-huu-co-sieu-nang-luong-bao-ve-suc-khoe-ca-gia-dinh-i2774310229.html")</f>
        <v>https://www.lazada.vn/products/bot-rau-cu-tong-hop-dalahouse-gom-15-loai-rau-cu-huu-co-sieu-nang-luong-bao-ve-suc-khoe-ca-gia-dinh-i2774310229.html</v>
      </c>
      <c r="C1266" s="10" t="s">
        <v>1266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8">
        <v>6121.0</v>
      </c>
      <c r="B1267" s="9" t="str">
        <f>HYPERLINK("https://www.lazada.vn/products/vang-phap-france-maison-vang-do-the-best-wine-i2806304119.html", "https://www.lazada.vn/products/vang-phap-france-maison-vang-do-the-best-wine-i2806304119.html")</f>
        <v>https://www.lazada.vn/products/vang-phap-france-maison-vang-do-the-best-wine-i2806304119.html</v>
      </c>
      <c r="C1267" s="10" t="s">
        <v>1267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8">
        <v>6122.0</v>
      </c>
      <c r="B1268" s="9" t="str">
        <f>HYPERLINK("https://www.lazada.vn/products/combo-10-cai-banh-mi-tuoi-vi-cha-bong-xot-bo-50g-kido-bua-an-nhe-thom-ngon-tien-loi-tiiqii-shop-i2806299472.html", "https://www.lazada.vn/products/combo-10-cai-banh-mi-tuoi-vi-cha-bong-xot-bo-50g-kido-bua-an-nhe-thom-ngon-tien-loi-tiiqii-shop-i2806299472.html")</f>
        <v>https://www.lazada.vn/products/combo-10-cai-banh-mi-tuoi-vi-cha-bong-xot-bo-50g-kido-bua-an-nhe-thom-ngon-tien-loi-tiiqii-shop-i2806299472.html</v>
      </c>
      <c r="C1268" s="10" t="s">
        <v>1268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8">
        <v>6123.0</v>
      </c>
      <c r="B1269" s="9" t="str">
        <f>HYPERLINK("https://www.lazada.vn/products/sua-milo-thai-thung-48-hop-i2470551105.html", "https://www.lazada.vn/products/sua-milo-thai-thung-48-hop-i2470551105.html")</f>
        <v>https://www.lazada.vn/products/sua-milo-thai-thung-48-hop-i2470551105.html</v>
      </c>
      <c r="C1269" s="10" t="s">
        <v>1269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8">
        <v>6124.0</v>
      </c>
      <c r="B1270" s="9" t="str">
        <f>HYPERLINK("https://www.lazada.vn/products/gia-tot-tran-chau-3q-ok-du-vi-thai-lan-2kg-i2771113818.html", "https://www.lazada.vn/products/gia-tot-tran-chau-3q-ok-du-vi-thai-lan-2kg-i2771113818.html")</f>
        <v>https://www.lazada.vn/products/gia-tot-tran-chau-3q-ok-du-vi-thai-lan-2kg-i2771113818.html</v>
      </c>
      <c r="C1270" s="10" t="s">
        <v>1270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8">
        <v>6125.0</v>
      </c>
      <c r="B1271" s="9" t="str">
        <f>HYPERLINK("https://www.lazada.vn/products/gajjar-halwa-carrot-halwa-mon-ngot-trang-mieng-an-do-450g-i1786842007.html", "https://www.lazada.vn/products/gajjar-halwa-carrot-halwa-mon-ngot-trang-mieng-an-do-450g-i1786842007.html")</f>
        <v>https://www.lazada.vn/products/gajjar-halwa-carrot-halwa-mon-ngot-trang-mieng-an-do-450g-i1786842007.html</v>
      </c>
      <c r="C1271" s="10" t="s">
        <v>1271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8">
        <v>6126.0</v>
      </c>
      <c r="B1272" s="9" t="str">
        <f>HYPERLINK("https://www.lazada.vn/products/ruou-vang-co-ga-jacobs-creek-dots-moscato-750ml-75-khong-kem-hop-i2351769388.html", "https://www.lazada.vn/products/ruou-vang-co-ga-jacobs-creek-dots-moscato-750ml-75-khong-kem-hop-i2351769388.html")</f>
        <v>https://www.lazada.vn/products/ruou-vang-co-ga-jacobs-creek-dots-moscato-750ml-75-khong-kem-hop-i2351769388.html</v>
      </c>
      <c r="C1272" s="10" t="s">
        <v>1272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8">
        <v>6127.0</v>
      </c>
      <c r="B1273" s="9" t="str">
        <f>HYPERLINK("https://www.lazada.vn/products/combo-6-chai-_-nuoc-thanh-khiet-pha-s-u-a-aoi-do-ph-ly-tuong-khong-chua-cloflokim-loai-nang-giu-tron-ven-duong-chat-dung-tich-15l-chinh-hang-hai-me-con-i2768400465.html", "https://www.lazada.vn/products/combo-6-chai-_-nuoc-thanh-khiet-pha-s-u-a-aoi-do-ph-ly-tuong-khong-chua-cloflokim-loai-nang-giu-tron-ven-duong-chat-dung-tich-15l-chinh-hang-hai-me-con-i2768400465.html")</f>
        <v>https://www.lazada.vn/products/combo-6-chai-_-nuoc-thanh-khiet-pha-s-u-a-aoi-do-ph-ly-tuong-khong-chua-cloflokim-loai-nang-giu-tron-ven-duong-chat-dung-tich-15l-chinh-hang-hai-me-con-i2768400465.html</v>
      </c>
      <c r="C1273" s="10" t="s">
        <v>1273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8">
        <v>6128.0</v>
      </c>
      <c r="B1274" s="9" t="str">
        <f>HYPERLINK("https://www.lazada.vn/products/sooji-halwa-mon-ngot-trang-mieng-an-do-500g-i1786838192.html", "https://www.lazada.vn/products/sooji-halwa-mon-ngot-trang-mieng-an-do-500g-i1786838192.html")</f>
        <v>https://www.lazada.vn/products/sooji-halwa-mon-ngot-trang-mieng-an-do-500g-i1786838192.html</v>
      </c>
      <c r="C1274" s="10" t="s">
        <v>1274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8">
        <v>6129.0</v>
      </c>
      <c r="B1275" s="9" t="str">
        <f>HYPERLINK("https://www.lazada.vn/products/ruou-vang-no-jacobs-creek-chardonnay-pinot-noir-nong-do-alc-115-750ml-khong-kem-hop-i2351697979.html", "https://www.lazada.vn/products/ruou-vang-no-jacobs-creek-chardonnay-pinot-noir-nong-do-alc-115-750ml-khong-kem-hop-i2351697979.html")</f>
        <v>https://www.lazada.vn/products/ruou-vang-no-jacobs-creek-chardonnay-pinot-noir-nong-do-alc-115-750ml-khong-kem-hop-i2351697979.html</v>
      </c>
      <c r="C1275" s="10" t="s">
        <v>1275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8">
        <v>6130.0</v>
      </c>
      <c r="B1276" s="9" t="str">
        <f>HYPERLINK("https://www.lazada.vn/products/hai-me-con-_-nuoc-thanh-khiet-pha-sua-aoi-do-ph-ly-tuong-khong-chua-cloflokim-loai-nang-giu-tron-ven-duong-chat-dung-tich-15l-chinh-hang-i2768267891.html", "https://www.lazada.vn/products/hai-me-con-_-nuoc-thanh-khiet-pha-sua-aoi-do-ph-ly-tuong-khong-chua-cloflokim-loai-nang-giu-tron-ven-duong-chat-dung-tich-15l-chinh-hang-i2768267891.html")</f>
        <v>https://www.lazada.vn/products/hai-me-con-_-nuoc-thanh-khiet-pha-sua-aoi-do-ph-ly-tuong-khong-chua-cloflokim-loai-nang-giu-tron-ven-duong-chat-dung-tich-15l-chinh-hang-i2768267891.html</v>
      </c>
      <c r="C1276" s="10" t="s">
        <v>1276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8">
        <v>6131.0</v>
      </c>
      <c r="B1277" s="9" t="str">
        <f>HYPERLINK("https://www.lazada.vn/products/soju-han-quoc-7drops-360ml-vi-xoai-i2331838888.html", "https://www.lazada.vn/products/soju-han-quoc-7drops-360ml-vi-xoai-i2331838888.html")</f>
        <v>https://www.lazada.vn/products/soju-han-quoc-7drops-360ml-vi-xoai-i2331838888.html</v>
      </c>
      <c r="C1277" s="10" t="s">
        <v>1277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8">
        <v>6132.0</v>
      </c>
      <c r="B1278" s="9" t="str">
        <f>HYPERLINK("https://www.lazada.vn/products/1-bich-30-snack-goi-bo-mieng-thom-cay-i1679650887.html", "https://www.lazada.vn/products/1-bich-30-snack-goi-bo-mieng-thom-cay-i1679650887.html")</f>
        <v>https://www.lazada.vn/products/1-bich-30-snack-goi-bo-mieng-thom-cay-i1679650887.html</v>
      </c>
      <c r="C1278" s="10" t="s">
        <v>1278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8">
        <v>6133.0</v>
      </c>
      <c r="B1279" s="9" t="str">
        <f>HYPERLINK("https://www.lazada.vn/products/luong-kho-sbt-vi-ruot-thit-500gr-vien-mini-tien-loi-thom-ngon-i2939395967.html", "https://www.lazada.vn/products/luong-kho-sbt-vi-ruot-thit-500gr-vien-mini-tien-loi-thom-ngon-i2939395967.html")</f>
        <v>https://www.lazada.vn/products/luong-kho-sbt-vi-ruot-thit-500gr-vien-mini-tien-loi-thom-ngon-i2939395967.html</v>
      </c>
      <c r="C1279" s="10" t="s">
        <v>1279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8">
        <v>6134.0</v>
      </c>
      <c r="B1280" s="9" t="str">
        <f>HYPERLINK("https://www.lazada.vn/products/ly-whisky-krosno-whisky-sour-kieu-co-dien-bourbon-cognac-brandy-bo-6-cai-101-oz-bo-suu-tap-pha-tron-hoan-hao-cho-tail-do-uong-nuoc-nuoc-i3023707111.html", "https://www.lazada.vn/products/ly-whisky-krosno-whisky-sour-kieu-co-dien-bourbon-cognac-brandy-bo-6-cai-101-oz-bo-suu-tap-pha-tron-hoan-hao-cho-tail-do-uong-nuoc-nuoc-i3023707111.html")</f>
        <v>https://www.lazada.vn/products/ly-whisky-krosno-whisky-sour-kieu-co-dien-bourbon-cognac-brandy-bo-6-cai-101-oz-bo-suu-tap-pha-tron-hoan-hao-cho-tail-do-uong-nuoc-nuoc-i3023707111.html</v>
      </c>
      <c r="C1280" s="10" t="s">
        <v>1280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8">
        <v>6135.0</v>
      </c>
      <c r="B1281" s="9" t="str">
        <f>HYPERLINK("https://www.lazada.vn/products/gia-huy-diet-1-bich-30-goi-gan-ga-nong-sot-i1679647940.html", "https://www.lazada.vn/products/gia-huy-diet-1-bich-30-goi-gan-ga-nong-sot-i1679647940.html")</f>
        <v>https://www.lazada.vn/products/gia-huy-diet-1-bich-30-goi-gan-ga-nong-sot-i1679647940.html</v>
      </c>
      <c r="C1281" s="10" t="s">
        <v>1281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8">
        <v>6136.0</v>
      </c>
      <c r="B1282" s="9" t="str">
        <f>HYPERLINK("https://www.lazada.vn/products/bot-khuc-bach-vai-hoa-dau-biec-500g-lam-khuc-bach-topping-tra-sua-vi-vai-mau-hoa-dau-biec-i2623513675.html", "https://www.lazada.vn/products/bot-khuc-bach-vai-hoa-dau-biec-500g-lam-khuc-bach-topping-tra-sua-vi-vai-mau-hoa-dau-biec-i2623513675.html")</f>
        <v>https://www.lazada.vn/products/bot-khuc-bach-vai-hoa-dau-biec-500g-lam-khuc-bach-topping-tra-sua-vi-vai-mau-hoa-dau-biec-i2623513675.html</v>
      </c>
      <c r="C1282" s="10" t="s">
        <v>1282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8">
        <v>6137.0</v>
      </c>
      <c r="B1283" s="9" t="str">
        <f>HYPERLINK("https://www.lazada.vn/products/my-tom-an-lien-gau-do-cac-loai-giao-vi-ngau-nhien-1-thung-30-goi-bao-bi-moi-i1425979321.html", "https://www.lazada.vn/products/my-tom-an-lien-gau-do-cac-loai-giao-vi-ngau-nhien-1-thung-30-goi-bao-bi-moi-i1425979321.html")</f>
        <v>https://www.lazada.vn/products/my-tom-an-lien-gau-do-cac-loai-giao-vi-ngau-nhien-1-thung-30-goi-bao-bi-moi-i1425979321.html</v>
      </c>
      <c r="C1283" s="10" t="s">
        <v>1283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8">
        <v>6138.0</v>
      </c>
      <c r="B1284" s="9" t="str">
        <f>HYPERLINK("https://www.lazada.vn/products/bot-thach-panna-cotta-vi-vai-hoa-dau-biec-thom-beo-200g-thuong-hieu-calay-mem-min-nun-nin-nhu-banh-plan-i2623506754.html", "https://www.lazada.vn/products/bot-thach-panna-cotta-vi-vai-hoa-dau-biec-thom-beo-200g-thuong-hieu-calay-mem-min-nun-nin-nhu-banh-plan-i2623506754.html")</f>
        <v>https://www.lazada.vn/products/bot-thach-panna-cotta-vi-vai-hoa-dau-biec-thom-beo-200g-thuong-hieu-calay-mem-min-nun-nin-nhu-banh-plan-i2623506754.html</v>
      </c>
      <c r="C1284" s="10" t="s">
        <v>1284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8">
        <v>6139.0</v>
      </c>
      <c r="B1285" s="9" t="str">
        <f>HYPERLINK("https://www.lazada.vn/products/combo-10-goi-mi-3-mien-bo-ham-rau-thom-i1422414066.html", "https://www.lazada.vn/products/combo-10-goi-mi-3-mien-bo-ham-rau-thom-i1422414066.html")</f>
        <v>https://www.lazada.vn/products/combo-10-goi-mi-3-mien-bo-ham-rau-thom-i1422414066.html</v>
      </c>
      <c r="C1285" s="10" t="s">
        <v>1285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8">
        <v>6140.0</v>
      </c>
      <c r="B1286" s="9" t="str">
        <f>HYPERLINK("https://www.lazada.vn/products/nuoc-ngot-co-ga-7up-khong-calo-soda-chanh-lon-320ml-i2664551431.html", "https://www.lazada.vn/products/nuoc-ngot-co-ga-7up-khong-calo-soda-chanh-lon-320ml-i2664551431.html")</f>
        <v>https://www.lazada.vn/products/nuoc-ngot-co-ga-7up-khong-calo-soda-chanh-lon-320ml-i2664551431.html</v>
      </c>
      <c r="C1286" s="10" t="s">
        <v>1286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8">
        <v>6141.0</v>
      </c>
      <c r="B1287" s="9" t="str">
        <f>HYPERLINK("https://www.lazada.vn/products/ca-phao-ngam-chua-ngot-tron-san-toi-ot-hop-700g-i2114200200.html", "https://www.lazada.vn/products/ca-phao-ngam-chua-ngot-tron-san-toi-ot-hop-700g-i2114200200.html")</f>
        <v>https://www.lazada.vn/products/ca-phao-ngam-chua-ngot-tron-san-toi-ot-hop-700g-i2114200200.html</v>
      </c>
      <c r="C1287" s="10" t="s">
        <v>1287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8">
        <v>6142.0</v>
      </c>
      <c r="B1288" s="9" t="str">
        <f>HYPERLINK("https://www.lazada.vn/products/nuoc-khoang-thien-nhien-samdasoo-2l-ktown-market-i2660157739.html", "https://www.lazada.vn/products/nuoc-khoang-thien-nhien-samdasoo-2l-ktown-market-i2660157739.html")</f>
        <v>https://www.lazada.vn/products/nuoc-khoang-thien-nhien-samdasoo-2l-ktown-market-i2660157739.html</v>
      </c>
      <c r="C1288" s="10" t="s">
        <v>1288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8">
        <v>6143.0</v>
      </c>
      <c r="B1289" s="9" t="str">
        <f>HYPERLINK("https://www.lazada.vn/products/bim-bim-hat-sen-chien-gion-snack-nui-say-gion-cay-ngot-400gr-i2892849882.html", "https://www.lazada.vn/products/bim-bim-hat-sen-chien-gion-snack-nui-say-gion-cay-ngot-400gr-i2892849882.html")</f>
        <v>https://www.lazada.vn/products/bim-bim-hat-sen-chien-gion-snack-nui-say-gion-cay-ngot-400gr-i2892849882.html</v>
      </c>
      <c r="C1289" s="10" t="s">
        <v>1289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8">
        <v>6144.0</v>
      </c>
      <c r="B1290" s="9" t="str">
        <f>HYPERLINK("https://www.lazada.vn/products/dragon-fruit-dried-red-heart-crispy-instant-food-cake-dessert-decoration-ingredient-bag-dried-fruit-snack-healthy-treat-i2923936029.html", "https://www.lazada.vn/products/dragon-fruit-dried-red-heart-crispy-instant-food-cake-dessert-decoration-ingredient-bag-dried-fruit-snack-healthy-treat-i2923936029.html")</f>
        <v>https://www.lazada.vn/products/dragon-fruit-dried-red-heart-crispy-instant-food-cake-dessert-decoration-ingredient-bag-dried-fruit-snack-healthy-treat-i2923936029.html</v>
      </c>
      <c r="C1290" s="10" t="s">
        <v>1290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8">
        <v>6145.0</v>
      </c>
      <c r="B1291" s="9" t="str">
        <f>HYPERLINK("https://www.lazada.vn/products/combo-2-goi-banh-pia-mini-banh-pia-sau-rieng-i2359364165.html", "https://www.lazada.vn/products/combo-2-goi-banh-pia-mini-banh-pia-sau-rieng-i2359364165.html")</f>
        <v>https://www.lazada.vn/products/combo-2-goi-banh-pia-mini-banh-pia-sau-rieng-i2359364165.html</v>
      </c>
      <c r="C1291" s="10" t="s">
        <v>1291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8">
        <v>6146.0</v>
      </c>
      <c r="B1292" s="9" t="str">
        <f>HYPERLINK("https://www.lazada.vn/products/ca-ngu-hoang-da-thuy-ngan-thap-elite-wild-tuna-safe-catch-hop-12-goi-i3053971474.html", "https://www.lazada.vn/products/ca-ngu-hoang-da-thuy-ngan-thap-elite-wild-tuna-safe-catch-hop-12-goi-i3053971474.html")</f>
        <v>https://www.lazada.vn/products/ca-ngu-hoang-da-thuy-ngan-thap-elite-wild-tuna-safe-catch-hop-12-goi-i3053971474.html</v>
      </c>
      <c r="C1292" s="10" t="s">
        <v>1292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8">
        <v>6147.0</v>
      </c>
      <c r="B1293" s="9" t="str">
        <f>HYPERLINK("https://www.lazada.vn/products/thung-24-goi-masan-chin-su-mien-story-huong-vi-mien-ga-la-chanh-mien-ga-la-chanh-story-mien-chinsu-an-lien-62ggoi-i3015583110.html", "https://www.lazada.vn/products/thung-24-goi-masan-chin-su-mien-story-huong-vi-mien-ga-la-chanh-mien-ga-la-chanh-story-mien-chinsu-an-lien-62ggoi-i3015583110.html")</f>
        <v>https://www.lazada.vn/products/thung-24-goi-masan-chin-su-mien-story-huong-vi-mien-ga-la-chanh-mien-ga-la-chanh-story-mien-chinsu-an-lien-62ggoi-i3015583110.html</v>
      </c>
      <c r="C1293" s="10" t="s">
        <v>1293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8">
        <v>6148.0</v>
      </c>
      <c r="B1294" s="9" t="str">
        <f>HYPERLINK("https://www.lazada.vn/products/combo-loc-6-ly-mi-an-lien-doraemon-nissin-40-44gly-huong-vi-da-dang-va-hap-dan-i2938539760.html", "https://www.lazada.vn/products/combo-loc-6-ly-mi-an-lien-doraemon-nissin-40-44gly-huong-vi-da-dang-va-hap-dan-i2938539760.html")</f>
        <v>https://www.lazada.vn/products/combo-loc-6-ly-mi-an-lien-doraemon-nissin-40-44gly-huong-vi-da-dang-va-hap-dan-i2938539760.html</v>
      </c>
      <c r="C1294" s="10" t="s">
        <v>1294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8">
        <v>6149.0</v>
      </c>
      <c r="B1295" s="9" t="str">
        <f>HYPERLINK("https://www.lazada.vn/products/syrus-siro-bi-dao-wonderful-chai-25kg-i2682830802.html", "https://www.lazada.vn/products/syrus-siro-bi-dao-wonderful-chai-25kg-i2682830802.html")</f>
        <v>https://www.lazada.vn/products/syrus-siro-bi-dao-wonderful-chai-25kg-i2682830802.html</v>
      </c>
      <c r="C1295" s="10" t="s">
        <v>1295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8">
        <v>6150.0</v>
      </c>
      <c r="B1296" s="9" t="str">
        <f>HYPERLINK("https://www.lazada.vn/products/ca-phe-vien-nen-nespresso-starbucks-dung-cho-may-nespresso-hop-10-vien-nen-du-10-huong-vi-khac-nhau-i2808281070.html", "https://www.lazada.vn/products/ca-phe-vien-nen-nespresso-starbucks-dung-cho-may-nespresso-hop-10-vien-nen-du-10-huong-vi-khac-nhau-i2808281070.html")</f>
        <v>https://www.lazada.vn/products/ca-phe-vien-nen-nespresso-starbucks-dung-cho-may-nespresso-hop-10-vien-nen-du-10-huong-vi-khac-nhau-i2808281070.html</v>
      </c>
      <c r="C1296" s="10" t="s">
        <v>1296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8">
        <v>6151.0</v>
      </c>
      <c r="B1297" s="9" t="str">
        <f>HYPERLINK("https://www.lazada.vn/products/chinh-hang-socola-feastables-mrbeast-vi-bo-dau-phong-60g-keo-i2961949973.html", "https://www.lazada.vn/products/chinh-hang-socola-feastables-mrbeast-vi-bo-dau-phong-60g-keo-i2961949973.html")</f>
        <v>https://www.lazada.vn/products/chinh-hang-socola-feastables-mrbeast-vi-bo-dau-phong-60g-keo-i2961949973.html</v>
      </c>
      <c r="C1297" s="10" t="s">
        <v>1297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8">
        <v>6152.0</v>
      </c>
      <c r="B1298" s="9" t="str">
        <f>HYPERLINK("https://www.lazada.vn/products/cinque-stelle-romance-bevanda-vang-do-ngot-y-i2803298952.html", "https://www.lazada.vn/products/cinque-stelle-romance-bevanda-vang-do-ngot-y-i2803298952.html")</f>
        <v>https://www.lazada.vn/products/cinque-stelle-romance-bevanda-vang-do-ngot-y-i2803298952.html</v>
      </c>
      <c r="C1298" s="10" t="s">
        <v>1298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8">
        <v>6153.0</v>
      </c>
      <c r="B1299" s="9" t="str">
        <f>HYPERLINK("https://www.lazada.vn/products/bot-rau-cu-huu-tong-hop-dalahouse-voi-15-loai-rau-cu-huu-co-sieu-nang-luong-mix-duong-hoa-dua-tu-nhien-thom-ngon-thai-doc-co-the-can-bang-voc-dang-ho-tro-he-tieu-hoa-i2774203513.html", "https://www.lazada.vn/products/bot-rau-cu-huu-tong-hop-dalahouse-voi-15-loai-rau-cu-huu-co-sieu-nang-luong-mix-duong-hoa-dua-tu-nhien-thom-ngon-thai-doc-co-the-can-bang-voc-dang-ho-tro-he-tieu-hoa-i2774203513.html")</f>
        <v>https://www.lazada.vn/products/bot-rau-cu-huu-tong-hop-dalahouse-voi-15-loai-rau-cu-huu-co-sieu-nang-luong-mix-duong-hoa-dua-tu-nhien-thom-ngon-thai-doc-co-the-can-bang-voc-dang-ho-tro-he-tieu-hoa-i2774203513.html</v>
      </c>
      <c r="C1299" s="10" t="s">
        <v>1299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8">
        <v>6154.0</v>
      </c>
      <c r="B1300" s="9" t="str">
        <f>HYPERLINK("https://www.lazada.vn/products/banh-mi-hoa-cuc-harrys-phap-i2806122059.html", "https://www.lazada.vn/products/banh-mi-hoa-cuc-harrys-phap-i2806122059.html")</f>
        <v>https://www.lazada.vn/products/banh-mi-hoa-cuc-harrys-phap-i2806122059.html</v>
      </c>
      <c r="C1300" s="10" t="s">
        <v>1300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8">
        <v>6155.0</v>
      </c>
      <c r="B1301" s="9" t="str">
        <f>HYPERLINK("https://www.lazada.vn/products/bot-ca-cao-nguyen-chat-100-tu-dak-lak-loai-1-thom-ngon-i2467031701.html", "https://www.lazada.vn/products/bot-ca-cao-nguyen-chat-100-tu-dak-lak-loai-1-thom-ngon-i2467031701.html")</f>
        <v>https://www.lazada.vn/products/bot-ca-cao-nguyen-chat-100-tu-dak-lak-loai-1-thom-ngon-i2467031701.html</v>
      </c>
      <c r="C1301" s="10" t="s">
        <v>1301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8">
        <v>6156.0</v>
      </c>
      <c r="B1302" s="9" t="str">
        <f>HYPERLINK("https://www.lazada.vn/products/sieu-sale-muc-bento-thai-lan-1-day-13-goi-i1679400106.html", "https://www.lazada.vn/products/sieu-sale-muc-bento-thai-lan-1-day-13-goi-i1679400106.html")</f>
        <v>https://www.lazada.vn/products/sieu-sale-muc-bento-thai-lan-1-day-13-goi-i1679400106.html</v>
      </c>
      <c r="C1302" s="10" t="s">
        <v>1302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8">
        <v>6157.0</v>
      </c>
      <c r="B1303" s="9" t="str">
        <f>HYPERLINK("https://www.lazada.vn/products/ruou-vang-trang-jacobs-creek-classic-chardonnay-nong-do-alc-129-750ml-khong-kem-hop-i2351242765.html", "https://www.lazada.vn/products/ruou-vang-trang-jacobs-creek-classic-chardonnay-nong-do-alc-129-750ml-khong-kem-hop-i2351242765.html")</f>
        <v>https://www.lazada.vn/products/ruou-vang-trang-jacobs-creek-classic-chardonnay-nong-do-alc-129-750ml-khong-kem-hop-i2351242765.html</v>
      </c>
      <c r="C1303" s="10" t="s">
        <v>1303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8">
        <v>6158.0</v>
      </c>
      <c r="B1304" s="9" t="str">
        <f>HYPERLINK("https://www.lazada.vn/products/hang-moi-vetran-chau-den-hoang-kim-soi-trang-olong-goi-200g-sieu-deo-dai-thom-ngon-an-kem-tra-sua-nguyen-lieu-hucha-i2766848427.html", "https://www.lazada.vn/products/hang-moi-vetran-chau-den-hoang-kim-soi-trang-olong-goi-200g-sieu-deo-dai-thom-ngon-an-kem-tra-sua-nguyen-lieu-hucha-i2766848427.html")</f>
        <v>https://www.lazada.vn/products/hang-moi-vetran-chau-den-hoang-kim-soi-trang-olong-goi-200g-sieu-deo-dai-thom-ngon-an-kem-tra-sua-nguyen-lieu-hucha-i2766848427.html</v>
      </c>
      <c r="C1304" s="10" t="s">
        <v>1304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8">
        <v>6159.0</v>
      </c>
      <c r="B1305" s="9" t="str">
        <f>HYPERLINK("https://www.lazada.vn/products/soju-han-quoc-good-day-360ml-vi-viet-quat-i2331832925.html", "https://www.lazada.vn/products/soju-han-quoc-good-day-360ml-vi-viet-quat-i2331832925.html")</f>
        <v>https://www.lazada.vn/products/soju-han-quoc-good-day-360ml-vi-viet-quat-i2331832925.html</v>
      </c>
      <c r="C1305" s="10" t="s">
        <v>1305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8">
        <v>6160.0</v>
      </c>
      <c r="B1306" s="9" t="str">
        <f>HYPERLINK("https://www.lazada.vn/products/mysore-pak-sweet-india-do-ngot-cua-an-do-250g-i1786808346.html", "https://www.lazada.vn/products/mysore-pak-sweet-india-do-ngot-cua-an-do-250g-i1786808346.html")</f>
        <v>https://www.lazada.vn/products/mysore-pak-sweet-india-do-ngot-cua-an-do-250g-i1786808346.html</v>
      </c>
      <c r="C1306" s="10" t="s">
        <v>1306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8">
        <v>6161.0</v>
      </c>
      <c r="B1307" s="9" t="str">
        <f>HYPERLINK("https://www.lazada.vn/products/banh-quy-bo-imperial-butter-cookies-hop-thiet-200g-va-500g-i2935621230.html", "https://www.lazada.vn/products/banh-quy-bo-imperial-butter-cookies-hop-thiet-200g-va-500g-i2935621230.html")</f>
        <v>https://www.lazada.vn/products/banh-quy-bo-imperial-butter-cookies-hop-thiet-200g-va-500g-i2935621230.html</v>
      </c>
      <c r="C1307" s="10" t="s">
        <v>1307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8">
        <v>6162.0</v>
      </c>
      <c r="B1308" s="9" t="str">
        <f>HYPERLINK("https://www.lazada.vn/products/ruou-vang-chile-iris-chardonnay-750ml-13-i2343421863.html", "https://www.lazada.vn/products/ruou-vang-chile-iris-chardonnay-750ml-13-i2343421863.html")</f>
        <v>https://www.lazada.vn/products/ruou-vang-chile-iris-chardonnay-750ml-13-i2343421863.html</v>
      </c>
      <c r="C1308" s="10" t="s">
        <v>1308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8">
        <v>6163.0</v>
      </c>
      <c r="B1309" s="9" t="str">
        <f>HYPERLINK("https://www.lazada.vn/products/keo-hong-sm-my-date-moi-nguyen-vi-thom-ngon-i3039335305.html", "https://www.lazada.vn/products/keo-hong-sm-my-date-moi-nguyen-vi-thom-ngon-i3039335305.html")</f>
        <v>https://www.lazada.vn/products/keo-hong-sm-my-date-moi-nguyen-vi-thom-ngon-i3039335305.html</v>
      </c>
      <c r="C1309" s="10" t="s">
        <v>1309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8">
        <v>6164.0</v>
      </c>
      <c r="B1310" s="9" t="str">
        <f>HYPERLINK("https://www.lazada.vn/products/bot-khuc-bach-vai-hoa-dau-biec-200g-lam-khuc-bach-topping-tra-sua-vi-vaimau-hoa-dau-biec-i2623152565.html", "https://www.lazada.vn/products/bot-khuc-bach-vai-hoa-dau-biec-200g-lam-khuc-bach-topping-tra-sua-vi-vaimau-hoa-dau-biec-i2623152565.html")</f>
        <v>https://www.lazada.vn/products/bot-khuc-bach-vai-hoa-dau-biec-200g-lam-khuc-bach-topping-tra-sua-vi-vaimau-hoa-dau-biec-i2623152565.html</v>
      </c>
      <c r="C1310" s="10" t="s">
        <v>1310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8">
        <v>6165.0</v>
      </c>
      <c r="B1311" s="9" t="str">
        <f>HYPERLINK("https://www.lazada.vn/products/snack-mi-kho-ga-bop-bop-vi-ga-bbq-ottogi-63g-i2890738334.html", "https://www.lazada.vn/products/snack-mi-kho-ga-bop-bop-vi-ga-bbq-ottogi-63g-i2890738334.html")</f>
        <v>https://www.lazada.vn/products/snack-mi-kho-ga-bop-bop-vi-ga-bbq-ottogi-63g-i2890738334.html</v>
      </c>
      <c r="C1311" s="10" t="s">
        <v>1311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8">
        <v>6166.0</v>
      </c>
      <c r="B1312" s="9" t="str">
        <f>HYPERLINK("https://www.lazada.vn/products/1kg-o-mai-xi-muoi-dao-bo-chua-ngot-da-lat-loai-1-i1422297469.html", "https://www.lazada.vn/products/1kg-o-mai-xi-muoi-dao-bo-chua-ngot-da-lat-loai-1-i1422297469.html")</f>
        <v>https://www.lazada.vn/products/1kg-o-mai-xi-muoi-dao-bo-chua-ngot-da-lat-loai-1-i1422297469.html</v>
      </c>
      <c r="C1312" s="10" t="s">
        <v>1312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8">
        <v>6167.0</v>
      </c>
      <c r="B1313" s="9" t="str">
        <f>HYPERLINK("https://www.lazada.vn/products/creative-thors-bia-chai-mo-ll-i3023133917.html", "https://www.lazada.vn/products/creative-thors-bia-chai-mo-ll-i3023133917.html")</f>
        <v>https://www.lazada.vn/products/creative-thors-bia-chai-mo-ll-i3023133917.html</v>
      </c>
      <c r="C1313" s="10" t="s">
        <v>1313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8">
        <v>6168.0</v>
      </c>
      <c r="B1314" s="9" t="str">
        <f>HYPERLINK("https://www.lazada.vn/products/nuoc-ngot-co-ga-pepsi-khong-calo-vi-chanh-chai-15-lit-i2664523321.html", "https://www.lazada.vn/products/nuoc-ngot-co-ga-pepsi-khong-calo-vi-chanh-chai-15-lit-i2664523321.html")</f>
        <v>https://www.lazada.vn/products/nuoc-ngot-co-ga-pepsi-khong-calo-vi-chanh-chai-15-lit-i2664523321.html</v>
      </c>
      <c r="C1314" s="10" t="s">
        <v>1314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8">
        <v>6169.0</v>
      </c>
      <c r="B1315" s="9" t="str">
        <f>HYPERLINK("https://www.lazada.vn/products/mam-ca-loc-ba-giao-khoe-hu-500gr-vovedacsan-i2114105601.html", "https://www.lazada.vn/products/mam-ca-loc-ba-giao-khoe-hu-500gr-vovedacsan-i2114105601.html")</f>
        <v>https://www.lazada.vn/products/mam-ca-loc-ba-giao-khoe-hu-500gr-vovedacsan-i2114105601.html</v>
      </c>
      <c r="C1315" s="10" t="s">
        <v>1315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8">
        <v>6170.0</v>
      </c>
      <c r="B1316" s="9" t="str">
        <f>HYPERLINK("https://www.lazada.vn/products/ruou-trai-quach-23lit-da-ngam-hon-3thang-45-do-i2876844951.html", "https://www.lazada.vn/products/ruou-trai-quach-23lit-da-ngam-hon-3thang-45-do-i2876844951.html")</f>
        <v>https://www.lazada.vn/products/ruou-trai-quach-23lit-da-ngam-hon-3thang-45-do-i2876844951.html</v>
      </c>
      <c r="C1316" s="10" t="s">
        <v>1316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8">
        <v>6171.0</v>
      </c>
      <c r="B1317" s="9" t="str">
        <f>HYPERLINK("https://www.lazada.vn/products/snack-cua-kinh-do-bim-bim-cua-xanh-goi-32gr-i2358139090.html", "https://www.lazada.vn/products/snack-cua-kinh-do-bim-bim-cua-xanh-goi-32gr-i2358139090.html")</f>
        <v>https://www.lazada.vn/products/snack-cua-kinh-do-bim-bim-cua-xanh-goi-32gr-i2358139090.html</v>
      </c>
      <c r="C1317" s="10" t="s">
        <v>1317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8">
        <v>6172.0</v>
      </c>
      <c r="B1318" s="9" t="str">
        <f>HYPERLINK("https://www.lazada.vn/products/nuoc-tang-luc-wake-up-247-thung-24-chai-330ml-i2659452810.html", "https://www.lazada.vn/products/nuoc-tang-luc-wake-up-247-thung-24-chai-330ml-i2659452810.html")</f>
        <v>https://www.lazada.vn/products/nuoc-tang-luc-wake-up-247-thung-24-chai-330ml-i2659452810.html</v>
      </c>
      <c r="C1318" s="10" t="s">
        <v>1318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8">
        <v>6173.0</v>
      </c>
      <c r="B1319" s="9" t="str">
        <f>HYPERLINK("https://www.lazada.vn/products/thung-24-chai-sting-dau-tang-luc-330mlchai-i2655842044.html", "https://www.lazada.vn/products/thung-24-chai-sting-dau-tang-luc-330mlchai-i2655842044.html")</f>
        <v>https://www.lazada.vn/products/thung-24-chai-sting-dau-tang-luc-330mlchai-i2655842044.html</v>
      </c>
      <c r="C1319" s="10" t="s">
        <v>1319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8">
        <v>6174.0</v>
      </c>
      <c r="B1320" s="9" t="str">
        <f>HYPERLINK("https://www.lazada.vn/products/6-chai-sting-huong-dau-330ml-i2655780570.html", "https://www.lazada.vn/products/6-chai-sting-huong-dau-330ml-i2655780570.html")</f>
        <v>https://www.lazada.vn/products/6-chai-sting-huong-dau-330ml-i2655780570.html</v>
      </c>
      <c r="C1320" s="10" t="s">
        <v>1320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8">
        <v>6175.0</v>
      </c>
      <c r="B1321" s="9" t="str">
        <f>HYPERLINK("https://www.lazada.vn/products/combo-10-banh-cuon-chu-nhat-weiseil-nhan-kem-b208-beegin-mart-i2809061804.html", "https://www.lazada.vn/products/combo-10-banh-cuon-chu-nhat-weiseil-nhan-kem-b208-beegin-mart-i2809061804.html")</f>
        <v>https://www.lazada.vn/products/combo-10-banh-cuon-chu-nhat-weiseil-nhan-kem-b208-beegin-mart-i2809061804.html</v>
      </c>
      <c r="C1321" s="10" t="s">
        <v>1321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8">
        <v>6176.0</v>
      </c>
      <c r="B1322" s="9" t="str">
        <f>HYPERLINK("https://www.lazada.vn/products/tui-1kg-keo-nuoc-ngot-mix-nhieu-vi-cocasodabo-hucstingcafechanh-muoi-sieu-ngon-i2928792223.html", "https://www.lazada.vn/products/tui-1kg-keo-nuoc-ngot-mix-nhieu-vi-cocasodabo-hucstingcafechanh-muoi-sieu-ngon-i2928792223.html")</f>
        <v>https://www.lazada.vn/products/tui-1kg-keo-nuoc-ngot-mix-nhieu-vi-cocasodabo-hucstingcafechanh-muoi-sieu-ngon-i2928792223.html</v>
      </c>
      <c r="C1322" s="10" t="s">
        <v>1322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8">
        <v>6177.0</v>
      </c>
      <c r="B1323" s="9" t="str">
        <f>HYPERLINK("https://www.lazada.vn/products/snack-dried-fruit-and-vegetable-crispy-balanced-diet-fiber-daily-vegetable-control-child-recommended-snack-nutritional-snack-i2923932148.html", "https://www.lazada.vn/products/snack-dried-fruit-and-vegetable-crispy-balanced-diet-fiber-daily-vegetable-control-child-recommended-snack-nutritional-snack-i2923932148.html")</f>
        <v>https://www.lazada.vn/products/snack-dried-fruit-and-vegetable-crispy-balanced-diet-fiber-daily-vegetable-control-child-recommended-snack-nutritional-snack-i2923932148.html</v>
      </c>
      <c r="C1323" s="10" t="s">
        <v>1323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8">
        <v>6178.0</v>
      </c>
      <c r="B1324" s="9" t="str">
        <f>HYPERLINK("https://www.lazada.vn/products/tui-1kg-keo-nuoc-ngot-mix-nhieu-vi-cocasodastingbo-hucchanh-muoicafe-sieu-ngon-i2928637488.html", "https://www.lazada.vn/products/tui-1kg-keo-nuoc-ngot-mix-nhieu-vi-cocasodastingbo-hucchanh-muoicafe-sieu-ngon-i2928637488.html")</f>
        <v>https://www.lazada.vn/products/tui-1kg-keo-nuoc-ngot-mix-nhieu-vi-cocasodastingbo-hucchanh-muoicafe-sieu-ngon-i2928637488.html</v>
      </c>
      <c r="C1324" s="10" t="s">
        <v>1324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8">
        <v>6179.0</v>
      </c>
      <c r="B1325" s="9" t="str">
        <f>HYPERLINK("https://www.lazada.vn/products/nuoc-ngot-co-ga-7up-khong-calo-soda-chanh-lon-320ml-i2664370988.html", "https://www.lazada.vn/products/nuoc-ngot-co-ga-7up-khong-calo-soda-chanh-lon-320ml-i2664370988.html")</f>
        <v>https://www.lazada.vn/products/nuoc-ngot-co-ga-7up-khong-calo-soda-chanh-lon-320ml-i2664370988.html</v>
      </c>
      <c r="C1325" s="10" t="s">
        <v>1325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8">
        <v>6180.0</v>
      </c>
      <c r="B1326" s="9" t="str">
        <f>HYPERLINK("https://www.lazada.vn/products/yimu-hawthorn-cake-beijing-cake-500g-small-packaging-baby-appetizer-snacks-northeast-specialty-hawthorn-candy-dried-fruit-i2923928120.html", "https://www.lazada.vn/products/yimu-hawthorn-cake-beijing-cake-500g-small-packaging-baby-appetizer-snacks-northeast-specialty-hawthorn-candy-dried-fruit-i2923928120.html")</f>
        <v>https://www.lazada.vn/products/yimu-hawthorn-cake-beijing-cake-500g-small-packaging-baby-appetizer-snacks-northeast-specialty-hawthorn-candy-dried-fruit-i2923928120.html</v>
      </c>
      <c r="C1326" s="10" t="s">
        <v>1326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8">
        <v>6181.0</v>
      </c>
      <c r="B1327" s="9" t="str">
        <f>HYPERLINK("https://www.lazada.vn/products/combo-2-chai-nuoc-cot-nhau-ngam-duong-phen-vang-nguyen-chat-loai-1-lit-i2874492048.html", "https://www.lazada.vn/products/combo-2-chai-nuoc-cot-nhau-ngam-duong-phen-vang-nguyen-chat-loai-1-lit-i2874492048.html")</f>
        <v>https://www.lazada.vn/products/combo-2-chai-nuoc-cot-nhau-ngam-duong-phen-vang-nguyen-chat-loai-1-lit-i2874492048.html</v>
      </c>
      <c r="C1327" s="10" t="s">
        <v>1327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8">
        <v>6182.0</v>
      </c>
      <c r="B1328" s="9" t="str">
        <f>HYPERLINK("https://www.lazada.vn/products/set-6-ly-bia-cao-330ml-nhap-khau-logo-1664-blanc-budweiser-ly-day-sieu-dep-i3022759041.html", "https://www.lazada.vn/products/set-6-ly-bia-cao-330ml-nhap-khau-logo-1664-blanc-budweiser-ly-day-sieu-dep-i3022759041.html")</f>
        <v>https://www.lazada.vn/products/set-6-ly-bia-cao-330ml-nhap-khau-logo-1664-blanc-budweiser-ly-day-sieu-dep-i3022759041.html</v>
      </c>
      <c r="C1328" s="10" t="s">
        <v>1328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8">
        <v>6183.0</v>
      </c>
      <c r="B1329" s="9" t="str">
        <f>HYPERLINK("https://www.lazada.vn/products/ca-sot-ca-ktc-food-9-lon-lun-155gr-vi-cay-i3053904729.html", "https://www.lazada.vn/products/ca-sot-ca-ktc-food-9-lon-lun-155gr-vi-cay-i3053904729.html")</f>
        <v>https://www.lazada.vn/products/ca-sot-ca-ktc-food-9-lon-lun-155gr-vi-cay-i3053904729.html</v>
      </c>
      <c r="C1329" s="10" t="s">
        <v>1329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8">
        <v>6184.0</v>
      </c>
      <c r="B1330" s="9" t="str">
        <f>HYPERLINK("https://www.lazada.vn/products/chan-ga-anna-lala-2-vi-1goi-2-chan-60g-sieu-ngon-an-vat-thanh-truc-3-i2938423035.html", "https://www.lazada.vn/products/chan-ga-anna-lala-2-vi-1goi-2-chan-60g-sieu-ngon-an-vat-thanh-truc-3-i2938423035.html")</f>
        <v>https://www.lazada.vn/products/chan-ga-anna-lala-2-vi-1goi-2-chan-60g-sieu-ngon-an-vat-thanh-truc-3-i2938423035.html</v>
      </c>
      <c r="C1330" s="10" t="s">
        <v>1330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8">
        <v>6185.0</v>
      </c>
      <c r="B1331" s="9" t="str">
        <f>HYPERLINK("https://www.lazada.vn/products/mam-ruoc-xao-xa-ot-chay-bat-nha-200g-thuc-pham-chay-thien-tam-i2938216644.html", "https://www.lazada.vn/products/mam-ruoc-xao-xa-ot-chay-bat-nha-200g-thuc-pham-chay-thien-tam-i2938216644.html")</f>
        <v>https://www.lazada.vn/products/mam-ruoc-xao-xa-ot-chay-bat-nha-200g-thuc-pham-chay-thien-tam-i2938216644.html</v>
      </c>
      <c r="C1331" s="10" t="s">
        <v>1331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8">
        <v>6186.0</v>
      </c>
      <c r="B1332" s="9" t="str">
        <f>HYPERLINK("https://www.lazada.vn/products/tran-chau-3q-kunhan-minh-hanh-sea-jelly-bibi-jelly-goi-2kg-luon-san-hang-trong-kho-i2682785677.html", "https://www.lazada.vn/products/tran-chau-3q-kunhan-minh-hanh-sea-jelly-bibi-jelly-goi-2kg-luon-san-hang-trong-kho-i2682785677.html")</f>
        <v>https://www.lazada.vn/products/tran-chau-3q-kunhan-minh-hanh-sea-jelly-bibi-jelly-goi-2kg-luon-san-hang-trong-kho-i2682785677.html</v>
      </c>
      <c r="C1332" s="10" t="s">
        <v>1332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8">
        <v>6187.0</v>
      </c>
      <c r="B1333" s="9" t="str">
        <f>HYPERLINK("https://www.lazada.vn/products/ca-phe-sua-hoa-tan-good-morning-tran-quang-480g-bich-24-goi-x-20gr-i2806424107.html", "https://www.lazada.vn/products/ca-phe-sua-hoa-tan-good-morning-tran-quang-480g-bich-24-goi-x-20gr-i2806424107.html")</f>
        <v>https://www.lazada.vn/products/ca-phe-sua-hoa-tan-good-morning-tran-quang-480g-bich-24-goi-x-20gr-i2806424107.html</v>
      </c>
      <c r="C1333" s="10" t="s">
        <v>1333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8">
        <v>6188.0</v>
      </c>
      <c r="B1334" s="9" t="str">
        <f>HYPERLINK("https://www.lazada.vn/products/keo-socola-ferrero-kinder-riegel-co-nhan-ngon-tuyet-i2960931686.html", "https://www.lazada.vn/products/keo-socola-ferrero-kinder-riegel-co-nhan-ngon-tuyet-i2960931686.html")</f>
        <v>https://www.lazada.vn/products/keo-socola-ferrero-kinder-riegel-co-nhan-ngon-tuyet-i2960931686.html</v>
      </c>
      <c r="C1334" s="10" t="s">
        <v>1334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8">
        <v>6189.0</v>
      </c>
      <c r="B1335" s="9" t="str">
        <f>HYPERLINK("https://www.lazada.vn/products/tran-chau-3q-kunhan-minh-hanh-sea-jelly-bibi-jelly-goi-2kg-luon-san-hang-trong-kho-i2682760740.html", "https://www.lazada.vn/products/tran-chau-3q-kunhan-minh-hanh-sea-jelly-bibi-jelly-goi-2kg-luon-san-hang-trong-kho-i2682760740.html")</f>
        <v>https://www.lazada.vn/products/tran-chau-3q-kunhan-minh-hanh-sea-jelly-bibi-jelly-goi-2kg-luon-san-hang-trong-kho-i2682760740.html</v>
      </c>
      <c r="C1335" s="10" t="s">
        <v>1335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8">
        <v>6190.0</v>
      </c>
      <c r="B1336" s="9" t="str">
        <f>HYPERLINK("https://www.lazada.vn/products/ca-phe-sua-hoa-tan-good-morning-tran-quang-480g-bich-24-goi-x-20gr-i2806388332.html", "https://www.lazada.vn/products/ca-phe-sua-hoa-tan-good-morning-tran-quang-480g-bich-24-goi-x-20gr-i2806388332.html")</f>
        <v>https://www.lazada.vn/products/ca-phe-sua-hoa-tan-good-morning-tran-quang-480g-bich-24-goi-x-20gr-i2806388332.html</v>
      </c>
      <c r="C1336" s="10" t="s">
        <v>1336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8">
        <v>6191.0</v>
      </c>
      <c r="B1337" s="9" t="str">
        <f>HYPERLINK("https://www.lazada.vn/products/ruou-vang-do-domaine-des-graves-dardonneau-cuvee-prestige-i2797551277.html", "https://www.lazada.vn/products/ruou-vang-do-domaine-des-graves-dardonneau-cuvee-prestige-i2797551277.html")</f>
        <v>https://www.lazada.vn/products/ruou-vang-do-domaine-des-graves-dardonneau-cuvee-prestige-i2797551277.html</v>
      </c>
      <c r="C1337" s="10" t="s">
        <v>1337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8">
        <v>6192.0</v>
      </c>
      <c r="B1338" s="9" t="str">
        <f>HYPERLINK("https://www.lazada.vn/products/bot-thuc-uong-lua-mach-3-trong-1-milo-active-go-day-10-goi-22g-i2774155386.html", "https://www.lazada.vn/products/bot-thuc-uong-lua-mach-3-trong-1-milo-active-go-day-10-goi-22g-i2774155386.html")</f>
        <v>https://www.lazada.vn/products/bot-thuc-uong-lua-mach-3-trong-1-milo-active-go-day-10-goi-22g-i2774155386.html</v>
      </c>
      <c r="C1338" s="10" t="s">
        <v>1338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8">
        <v>6193.0</v>
      </c>
      <c r="B1339" s="9" t="str">
        <f>HYPERLINK("https://www.lazada.vn/products/loai-tot-10-bich-banh-trang-phoi-suong-muoi-tac-tom-sa-te-ot-rim-cay-huong-vi-dam-da-ngon-kho-cuong-banh-trang-muoi-tac-xau-tami-loai-1-i2736717191.html", "https://www.lazada.vn/products/loai-tot-10-bich-banh-trang-phoi-suong-muoi-tac-tom-sa-te-ot-rim-cay-huong-vi-dam-da-ngon-kho-cuong-banh-trang-muoi-tac-xau-tami-loai-1-i2736717191.html")</f>
        <v>https://www.lazada.vn/products/loai-tot-10-bich-banh-trang-phoi-suong-muoi-tac-tom-sa-te-ot-rim-cay-huong-vi-dam-da-ngon-kho-cuong-banh-trang-muoi-tac-xau-tami-loai-1-i2736717191.html</v>
      </c>
      <c r="C1339" s="10" t="s">
        <v>1339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8">
        <v>6194.0</v>
      </c>
      <c r="B1340" s="9" t="str">
        <f>HYPERLINK("https://www.lazada.vn/products/banh-thuyen-sieu-hat-an-kieng-banh-thuyen-mix-hat-dinh-duong-annut-an-kieng-tui-500g-i2806115735.html", "https://www.lazada.vn/products/banh-thuyen-sieu-hat-an-kieng-banh-thuyen-mix-hat-dinh-duong-annut-an-kieng-tui-500g-i2806115735.html")</f>
        <v>https://www.lazada.vn/products/banh-thuyen-sieu-hat-an-kieng-banh-thuyen-mix-hat-dinh-duong-annut-an-kieng-tui-500g-i2806115735.html</v>
      </c>
      <c r="C1340" s="10" t="s">
        <v>1340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8">
        <v>6195.0</v>
      </c>
      <c r="B1341" s="9" t="str">
        <f>HYPERLINK("https://www.lazada.vn/products/khoai-tay-pho-mai-que-bim-bim-an-nhien-i2728162085.html", "https://www.lazada.vn/products/khoai-tay-pho-mai-que-bim-bim-an-nhien-i2728162085.html")</f>
        <v>https://www.lazada.vn/products/khoai-tay-pho-mai-que-bim-bim-an-nhien-i2728162085.html</v>
      </c>
      <c r="C1341" s="10" t="s">
        <v>1341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8">
        <v>6196.0</v>
      </c>
      <c r="B1342" s="9" t="str">
        <f>HYPERLINK("https://www.lazada.vn/products/co-san-1-bich-30-snack-goi-bo-mieng-thom-cay-i1679363099.html", "https://www.lazada.vn/products/co-san-1-bich-30-snack-goi-bo-mieng-thom-cay-i1679363099.html")</f>
        <v>https://www.lazada.vn/products/co-san-1-bich-30-snack-goi-bo-mieng-thom-cay-i1679363099.html</v>
      </c>
      <c r="C1342" s="10" t="s">
        <v>1342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8">
        <v>6197.0</v>
      </c>
      <c r="B1343" s="9" t="str">
        <f>HYPERLINK("https://www.lazada.vn/products/bot-ca-cao-nguyen-chat-100-tu-dak-lak-loai-1-thom-ngon-i2467027576.html", "https://www.lazada.vn/products/bot-ca-cao-nguyen-chat-100-tu-dak-lak-loai-1-thom-ngon-i2467027576.html")</f>
        <v>https://www.lazada.vn/products/bot-ca-cao-nguyen-chat-100-tu-dak-lak-loai-1-thom-ngon-i2467027576.html</v>
      </c>
      <c r="C1343" s="10" t="s">
        <v>1343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8">
        <v>6198.0</v>
      </c>
      <c r="B1344" s="9" t="str">
        <f>HYPERLINK("https://www.lazada.vn/products/fresh-mohanthal-sweet-india-mon-ngot-truyen-thong-250g-i1786720677.html", "https://www.lazada.vn/products/fresh-mohanthal-sweet-india-mon-ngot-truyen-thong-250g-i1786720677.html")</f>
        <v>https://www.lazada.vn/products/fresh-mohanthal-sweet-india-mon-ngot-truyen-thong-250g-i1786720677.html</v>
      </c>
      <c r="C1344" s="10" t="s">
        <v>1344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8">
        <v>6199.0</v>
      </c>
      <c r="B1345" s="9" t="str">
        <f>HYPERLINK("https://www.lazada.vn/products/banh-quy-bo-dau-phong-kieu-hong-kong-hong-kong-style-peanut-butter-cookies-200g-i2934897028.html", "https://www.lazada.vn/products/banh-quy-bo-dau-phong-kieu-hong-kong-hong-kong-style-peanut-butter-cookies-200g-i2934897028.html")</f>
        <v>https://www.lazada.vn/products/banh-quy-bo-dau-phong-kieu-hong-kong-hong-kong-style-peanut-butter-cookies-200g-i2934897028.html</v>
      </c>
      <c r="C1345" s="10" t="s">
        <v>1345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8">
        <v>6200.0</v>
      </c>
      <c r="B1346" s="9" t="str">
        <f>HYPERLINK("https://www.lazada.vn/products/hang-moi-vetran-chau-den-goi-200g-sieu-deo-dai-thom-ngon-lam-tra-sua-tran-chau-duong-den-thai-xanh-thai-do-nguyen-lieu-hucha-i2766782677.html", "https://www.lazada.vn/products/hang-moi-vetran-chau-den-goi-200g-sieu-deo-dai-thom-ngon-lam-tra-sua-tran-chau-duong-den-thai-xanh-thai-do-nguyen-lieu-hucha-i2766782677.html")</f>
        <v>https://www.lazada.vn/products/hang-moi-vetran-chau-den-goi-200g-sieu-deo-dai-thom-ngon-lam-tra-sua-tran-chau-duong-den-thai-xanh-thai-do-nguyen-lieu-hucha-i2766782677.html</v>
      </c>
      <c r="C1346" s="10" t="s">
        <v>1346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8">
        <v>6201.0</v>
      </c>
      <c r="B1347" s="9" t="str">
        <f>HYPERLINK("https://www.lazada.vn/products/thung-x-20-chai-soju-han-quoc-good-day-360ml-i2331830879.html", "https://www.lazada.vn/products/thung-x-20-chai-soju-han-quoc-good-day-360ml-i2331830879.html")</f>
        <v>https://www.lazada.vn/products/thung-x-20-chai-soju-han-quoc-good-day-360ml-i2331830879.html</v>
      </c>
      <c r="C1347" s="10" t="s">
        <v>1347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8">
        <v>6202.0</v>
      </c>
      <c r="B1348" s="9" t="str">
        <f>HYPERLINK("https://www.lazada.vn/products/mam-ca-linh-xay-ba-giao-khoe-hu-500gr-vovedacsan-i2114056781.html", "https://www.lazada.vn/products/mam-ca-linh-xay-ba-giao-khoe-hu-500gr-vovedacsan-i2114056781.html")</f>
        <v>https://www.lazada.vn/products/mam-ca-linh-xay-ba-giao-khoe-hu-500gr-vovedacsan-i2114056781.html</v>
      </c>
      <c r="C1348" s="10" t="s">
        <v>1348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8">
        <v>6203.0</v>
      </c>
      <c r="B1349" s="9" t="str">
        <f>HYPERLINK("https://www.lazada.vn/products/vang-da-lat-trang-classic-12-3-lit-i2332547226.html", "https://www.lazada.vn/products/vang-da-lat-trang-classic-12-3-lit-i2332547226.html")</f>
        <v>https://www.lazada.vn/products/vang-da-lat-trang-classic-12-3-lit-i2332547226.html</v>
      </c>
      <c r="C1349" s="10" t="s">
        <v>1349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8">
        <v>6204.0</v>
      </c>
      <c r="B1350" s="9" t="str">
        <f>HYPERLINK("https://www.lazada.vn/products/thach-pho-mai-zai-zai-duc-hanh-hop-6-hu-pudding-i2622947459.html", "https://www.lazada.vn/products/thach-pho-mai-zai-zai-duc-hanh-hop-6-hu-pudding-i2622947459.html")</f>
        <v>https://www.lazada.vn/products/thach-pho-mai-zai-zai-duc-hanh-hop-6-hu-pudding-i2622947459.html</v>
      </c>
      <c r="C1350" s="10" t="s">
        <v>1350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8">
        <v>6205.0</v>
      </c>
      <c r="B1351" s="9" t="str">
        <f>HYPERLINK("https://www.lazada.vn/products/combo-10-goi-mi-tom-chanh-omni-i1422263588.html", "https://www.lazada.vn/products/combo-10-goi-mi-tom-chanh-omni-i1422263588.html")</f>
        <v>https://www.lazada.vn/products/combo-10-goi-mi-tom-chanh-omni-i1422263588.html</v>
      </c>
      <c r="C1351" s="10" t="s">
        <v>1351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8">
        <v>6206.0</v>
      </c>
      <c r="B1352" s="9" t="str">
        <f>HYPERLINK("https://www.lazada.vn/products/snack-mi-kho-ga-bop-bop-vi-pho-mai-ottogi-63g-i2890728314.html", "https://www.lazada.vn/products/snack-mi-kho-ga-bop-bop-vi-pho-mai-ottogi-63g-i2890728314.html")</f>
        <v>https://www.lazada.vn/products/snack-mi-kho-ga-bop-bop-vi-pho-mai-ottogi-63g-i2890728314.html</v>
      </c>
      <c r="C1352" s="10" t="s">
        <v>1352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8">
        <v>6207.0</v>
      </c>
      <c r="B1353" s="9" t="str">
        <f>HYPERLINK("https://www.lazada.vn/products/nuoc-tang-luc-asahi-monster-energy-super-cola-chai-ran-ri-x-355ml-hang-noi-dia-nhat-100-i2654775001.html", "https://www.lazada.vn/products/nuoc-tang-luc-asahi-monster-energy-super-cola-chai-ran-ri-x-355ml-hang-noi-dia-nhat-100-i2654775001.html")</f>
        <v>https://www.lazada.vn/products/nuoc-tang-luc-asahi-monster-energy-super-cola-chai-ran-ri-x-355ml-hang-noi-dia-nhat-100-i2654775001.html</v>
      </c>
      <c r="C1353" s="10" t="s">
        <v>1353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8">
        <v>6208.0</v>
      </c>
      <c r="B1354" s="9" t="str">
        <f>HYPERLINK("https://www.lazada.vn/products/banh-snack-oishi-pillows-tui-10-goi-14g-i2358002347.html", "https://www.lazada.vn/products/banh-snack-oishi-pillows-tui-10-goi-14g-i2358002347.html")</f>
        <v>https://www.lazada.vn/products/banh-snack-oishi-pillows-tui-10-goi-14g-i2358002347.html</v>
      </c>
      <c r="C1354" s="10" t="s">
        <v>1354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8">
        <v>6209.0</v>
      </c>
      <c r="B1355" s="9" t="str">
        <f>HYPERLINK("https://www.lazada.vn/products/tsports-hop-5-goi-thuc-uong-the-thao-bo-sung-nang-luong-bu-nuoc-bu-dien-giai-boi-bo-co-the-i2654667299.html", "https://www.lazada.vn/products/tsports-hop-5-goi-thuc-uong-the-thao-bo-sung-nang-luong-bu-nuoc-bu-dien-giai-boi-bo-co-the-i2654667299.html")</f>
        <v>https://www.lazada.vn/products/tsports-hop-5-goi-thuc-uong-the-thao-bo-sung-nang-luong-bu-nuoc-bu-dien-giai-boi-bo-co-the-i2654667299.html</v>
      </c>
      <c r="C1355" s="10" t="s">
        <v>1355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8">
        <v>6210.0</v>
      </c>
      <c r="B1356" s="9" t="str">
        <f>HYPERLINK("https://www.lazada.vn/products/nuoc-trai-cay-co-gas-eva-nguyen-chat-100-nho-do-nho-trang-dao-750ml-i2662556713.html", "https://www.lazada.vn/products/nuoc-trai-cay-co-gas-eva-nguyen-chat-100-nho-do-nho-trang-dao-750ml-i2662556713.html")</f>
        <v>https://www.lazada.vn/products/nuoc-trai-cay-co-gas-eva-nguyen-chat-100-nho-do-nho-trang-dao-750ml-i2662556713.html</v>
      </c>
      <c r="C1356" s="10" t="s">
        <v>1356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8">
        <v>6211.0</v>
      </c>
      <c r="B1357" s="9" t="str">
        <f>HYPERLINK("https://www.lazada.vn/products/nuoc-ngot-coca-zero-sugar-no-calories-nhat-160ml-thung-30-lon-ly-trinh-15-i2661540598.html", "https://www.lazada.vn/products/nuoc-ngot-coca-zero-sugar-no-calories-nhat-160ml-thung-30-lon-ly-trinh-15-i2661540598.html")</f>
        <v>https://www.lazada.vn/products/nuoc-ngot-coca-zero-sugar-no-calories-nhat-160ml-thung-30-lon-ly-trinh-15-i2661540598.html</v>
      </c>
      <c r="C1357" s="10" t="s">
        <v>1357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8">
        <v>6212.0</v>
      </c>
      <c r="B1358" s="9" t="str">
        <f>HYPERLINK("https://www.lazada.vn/products/ly-whisky-paracity-day-day-hoa-tiet-su-tu-ly-old-fashioned-106oz-cho-whisky-gin-vodka-bo-ly-whisky-2-chiec-qua-tang-cho-nam-gioi-qua-tang-ngay-cua-i3020110080.html", "https://www.lazada.vn/products/ly-whisky-paracity-day-day-hoa-tiet-su-tu-ly-old-fashioned-106oz-cho-whisky-gin-vodka-bo-ly-whisky-2-chiec-qua-tang-cho-nam-gioi-qua-tang-ngay-cua-i3020110080.html")</f>
        <v>https://www.lazada.vn/products/ly-whisky-paracity-day-day-hoa-tiet-su-tu-ly-old-fashioned-106oz-cho-whisky-gin-vodka-bo-ly-whisky-2-chiec-qua-tang-cho-nam-gioi-qua-tang-ngay-cua-i3020110080.html</v>
      </c>
      <c r="C1358" s="10" t="s">
        <v>1358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8">
        <v>6213.0</v>
      </c>
      <c r="B1359" s="9" t="str">
        <f>HYPERLINK("https://www.lazada.vn/products/keo-ngam-le-an-phe-nha-ho-chu-100g-keo-an-phe-giup-hoi-tho-thom-mat-am-co-hong-giam-ho-i2924935189.html", "https://www.lazada.vn/products/keo-ngam-le-an-phe-nha-ho-chu-100g-keo-an-phe-giup-hoi-tho-thom-mat-am-co-hong-giam-ho-i2924935189.html")</f>
        <v>https://www.lazada.vn/products/keo-ngam-le-an-phe-nha-ho-chu-100g-keo-an-phe-giup-hoi-tho-thom-mat-am-co-hong-giam-ho-i2924935189.html</v>
      </c>
      <c r="C1359" s="10" t="s">
        <v>1359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8">
        <v>6214.0</v>
      </c>
      <c r="B1360" s="9" t="str">
        <f>HYPERLINK("https://www.lazada.vn/products/strawberry-dried-fruit-500g-can-new-stock-pregnant-women-snacks-nutritious-treats-freezing-drying-technology-by-zhixiangchangwei-i2923916150.html", "https://www.lazada.vn/products/strawberry-dried-fruit-500g-can-new-stock-pregnant-women-snacks-nutritious-treats-freezing-drying-technology-by-zhixiangchangwei-i2923916150.html")</f>
        <v>https://www.lazada.vn/products/strawberry-dried-fruit-500g-can-new-stock-pregnant-women-snacks-nutritious-treats-freezing-drying-technology-by-zhixiangchangwei-i2923916150.html</v>
      </c>
      <c r="C1360" s="10" t="s">
        <v>1360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8">
        <v>6215.0</v>
      </c>
      <c r="B1361" s="9" t="str">
        <f>HYPERLINK("https://www.lazada.vn/products/cot-chanh-day-thanh-mat-chua-chua-ngot-dam-an-vat-ngon-re-da-lat-i2874073042.html", "https://www.lazada.vn/products/cot-chanh-day-thanh-mat-chua-chua-ngot-dam-an-vat-ngon-re-da-lat-i2874073042.html")</f>
        <v>https://www.lazada.vn/products/cot-chanh-day-thanh-mat-chua-chua-ngot-dam-an-vat-ngon-re-da-lat-i2874073042.html</v>
      </c>
      <c r="C1361" s="10" t="s">
        <v>1361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8">
        <v>6216.0</v>
      </c>
      <c r="B1362" s="9" t="str">
        <f>HYPERLINK("https://www.lazada.vn/products/hop-12-banh-chocopie-i2352195828.html", "https://www.lazada.vn/products/hop-12-banh-chocopie-i2352195828.html")</f>
        <v>https://www.lazada.vn/products/hop-12-banh-chocopie-i2352195828.html</v>
      </c>
      <c r="C1362" s="10" t="s">
        <v>1362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8">
        <v>6217.0</v>
      </c>
      <c r="B1363" s="9" t="str">
        <f>HYPERLINK("https://www.lazada.vn/products/thung-24-lon-nuoc-chanh-leo-dai-viet-push-max-320mllon-i2872553631.html", "https://www.lazada.vn/products/thung-24-lon-nuoc-chanh-leo-dai-viet-push-max-320mllon-i2872553631.html")</f>
        <v>https://www.lazada.vn/products/thung-24-lon-nuoc-chanh-leo-dai-viet-push-max-320mllon-i2872553631.html</v>
      </c>
      <c r="C1363" s="10" t="s">
        <v>1363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8">
        <v>6218.0</v>
      </c>
      <c r="B1364" s="9" t="str">
        <f>HYPERLINK("https://www.lazada.vn/products/dao-phan-chua-ngot-hop-200g-xi-muoi-dao-i3053846710.html", "https://www.lazada.vn/products/dao-phan-chua-ngot-hop-200g-xi-muoi-dao-i3053846710.html")</f>
        <v>https://www.lazada.vn/products/dao-phan-chua-ngot-hop-200g-xi-muoi-dao-i3053846710.html</v>
      </c>
      <c r="C1364" s="10" t="s">
        <v>1364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8">
        <v>6219.0</v>
      </c>
      <c r="B1365" s="9" t="str">
        <f>HYPERLINK("https://www.lazada.vn/products/cb-10-goi-pho-tron-vifon-long-trieu-hai-san-cay-bo-tai-lan-c-i2938131091.html", "https://www.lazada.vn/products/cb-10-goi-pho-tron-vifon-long-trieu-hai-san-cay-bo-tai-lan-c-i2938131091.html")</f>
        <v>https://www.lazada.vn/products/cb-10-goi-pho-tron-vifon-long-trieu-hai-san-cay-bo-tai-lan-c-i2938131091.html</v>
      </c>
      <c r="C1365" s="10" t="s">
        <v>1365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8">
        <v>6220.0</v>
      </c>
      <c r="B1366" s="9" t="str">
        <f>HYPERLINK("https://www.lazada.vn/products/thach-rau-cau-hang-huy-hu-25kg-thach-ca-thach-cau-vong-hang-luon-san-kho-gia-tot-hat-i2682749698.html", "https://www.lazada.vn/products/thach-rau-cau-hang-huy-hu-25kg-thach-ca-thach-cau-vong-hang-luon-san-kho-gia-tot-hat-i2682749698.html")</f>
        <v>https://www.lazada.vn/products/thach-rau-cau-hang-huy-hu-25kg-thach-ca-thach-cau-vong-hang-luon-san-kho-gia-tot-hat-i2682749698.html</v>
      </c>
      <c r="C1366" s="10" t="s">
        <v>1366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8">
        <v>6221.0</v>
      </c>
      <c r="B1367" s="9" t="str">
        <f>HYPERLINK("https://www.lazada.vn/products/ca-phe-sua-vinacafe-goi-480g-24-goi-20g-i2805392758.html", "https://www.lazada.vn/products/ca-phe-sua-vinacafe-goi-480g-24-goi-20g-i2805392758.html")</f>
        <v>https://www.lazada.vn/products/ca-phe-sua-vinacafe-goi-480g-24-goi-20g-i2805392758.html</v>
      </c>
      <c r="C1367" s="10" t="s">
        <v>1367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8">
        <v>6222.0</v>
      </c>
      <c r="B1368" s="9" t="str">
        <f>HYPERLINK("https://www.lazada.vn/products/socola-my-hersheys-286g-leetrinh-i2960558263.html", "https://www.lazada.vn/products/socola-my-hersheys-286g-leetrinh-i2960558263.html")</f>
        <v>https://www.lazada.vn/products/socola-my-hersheys-286g-leetrinh-i2960558263.html</v>
      </c>
      <c r="C1368" s="10" t="s">
        <v>1368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8">
        <v>6223.0</v>
      </c>
      <c r="B1369" s="9" t="str">
        <f>HYPERLINK("https://www.lazada.vn/products/ruou-vang-tay-ban-nha-arzuaga-tinto-crianza-ribera-del-duero-i2797533374.html", "https://www.lazada.vn/products/ruou-vang-tay-ban-nha-arzuaga-tinto-crianza-ribera-del-duero-i2797533374.html")</f>
        <v>https://www.lazada.vn/products/ruou-vang-tay-ban-nha-arzuaga-tinto-crianza-ribera-del-duero-i2797533374.html</v>
      </c>
      <c r="C1369" s="10" t="s">
        <v>1369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8">
        <v>6224.0</v>
      </c>
      <c r="B1370" s="9" t="str">
        <f>HYPERLINK("https://www.lazada.vn/products/astragalus-codonopsis-sua-dau-nanh-an-sang-sua-dau-nanh-sua-bot-suc-song-nu-than-sua-dau-nanh-bot-i2773647638.html", "https://www.lazada.vn/products/astragalus-codonopsis-sua-dau-nanh-an-sang-sua-dau-nanh-sua-bot-suc-song-nu-than-sua-dau-nanh-bot-i2773647638.html")</f>
        <v>https://www.lazada.vn/products/astragalus-codonopsis-sua-dau-nanh-an-sang-sua-dau-nanh-sua-bot-suc-song-nu-than-sua-dau-nanh-bot-i2773647638.html</v>
      </c>
      <c r="C1370" s="10" t="s">
        <v>1370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8">
        <v>6225.0</v>
      </c>
      <c r="B1371" s="9" t="str">
        <f>HYPERLINK("https://www.lazada.vn/products/banh-mi-hoa-cuc-ngan-lop-festa-richy-3-cai-tui-i2806085587.html", "https://www.lazada.vn/products/banh-mi-hoa-cuc-ngan-lop-festa-richy-3-cai-tui-i2806085587.html")</f>
        <v>https://www.lazada.vn/products/banh-mi-hoa-cuc-ngan-lop-festa-richy-3-cai-tui-i2806085587.html</v>
      </c>
      <c r="C1371" s="10" t="s">
        <v>1371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8">
        <v>6226.0</v>
      </c>
      <c r="B1372" s="9" t="str">
        <f>HYPERLINK("https://www.lazada.vn/products/500gr-banh-tai-heo-nhi-mix-3-vi-ngon-ngon-i2726269106.html", "https://www.lazada.vn/products/500gr-banh-tai-heo-nhi-mix-3-vi-ngon-ngon-i2726269106.html")</f>
        <v>https://www.lazada.vn/products/500gr-banh-tai-heo-nhi-mix-3-vi-ngon-ngon-i2726269106.html</v>
      </c>
      <c r="C1372" s="10" t="s">
        <v>1372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8">
        <v>6227.0</v>
      </c>
      <c r="B1373" s="9" t="str">
        <f>HYPERLINK("https://www.lazada.vn/products/bot-milo-1kg-nestle-date-moi-hang-san-giao-ngay-i2465742506.html", "https://www.lazada.vn/products/bot-milo-1kg-nestle-date-moi-hang-san-giao-ngay-i2465742506.html")</f>
        <v>https://www.lazada.vn/products/bot-milo-1kg-nestle-date-moi-hang-san-giao-ngay-i2465742506.html</v>
      </c>
      <c r="C1373" s="10" t="s">
        <v>1373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8">
        <v>6228.0</v>
      </c>
      <c r="B1374" s="9" t="str">
        <f>HYPERLINK("https://www.lazada.vn/products/re-vo-dich-1-bich-30-goi-gan-ga-nong-sot-i1679359088.html", "https://www.lazada.vn/products/re-vo-dich-1-bich-30-goi-gan-ga-nong-sot-i1679359088.html")</f>
        <v>https://www.lazada.vn/products/re-vo-dich-1-bich-30-goi-gan-ga-nong-sot-i1679359088.html</v>
      </c>
      <c r="C1374" s="10" t="s">
        <v>1374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8">
        <v>6229.0</v>
      </c>
      <c r="B1375" s="9" t="str">
        <f>HYPERLINK("https://www.lazada.vn/products/banh-quy-gion-zess-khong-duong-184g-va-co-duong-192g-malaysia-ha-anh-2k-i2934407832.html", "https://www.lazada.vn/products/banh-quy-gion-zess-khong-duong-184g-va-co-duong-192g-malaysia-ha-anh-2k-i2934407832.html")</f>
        <v>https://www.lazada.vn/products/banh-quy-gion-zess-khong-duong-184g-va-co-duong-192g-malaysia-ha-anh-2k-i2934407832.html</v>
      </c>
      <c r="C1375" s="10" t="s">
        <v>1375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8">
        <v>6230.0</v>
      </c>
      <c r="B1376" s="9" t="str">
        <f>HYPERLINK("https://www.lazada.vn/products/bot-tra-xanh-matcha-neicha-dai-loan-500g-i2763630983.html", "https://www.lazada.vn/products/bot-tra-xanh-matcha-neicha-dai-loan-500g-i2763630983.html")</f>
        <v>https://www.lazada.vn/products/bot-tra-xanh-matcha-neicha-dai-loan-500g-i2763630983.html</v>
      </c>
      <c r="C1376" s="10" t="s">
        <v>1376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8">
        <v>6231.0</v>
      </c>
      <c r="B1377" s="9" t="str">
        <f>HYPERLINK("https://www.lazada.vn/products/thung-x20-chai-soju-han-quoc-korice-360ml-i2331830862.html", "https://www.lazada.vn/products/thung-x20-chai-soju-han-quoc-korice-360ml-i2331830862.html")</f>
        <v>https://www.lazada.vn/products/thung-x20-chai-soju-han-quoc-korice-360ml-i2331830862.html</v>
      </c>
      <c r="C1377" s="10" t="s">
        <v>1377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8">
        <v>6232.0</v>
      </c>
      <c r="B1378" s="9" t="str">
        <f>HYPERLINK("https://www.lazada.vn/products/gujiya-sweet-india-banh-goi-nhan-ngot-an-do-250g-i1786691933.html", "https://www.lazada.vn/products/gujiya-sweet-india-banh-goi-nhan-ngot-an-do-250g-i1786691933.html")</f>
        <v>https://www.lazada.vn/products/gujiya-sweet-india-banh-goi-nhan-ngot-an-do-250g-i1786691933.html</v>
      </c>
      <c r="C1378" s="10" t="s">
        <v>1378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8">
        <v>6233.0</v>
      </c>
      <c r="B1379" s="9" t="str">
        <f>HYPERLINK("https://www.lazada.vn/products/loc-3-hu-thach-trai-cay-cat-lat-dr-tobi-vi-cam-dao-co-nhan-th01-beegin-mart-i2621277014.html", "https://www.lazada.vn/products/loc-3-hu-thach-trai-cay-cat-lat-dr-tobi-vi-cam-dao-co-nhan-th01-beegin-mart-i2621277014.html")</f>
        <v>https://www.lazada.vn/products/loc-3-hu-thach-trai-cay-cat-lat-dr-tobi-vi-cam-dao-co-nhan-th01-beegin-mart-i2621277014.html</v>
      </c>
      <c r="C1379" s="10" t="s">
        <v>1379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8">
        <v>6234.0</v>
      </c>
      <c r="B1380" s="9" t="str">
        <f>HYPERLINK("https://www.lazada.vn/products/mam-sac-chau-doc-500g-i2113864921.html", "https://www.lazada.vn/products/mam-sac-chau-doc-500g-i2113864921.html")</f>
        <v>https://www.lazada.vn/products/mam-sac-chau-doc-500g-i2113864921.html</v>
      </c>
      <c r="C1380" s="10" t="s">
        <v>1380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8">
        <v>6235.0</v>
      </c>
      <c r="B1381" s="9" t="str">
        <f>HYPERLINK("https://www.lazada.vn/products/combo-30-goi-mi-tron-indomie-tron-3-vi-dac-biet-bo-cay-suon-i1419684879.html", "https://www.lazada.vn/products/combo-30-goi-mi-tron-indomie-tron-3-vi-dac-biet-bo-cay-suon-i1419684879.html")</f>
        <v>https://www.lazada.vn/products/combo-30-goi-mi-tron-indomie-tron-3-vi-dac-biet-bo-cay-suon-i1419684879.html</v>
      </c>
      <c r="C1381" s="10" t="s">
        <v>1381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8">
        <v>6236.0</v>
      </c>
      <c r="B1382" s="9" t="str">
        <f>HYPERLINK("https://www.lazada.vn/products/snack-mi-kho-ga-bop-bop-vi-bulgogi-bo-ottogi-63g-i2890727311.html", "https://www.lazada.vn/products/snack-mi-kho-ga-bop-bop-vi-bulgogi-bo-ottogi-63g-i2890727311.html")</f>
        <v>https://www.lazada.vn/products/snack-mi-kho-ga-bop-bop-vi-bulgogi-bo-ottogi-63g-i2890727311.html</v>
      </c>
      <c r="C1382" s="10" t="s">
        <v>1382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8">
        <v>6237.0</v>
      </c>
      <c r="B1383" s="9" t="str">
        <f>HYPERLINK("https://www.lazada.vn/products/ruou-vang-trang-jbouchon-las-mercedes-singular-semillon-i2327739395.html", "https://www.lazada.vn/products/ruou-vang-trang-jbouchon-las-mercedes-singular-semillon-i2327739395.html")</f>
        <v>https://www.lazada.vn/products/ruou-vang-trang-jbouchon-las-mercedes-singular-semillon-i2327739395.html</v>
      </c>
      <c r="C1383" s="10" t="s">
        <v>1383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8">
        <v>6238.0</v>
      </c>
      <c r="B1384" s="9" t="str">
        <f>HYPERLINK("https://www.lazada.vn/products/tsports-hop-12-goi-thuc-uong-the-thao-bo-sung-nang-luong-bu-nuoc-bu-dien-giai-boi-bo-co-the-i2654436832.html", "https://www.lazada.vn/products/tsports-hop-12-goi-thuc-uong-the-thao-bo-sung-nang-luong-bu-nuoc-bu-dien-giai-boi-bo-co-the-i2654436832.html")</f>
        <v>https://www.lazada.vn/products/tsports-hop-12-goi-thuc-uong-the-thao-bo-sung-nang-luong-bu-nuoc-bu-dien-giai-boi-bo-co-the-i2654436832.html</v>
      </c>
      <c r="C1384" s="10" t="s">
        <v>1384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8">
        <v>6239.0</v>
      </c>
      <c r="B1385" s="9" t="str">
        <f>HYPERLINK("https://www.lazada.vn/products/nuoc-ngot-pepsi-nhat-ban-lon-500ml-hang-noi-dia-i2660214957.html", "https://www.lazada.vn/products/nuoc-ngot-pepsi-nhat-ban-lon-500ml-hang-noi-dia-i2660214957.html")</f>
        <v>https://www.lazada.vn/products/nuoc-ngot-pepsi-nhat-ban-lon-500ml-hang-noi-dia-i2660214957.html</v>
      </c>
      <c r="C1385" s="10" t="s">
        <v>1385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8">
        <v>6240.0</v>
      </c>
      <c r="B1386" s="9" t="str">
        <f>HYPERLINK("https://www.lazada.vn/products/futtumy-bia-qua-tang-cho-nam-gioi-15oz-ipa-rat-nhieu-khi-toi-uong-bia-ly-qua-tang-cho-nhung-nguoi-yeu-thich-bia-nguoi-dan-ong-phu-nu-cha-ban-trai-chong-b-i3020064438.html", "https://www.lazada.vn/products/futtumy-bia-qua-tang-cho-nam-gioi-15oz-ipa-rat-nhieu-khi-toi-uong-bia-ly-qua-tang-cho-nhung-nguoi-yeu-thich-bia-nguoi-dan-ong-phu-nu-cha-ban-trai-chong-b-i3020064438.html")</f>
        <v>https://www.lazada.vn/products/futtumy-bia-qua-tang-cho-nam-gioi-15oz-ipa-rat-nhieu-khi-toi-uong-bia-ly-qua-tang-cho-nhung-nguoi-yeu-thich-bia-nguoi-dan-ong-phu-nu-cha-ban-trai-chong-b-i3020064438.html</v>
      </c>
      <c r="C1386" s="10" t="s">
        <v>1386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8">
        <v>6241.0</v>
      </c>
      <c r="B1387" s="9" t="str">
        <f>HYPERLINK("https://www.lazada.vn/products/banh-choco-pie-thai-lan-hop-12-cai-i2345786424.html", "https://www.lazada.vn/products/banh-choco-pie-thai-lan-hop-12-cai-i2345786424.html")</f>
        <v>https://www.lazada.vn/products/banh-choco-pie-thai-lan-hop-12-cai-i2345786424.html</v>
      </c>
      <c r="C1387" s="10" t="s">
        <v>1387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8">
        <v>6242.0</v>
      </c>
      <c r="B1388" s="9" t="str">
        <f>HYPERLINK("https://www.lazada.vn/products/keo-cuoi-keo-ket-hon-keo-dam-cuoi-dinh-hon-sinh-nhat-ba-muoi-ngay-keo-tron-nhieu-loai-keo-so-co-la-cao-cap-keo-cuoi-i2923773811.html", "https://www.lazada.vn/products/keo-cuoi-keo-ket-hon-keo-dam-cuoi-dinh-hon-sinh-nhat-ba-muoi-ngay-keo-tron-nhieu-loai-keo-so-co-la-cao-cap-keo-cuoi-i2923773811.html")</f>
        <v>https://www.lazada.vn/products/keo-cuoi-keo-ket-hon-keo-dam-cuoi-dinh-hon-sinh-nhat-ba-muoi-ngay-keo-tron-nhieu-loai-keo-so-co-la-cao-cap-keo-cuoi-i2923773811.html</v>
      </c>
      <c r="C1388" s="10" t="s">
        <v>1388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8">
        <v>6243.0</v>
      </c>
      <c r="B1389" s="9" t="str">
        <f>HYPERLINK("https://www.lazada.vn/products/hoa-vai-hop-dung-trai-cay-kho-nhieu-loai-hat-an-lien-dried-mango-dried-strawberry-dried-peach-snack-healthy-food-i2923916006.html", "https://www.lazada.vn/products/hoa-vai-hop-dung-trai-cay-kho-nhieu-loai-hat-an-lien-dried-mango-dried-strawberry-dried-peach-snack-healthy-food-i2923916006.html")</f>
        <v>https://www.lazada.vn/products/hoa-vai-hop-dung-trai-cay-kho-nhieu-loai-hat-an-lien-dried-mango-dried-strawberry-dried-peach-snack-healthy-food-i2923916006.html</v>
      </c>
      <c r="C1389" s="10" t="s">
        <v>1389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8">
        <v>6244.0</v>
      </c>
      <c r="B1390" s="9" t="str">
        <f>HYPERLINK("https://www.lazada.vn/products/tao-kep-sua-lac-da-hat-dieu-kaza-chinh-hang-i2866858136.html", "https://www.lazada.vn/products/tao-kep-sua-lac-da-hat-dieu-kaza-chinh-hang-i2866858136.html")</f>
        <v>https://www.lazada.vn/products/tao-kep-sua-lac-da-hat-dieu-kaza-chinh-hang-i2866858136.html</v>
      </c>
      <c r="C1390" s="10" t="s">
        <v>1390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8">
        <v>6245.0</v>
      </c>
      <c r="B1391" s="9" t="str">
        <f>HYPERLINK("https://www.lazada.vn/products/ca-hoi-hong-hoang-da-pink-salmon-wild-planet-1-hop-le-85g-i3053842722.html", "https://www.lazada.vn/products/ca-hoi-hong-hoang-da-pink-salmon-wild-planet-1-hop-le-85g-i3053842722.html")</f>
        <v>https://www.lazada.vn/products/ca-hoi-hong-hoang-da-pink-salmon-wild-planet-1-hop-le-85g-i3053842722.html</v>
      </c>
      <c r="C1391" s="10" t="s">
        <v>1391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8">
        <v>6246.0</v>
      </c>
      <c r="B1392" s="9" t="str">
        <f>HYPERLINK("https://www.lazada.vn/products/loc-14-goi-mi-khong-vi-nha-hang-oppa-ottogi-75g-i2937059150.html", "https://www.lazada.vn/products/loc-14-goi-mi-khong-vi-nha-hang-oppa-ottogi-75g-i2937059150.html")</f>
        <v>https://www.lazada.vn/products/loc-14-goi-mi-khong-vi-nha-hang-oppa-ottogi-75g-i2937059150.html</v>
      </c>
      <c r="C1392" s="10" t="s">
        <v>1392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8">
        <v>6247.0</v>
      </c>
      <c r="B1393" s="9" t="str">
        <f>HYPERLINK("https://www.lazada.vn/products/chiet-sot-golden-farm-topping-hersheys-cac-vi-chocolate-dau-matcha-caramel-dao-i2681362198.html", "https://www.lazada.vn/products/chiet-sot-golden-farm-topping-hersheys-cac-vi-chocolate-dau-matcha-caramel-dao-i2681362198.html")</f>
        <v>https://www.lazada.vn/products/chiet-sot-golden-farm-topping-hersheys-cac-vi-chocolate-dau-matcha-caramel-dao-i2681362198.html</v>
      </c>
      <c r="C1393" s="10" t="s">
        <v>1393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8">
        <v>6248.0</v>
      </c>
      <c r="B1394" s="9" t="str">
        <f>HYPERLINK("https://www.lazada.vn/products/date-82025-banh-kitkat-mini-chocolate-noi-dia-nhat-i2958967265.html", "https://www.lazada.vn/products/date-82025-banh-kitkat-mini-chocolate-noi-dia-nhat-i2958967265.html")</f>
        <v>https://www.lazada.vn/products/date-82025-banh-kitkat-mini-chocolate-noi-dia-nhat-i2958967265.html</v>
      </c>
      <c r="C1394" s="10" t="s">
        <v>1394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8">
        <v>6249.0</v>
      </c>
      <c r="B1395" s="9" t="str">
        <f>HYPERLINK("https://www.lazada.vn/products/ruou-vang-chi-le-undurraga-aliwen-reserva-cabernet-sauvignon-i2797511434.html", "https://www.lazada.vn/products/ruou-vang-chi-le-undurraga-aliwen-reserva-cabernet-sauvignon-i2797511434.html")</f>
        <v>https://www.lazada.vn/products/ruou-vang-chi-le-undurraga-aliwen-reserva-cabernet-sauvignon-i2797511434.html</v>
      </c>
      <c r="C1395" s="10" t="s">
        <v>1395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8">
        <v>6250.0</v>
      </c>
      <c r="B1396" s="9" t="str">
        <f>HYPERLINK("https://www.lazada.vn/products/ca-phe-hoa-tan-g7-3in1-tui-800g-50-goi-x-16g-i2803012399.html", "https://www.lazada.vn/products/ca-phe-hoa-tan-g7-3in1-tui-800g-50-goi-x-16g-i2803012399.html")</f>
        <v>https://www.lazada.vn/products/ca-phe-hoa-tan-g7-3in1-tui-800g-50-goi-x-16g-i2803012399.html</v>
      </c>
      <c r="C1396" s="10" t="s">
        <v>1396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8">
        <v>6251.0</v>
      </c>
      <c r="B1397" s="9" t="str">
        <f>HYPERLINK("https://www.lazada.vn/products/hot-combo-2-goi-banh-mi-hoa-cuc-tong-6-banh-mi-hoa-cuc-banh-mi-tuoi-ngan-lop-festa-richy-i2806059534.html", "https://www.lazada.vn/products/hot-combo-2-goi-banh-mi-hoa-cuc-tong-6-banh-mi-hoa-cuc-banh-mi-tuoi-ngan-lop-festa-richy-i2806059534.html")</f>
        <v>https://www.lazada.vn/products/hot-combo-2-goi-banh-mi-hoa-cuc-tong-6-banh-mi-hoa-cuc-banh-mi-tuoi-ngan-lop-festa-richy-i2806059534.html</v>
      </c>
      <c r="C1397" s="10" t="s">
        <v>1397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8">
        <v>6252.0</v>
      </c>
      <c r="B1398" s="9" t="str">
        <f>HYPERLINK("https://www.lazada.vn/products/1kg-banh-tai-heo-nhi-mix-3-vi-ngon-ngon-i2726114618.html", "https://www.lazada.vn/products/1kg-banh-tai-heo-nhi-mix-3-vi-ngon-ngon-i2726114618.html")</f>
        <v>https://www.lazada.vn/products/1kg-banh-tai-heo-nhi-mix-3-vi-ngon-ngon-i2726114618.html</v>
      </c>
      <c r="C1398" s="10" t="s">
        <v>1398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8">
        <v>6253.0</v>
      </c>
      <c r="B1399" s="9" t="str">
        <f>HYPERLINK("https://www.lazada.vn/products/bot-cacao-nguyen-chat-dans-goi-500g-i2462365482.html", "https://www.lazada.vn/products/bot-cacao-nguyen-chat-dans-goi-500g-i2462365482.html")</f>
        <v>https://www.lazada.vn/products/bot-cacao-nguyen-chat-dans-goi-500g-i2462365482.html</v>
      </c>
      <c r="C1399" s="10" t="s">
        <v>1399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8">
        <v>6254.0</v>
      </c>
      <c r="B1400" s="9" t="str">
        <f>HYPERLINK("https://www.lazada.vn/products/co-san-10-goi-huong-bo-thom-cay-i1679337040.html", "https://www.lazada.vn/products/co-san-10-goi-huong-bo-thom-cay-i1679337040.html")</f>
        <v>https://www.lazada.vn/products/co-san-10-goi-huong-bo-thom-cay-i1679337040.html</v>
      </c>
      <c r="C1400" s="10" t="s">
        <v>1400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8">
        <v>6255.0</v>
      </c>
      <c r="B1401" s="9" t="str">
        <f>HYPERLINK("https://www.lazada.vn/products/thuong-hang-set-che-duong-nhan-tuyet-yen-nhua-dao-12-vi-tai-an-moc-sac-natural-i2763154167.html", "https://www.lazada.vn/products/thuong-hang-set-che-duong-nhan-tuyet-yen-nhua-dao-12-vi-tai-an-moc-sac-natural-i2763154167.html")</f>
        <v>https://www.lazada.vn/products/thuong-hang-set-che-duong-nhan-tuyet-yen-nhua-dao-12-vi-tai-an-moc-sac-natural-i2763154167.html</v>
      </c>
      <c r="C1401" s="10" t="s">
        <v>1401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8">
        <v>6256.0</v>
      </c>
      <c r="B1402" s="9" t="str">
        <f>HYPERLINK("https://www.lazada.vn/products/banh-quy-hup-seng-cream-crackers-sugar-crackers-gion-ngon-kho-cuong-i2934404904.html", "https://www.lazada.vn/products/banh-quy-hup-seng-cream-crackers-sugar-crackers-gion-ngon-kho-cuong-i2934404904.html")</f>
        <v>https://www.lazada.vn/products/banh-quy-hup-seng-cream-crackers-sugar-crackers-gion-ngon-kho-cuong-i2934404904.html</v>
      </c>
      <c r="C1402" s="10" t="s">
        <v>1402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8">
        <v>6257.0</v>
      </c>
      <c r="B1403" s="9" t="str">
        <f>HYPERLINK("https://www.lazada.vn/products/loc-3-hu-thach-trai-cay-cat-lat-dr-tobi-vi-cam-dao-co-nhan-th01-beegin-food-store-i2621103043.html", "https://www.lazada.vn/products/loc-3-hu-thach-trai-cay-cat-lat-dr-tobi-vi-cam-dao-co-nhan-th01-beegin-food-store-i2621103043.html")</f>
        <v>https://www.lazada.vn/products/loc-3-hu-thach-trai-cay-cat-lat-dr-tobi-vi-cam-dao-co-nhan-th01-beegin-food-store-i2621103043.html</v>
      </c>
      <c r="C1403" s="10" t="s">
        <v>1403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8">
        <v>6258.0</v>
      </c>
      <c r="B1404" s="9" t="str">
        <f>HYPERLINK("https://www.lazada.vn/products/soju-han-quoc-chum-churum-360ml-vi-tao-i2331821956.html", "https://www.lazada.vn/products/soju-han-quoc-chum-churum-360ml-vi-tao-i2331821956.html")</f>
        <v>https://www.lazada.vn/products/soju-han-quoc-chum-churum-360ml-vi-tao-i2331821956.html</v>
      </c>
      <c r="C1404" s="10" t="s">
        <v>1404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8">
        <v>6259.0</v>
      </c>
      <c r="B1405" s="9" t="str">
        <f>HYPERLINK("https://www.lazada.vn/products/banh-yokan-dau-do-sieu-thi-nhat-ichiban-market-i1743697725.html", "https://www.lazada.vn/products/banh-yokan-dau-do-sieu-thi-nhat-ichiban-market-i1743697725.html")</f>
        <v>https://www.lazada.vn/products/banh-yokan-dau-do-sieu-thi-nhat-ichiban-market-i1743697725.html</v>
      </c>
      <c r="C1405" s="10" t="s">
        <v>1405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8">
        <v>6260.0</v>
      </c>
      <c r="B1406" s="9" t="str">
        <f>HYPERLINK("https://www.lazada.vn/products/thung-18-goi-bun-bo-hue-hoang-gia-120g-i1415792564.html", "https://www.lazada.vn/products/thung-18-goi-bun-bo-hue-hoang-gia-120g-i1415792564.html")</f>
        <v>https://www.lazada.vn/products/thung-18-goi-bun-bo-hue-hoang-gia-120g-i1415792564.html</v>
      </c>
      <c r="C1406" s="10" t="s">
        <v>1406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8">
        <v>6261.0</v>
      </c>
      <c r="B1407" s="9" t="str">
        <f>HYPERLINK("https://www.lazada.vn/products/bo-ham-hat-tieu-200g-tuyen-ky-i2112095115.html", "https://www.lazada.vn/products/bo-ham-hat-tieu-200g-tuyen-ky-i2112095115.html")</f>
        <v>https://www.lazada.vn/products/bo-ham-hat-tieu-200g-tuyen-ky-i2112095115.html</v>
      </c>
      <c r="C1407" s="10" t="s">
        <v>1407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8">
        <v>6262.0</v>
      </c>
      <c r="B1408" s="9" t="str">
        <f>HYPERLINK("https://www.lazada.vn/products/nuoc-tang-luc-gatorade-vi-chanh-600ml-ktown-market-i2652917846.html", "https://www.lazada.vn/products/nuoc-tang-luc-gatorade-vi-chanh-600ml-ktown-market-i2652917846.html")</f>
        <v>https://www.lazada.vn/products/nuoc-tang-luc-gatorade-vi-chanh-600ml-ktown-market-i2652917846.html</v>
      </c>
      <c r="C1408" s="10" t="s">
        <v>1408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8">
        <v>6263.0</v>
      </c>
      <c r="B1409" s="9" t="str">
        <f>HYPERLINK("https://www.lazada.vn/products/khoai-tay-trung-muoi-salted-egg-potato-chips-210g-irvins-i2885321452.html", "https://www.lazada.vn/products/khoai-tay-trung-muoi-salted-egg-potato-chips-210g-irvins-i2885321452.html")</f>
        <v>https://www.lazada.vn/products/khoai-tay-trung-muoi-salted-egg-potato-chips-210g-irvins-i2885321452.html</v>
      </c>
      <c r="C1409" s="10" t="s">
        <v>1409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8">
        <v>6264.0</v>
      </c>
      <c r="B1410" s="9" t="str">
        <f>HYPERLINK("https://www.lazada.vn/products/date-moi-nuoc-ngot-my-welchs-nho-dr-pepper-cherry-xa-xi-aw-i2658929319.html", "https://www.lazada.vn/products/date-moi-nuoc-ngot-my-welchs-nho-dr-pepper-cherry-xa-xi-aw-i2658929319.html")</f>
        <v>https://www.lazada.vn/products/date-moi-nuoc-ngot-my-welchs-nho-dr-pepper-cherry-xa-xi-aw-i2658929319.html</v>
      </c>
      <c r="C1410" s="10" t="s">
        <v>1410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8">
        <v>6265.0</v>
      </c>
      <c r="B1411" s="9" t="str">
        <f>HYPERLINK("https://www.lazada.vn/products/chinh-hang-ruou-vang-trang-handpicked-verison-chardonnay-750ml-13-i2316339235.html", "https://www.lazada.vn/products/chinh-hang-ruou-vang-trang-handpicked-verison-chardonnay-750ml-13-i2316339235.html")</f>
        <v>https://www.lazada.vn/products/chinh-hang-ruou-vang-trang-handpicked-verison-chardonnay-750ml-13-i2316339235.html</v>
      </c>
      <c r="C1411" s="10" t="s">
        <v>1411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8">
        <v>6266.0</v>
      </c>
      <c r="B1412" s="9" t="str">
        <f>HYPERLINK("https://www.lazada.vn/products/bao-bi-moi-banh-ca-cho-meo-funny-u-100gr-tang-trong-luong-gia-khong-doi-i2883687839.html", "https://www.lazada.vn/products/bao-bi-moi-banh-ca-cho-meo-funny-u-100gr-tang-trong-luong-gia-khong-doi-i2883687839.html")</f>
        <v>https://www.lazada.vn/products/bao-bi-moi-banh-ca-cho-meo-funny-u-100gr-tang-trong-luong-gia-khong-doi-i2883687839.html</v>
      </c>
      <c r="C1412" s="10" t="s">
        <v>1412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8">
        <v>6267.0</v>
      </c>
      <c r="B1413" s="9" t="str">
        <f>HYPERLINK("https://www.lazada.vn/products/combo-2-banh-brownies-nguyen-cam-hanh-nhan-it-ngot-it-beo-i2344626299.html", "https://www.lazada.vn/products/combo-2-banh-brownies-nguyen-cam-hanh-nhan-it-ngot-it-beo-i2344626299.html")</f>
        <v>https://www.lazada.vn/products/combo-2-banh-brownies-nguyen-cam-hanh-nhan-it-ngot-it-beo-i2344626299.html</v>
      </c>
      <c r="C1413" s="10" t="s">
        <v>1413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8">
        <v>6268.0</v>
      </c>
      <c r="B1414" s="9" t="str">
        <f>HYPERLINK("https://www.lazada.vn/products/nhap-khau-chinh-ngach-keo-ngam-tang-luc-bo-huc-redbull-dau-sting-goi-320g-ha-anh-2k-i2921367051.html", "https://www.lazada.vn/products/nhap-khau-chinh-ngach-keo-ngam-tang-luc-bo-huc-redbull-dau-sting-goi-320g-ha-anh-2k-i2921367051.html")</f>
        <v>https://www.lazada.vn/products/nhap-khau-chinh-ngach-keo-ngam-tang-luc-bo-huc-redbull-dau-sting-goi-320g-ha-anh-2k-i2921367051.html</v>
      </c>
      <c r="C1414" s="10" t="s">
        <v>1414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8">
        <v>6269.0</v>
      </c>
      <c r="B1415" s="9" t="str">
        <f>HYPERLINK("https://www.lazada.vn/products/ly-bia-guinness-irish-pint-20-oz-bo-2-i3020060336.html", "https://www.lazada.vn/products/ly-bia-guinness-irish-pint-20-oz-bo-2-i3020060336.html")</f>
        <v>https://www.lazada.vn/products/ly-bia-guinness-irish-pint-20-oz-bo-2-i3020060336.html</v>
      </c>
      <c r="C1415" s="10" t="s">
        <v>1415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8">
        <v>6270.0</v>
      </c>
      <c r="B1416" s="9" t="str">
        <f>HYPERLINK("https://www.lazada.vn/products/snack-dried-fruit-freezing-dry-fig-snack-non-fried-office-children-leisure-food-crispy-fruit-snack-mixed-dried-fruit-snack-i2923905011.html", "https://www.lazada.vn/products/snack-dried-fruit-freezing-dry-fig-snack-non-fried-office-children-leisure-food-crispy-fruit-snack-mixed-dried-fruit-snack-i2923905011.html")</f>
        <v>https://www.lazada.vn/products/snack-dried-fruit-freezing-dry-fig-snack-non-fried-office-children-leisure-food-crispy-fruit-snack-mixed-dried-fruit-snack-i2923905011.html</v>
      </c>
      <c r="C1416" s="10" t="s">
        <v>1416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8">
        <v>6271.0</v>
      </c>
      <c r="B1417" s="9" t="str">
        <f>HYPERLINK("https://www.lazada.vn/products/chanh-xi-muoi-thanh-binh-900g-chua-chua-ngot-ngot-i2865544935.html", "https://www.lazada.vn/products/chanh-xi-muoi-thanh-binh-900g-chua-chua-ngot-ngot-i2865544935.html")</f>
        <v>https://www.lazada.vn/products/chanh-xi-muoi-thanh-binh-900g-chua-chua-ngot-ngot-i2865544935.html</v>
      </c>
      <c r="C1417" s="10" t="s">
        <v>1417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8">
        <v>6272.0</v>
      </c>
      <c r="B1418" s="9" t="str">
        <f>HYPERLINK("https://www.lazada.vn/products/combo-5-chiec-chan-ga-x2-2-chan-1-tui-master-ca-sieu-thom-ngon-hap-dan-dai-gion-thom-ngon-i3053659545.html", "https://www.lazada.vn/products/combo-5-chiec-chan-ga-x2-2-chan-1-tui-master-ca-sieu-thom-ngon-hap-dan-dai-gion-thom-ngon-i3053659545.html")</f>
        <v>https://www.lazada.vn/products/combo-5-chiec-chan-ga-x2-2-chan-1-tui-master-ca-sieu-thom-ngon-hap-dan-dai-gion-thom-ngon-i3053659545.html</v>
      </c>
      <c r="C1418" s="10" t="s">
        <v>1418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8">
        <v>6273.0</v>
      </c>
      <c r="B1419" s="9" t="str">
        <f>HYPERLINK("https://www.lazada.vn/products/my-an-lien-cho-be-tokyo-ramen-vi-tom-va-thit-heo-vi-ga-thom-ngon-day-du-duong-chat-4-goi-30g-bibomart-i2936997581.html", "https://www.lazada.vn/products/my-an-lien-cho-be-tokyo-ramen-vi-tom-va-thit-heo-vi-ga-thom-ngon-day-du-duong-chat-4-goi-30g-bibomart-i2936997581.html")</f>
        <v>https://www.lazada.vn/products/my-an-lien-cho-be-tokyo-ramen-vi-tom-va-thit-heo-vi-ga-thom-ngon-day-du-duong-chat-4-goi-30g-bibomart-i2936997581.html</v>
      </c>
      <c r="C1419" s="10" t="s">
        <v>1419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8">
        <v>6274.0</v>
      </c>
      <c r="B1420" s="9" t="str">
        <f>HYPERLINK("https://www.lazada.vn/products/siro-mama-rosa-chai-700ml-nhan-i2678788560.html", "https://www.lazada.vn/products/siro-mama-rosa-chai-700ml-nhan-i2678788560.html")</f>
        <v>https://www.lazada.vn/products/siro-mama-rosa-chai-700ml-nhan-i2678788560.html</v>
      </c>
      <c r="C1420" s="10" t="s">
        <v>1420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8">
        <v>6275.0</v>
      </c>
      <c r="B1421" s="9" t="str">
        <f>HYPERLINK("https://www.lazada.vn/products/socola-dua-raffaello-ferrero-duc-230g-i2958753964.html", "https://www.lazada.vn/products/socola-dua-raffaello-ferrero-duc-230g-i2958753964.html")</f>
        <v>https://www.lazada.vn/products/socola-dua-raffaello-ferrero-duc-230g-i2958753964.html</v>
      </c>
      <c r="C1421" s="10" t="s">
        <v>1421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8">
        <v>6276.0</v>
      </c>
      <c r="B1422" s="9" t="str">
        <f>HYPERLINK("https://www.lazada.vn/products/ca-phe-hoa-tan-g7-3in1-tui-800g-50-goi-x-16g-i2802913610.html", "https://www.lazada.vn/products/ca-phe-hoa-tan-g7-3in1-tui-800g-50-goi-x-16g-i2802913610.html")</f>
        <v>https://www.lazada.vn/products/ca-phe-hoa-tan-g7-3in1-tui-800g-50-goi-x-16g-i2802913610.html</v>
      </c>
      <c r="C1422" s="10" t="s">
        <v>1422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8">
        <v>6277.0</v>
      </c>
      <c r="B1423" s="9" t="str">
        <f>HYPERLINK("https://www.lazada.vn/products/ruou-vang-phap-undurraga-th-terroir-hunter-maipo-syrah-i2797483466.html", "https://www.lazada.vn/products/ruou-vang-phap-undurraga-th-terroir-hunter-maipo-syrah-i2797483466.html")</f>
        <v>https://www.lazada.vn/products/ruou-vang-phap-undurraga-th-terroir-hunter-maipo-syrah-i2797483466.html</v>
      </c>
      <c r="C1423" s="10" t="s">
        <v>1423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8">
        <v>6278.0</v>
      </c>
      <c r="B1424" s="9" t="str">
        <f>HYPERLINK("https://www.lazada.vn/products/selenium-giau-collagen-apple-cider-dam-trai-cay-va-rau-thuc-uong-nuoc-trai-cay-tuoi-vat-nuoc-ep-trai-cay-tap-trung-che-do-an-uong-chat-xo-i2770282719.html", "https://www.lazada.vn/products/selenium-giau-collagen-apple-cider-dam-trai-cay-va-rau-thuc-uong-nuoc-trai-cay-tuoi-vat-nuoc-ep-trai-cay-tap-trung-che-do-an-uong-chat-xo-i2770282719.html")</f>
        <v>https://www.lazada.vn/products/selenium-giau-collagen-apple-cider-dam-trai-cay-va-rau-thuc-uong-nuoc-trai-cay-tuoi-vat-nuoc-ep-trai-cay-tap-trung-che-do-an-uong-chat-xo-i2770282719.html</v>
      </c>
      <c r="C1424" s="10" t="s">
        <v>1424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8">
        <v>6279.0</v>
      </c>
      <c r="B1425" s="9" t="str">
        <f>HYPERLINK("https://www.lazada.vn/products/sieu-hot-combo-2-tui-banh-mi-hoa-cuc-tong-6-banh-mi-hoa-cuc-banh-mi-tuoi-ngan-lop-festa-richy-i2806051568.html", "https://www.lazada.vn/products/sieu-hot-combo-2-tui-banh-mi-hoa-cuc-tong-6-banh-mi-hoa-cuc-banh-mi-tuoi-ngan-lop-festa-richy-i2806051568.html")</f>
        <v>https://www.lazada.vn/products/sieu-hot-combo-2-tui-banh-mi-hoa-cuc-tong-6-banh-mi-hoa-cuc-banh-mi-tuoi-ngan-lop-festa-richy-i2806051568.html</v>
      </c>
      <c r="C1425" s="10" t="s">
        <v>1425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8">
        <v>6280.0</v>
      </c>
      <c r="B1426" s="9" t="str">
        <f>HYPERLINK("https://www.lazada.vn/products/ban-si-snack-thit-ho-kaka-bich-20-goi-do-an-vat-tuoi-thodo-an-vat-cong-truong-i2723635119.html", "https://www.lazada.vn/products/ban-si-snack-thit-ho-kaka-bich-20-goi-do-an-vat-tuoi-thodo-an-vat-cong-truong-i2723635119.html")</f>
        <v>https://www.lazada.vn/products/ban-si-snack-thit-ho-kaka-bich-20-goi-do-an-vat-tuoi-thodo-an-vat-cong-truong-i2723635119.html</v>
      </c>
      <c r="C1426" s="10" t="s">
        <v>1426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8">
        <v>6281.0</v>
      </c>
      <c r="B1427" s="9" t="str">
        <f>HYPERLINK("https://www.lazada.vn/products/thach-san-day-loai-vien-1kg-i2762688630.html", "https://www.lazada.vn/products/thach-san-day-loai-vien-1kg-i2762688630.html")</f>
        <v>https://www.lazada.vn/products/thach-san-day-loai-vien-1kg-i2762688630.html</v>
      </c>
      <c r="C1427" s="10" t="s">
        <v>1427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8">
        <v>6282.0</v>
      </c>
      <c r="B1428" s="9" t="str">
        <f>HYPERLINK("https://www.lazada.vn/products/gia-huy-diet-10-goi-tam-cay-den-i1679303260.html", "https://www.lazada.vn/products/gia-huy-diet-10-goi-tam-cay-den-i1679303260.html")</f>
        <v>https://www.lazada.vn/products/gia-huy-diet-10-goi-tam-cay-den-i1679303260.html</v>
      </c>
      <c r="C1428" s="10" t="s">
        <v>1428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8">
        <v>6283.0</v>
      </c>
      <c r="B1429" s="9" t="str">
        <f>HYPERLINK("https://www.lazada.vn/products/set-5-goi-milo-x-22g-sua-bot-milo-thuc-uong-lua-mach-nestle-sua-bot-ca-cao-hoa-tan-nguyen-chat-thom-ngon-bo-duong-activ-go-nestle-i2456512824.html", "https://www.lazada.vn/products/set-5-goi-milo-x-22g-sua-bot-milo-thuc-uong-lua-mach-nestle-sua-bot-ca-cao-hoa-tan-nguyen-chat-thom-ngon-bo-duong-activ-go-nestle-i2456512824.html")</f>
        <v>https://www.lazada.vn/products/set-5-goi-milo-x-22g-sua-bot-milo-thuc-uong-lua-mach-nestle-sua-bot-ca-cao-hoa-tan-nguyen-chat-thom-ngon-bo-duong-activ-go-nestle-i2456512824.html</v>
      </c>
      <c r="C1429" s="10" t="s">
        <v>1429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8">
        <v>6284.0</v>
      </c>
      <c r="B1430" s="9" t="str">
        <f>HYPERLINK("https://www.lazada.vn/products/banh-quy-que-cham-sot-kem-sua-origo-thung-480g-12-hop-banh-que-dua-cham-sua-socola-thom-ngon-banh-quy-ruvask-i2933995765.html", "https://www.lazada.vn/products/banh-quy-que-cham-sot-kem-sua-origo-thung-480g-12-hop-banh-que-dua-cham-sua-socola-thom-ngon-banh-quy-ruvask-i2933995765.html")</f>
        <v>https://www.lazada.vn/products/banh-quy-que-cham-sot-kem-sua-origo-thung-480g-12-hop-banh-que-dua-cham-sua-socola-thom-ngon-banh-quy-ruvask-i2933995765.html</v>
      </c>
      <c r="C1430" s="10" t="s">
        <v>1430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8">
        <v>6285.0</v>
      </c>
      <c r="B1431" s="9" t="str">
        <f>HYPERLINK("https://www.lazada.vn/products/anh-that-10-goi-snack-bim-bim-canh-ga-mau-moi-i1679286725.html", "https://www.lazada.vn/products/anh-that-10-goi-snack-bim-bim-canh-ga-mau-moi-i1679286725.html")</f>
        <v>https://www.lazada.vn/products/anh-that-10-goi-snack-bim-bim-canh-ga-mau-moi-i1679286725.html</v>
      </c>
      <c r="C1431" s="10" t="s">
        <v>1431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8">
        <v>6286.0</v>
      </c>
      <c r="B1432" s="9" t="str">
        <f>HYPERLINK("https://www.lazada.vn/products/banh-cuon-vi-kem-bourbon-barm-roll-190gr-i1618860518.html", "https://www.lazada.vn/products/banh-cuon-vi-kem-bourbon-barm-roll-190gr-i1618860518.html")</f>
        <v>https://www.lazada.vn/products/banh-cuon-vi-kem-bourbon-barm-roll-190gr-i1618860518.html</v>
      </c>
      <c r="C1432" s="10" t="s">
        <v>1432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8">
        <v>6287.0</v>
      </c>
      <c r="B1433" s="9" t="str">
        <f>HYPERLINK("https://www.lazada.vn/products/ruou-vang-phap-france-maison-sauvignon-blanc-750ml-125-i2278678139.html", "https://www.lazada.vn/products/ruou-vang-phap-france-maison-sauvignon-blanc-750ml-125-i2278678139.html")</f>
        <v>https://www.lazada.vn/products/ruou-vang-phap-france-maison-sauvignon-blanc-750ml-125-i2278678139.html</v>
      </c>
      <c r="C1433" s="10" t="s">
        <v>1433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8">
        <v>6288.0</v>
      </c>
      <c r="B1434" s="9" t="str">
        <f>HYPERLINK("https://www.lazada.vn/products/loc-3-hu-thach-trai-cay-cat-lat-dr-tobi-vi-cam-dao-co-nhan-th01-an-vat-beegin-i2620888315.html", "https://www.lazada.vn/products/loc-3-hu-thach-trai-cay-cat-lat-dr-tobi-vi-cam-dao-co-nhan-th01-an-vat-beegin-i2620888315.html")</f>
        <v>https://www.lazada.vn/products/loc-3-hu-thach-trai-cay-cat-lat-dr-tobi-vi-cam-dao-co-nhan-th01-an-vat-beegin-i2620888315.html</v>
      </c>
      <c r="C1434" s="10" t="s">
        <v>1434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8">
        <v>6289.0</v>
      </c>
      <c r="B1435" s="9" t="str">
        <f>HYPERLINK("https://www.lazada.vn/products/nuoc-bu-khoang-khong-ga-pocari-sweat-bo-sung-ion-chai-350ml-i2652893033.html", "https://www.lazada.vn/products/nuoc-bu-khoang-khong-ga-pocari-sweat-bo-sung-ion-chai-350ml-i2652893033.html")</f>
        <v>https://www.lazada.vn/products/nuoc-bu-khoang-khong-ga-pocari-sweat-bo-sung-ion-chai-350ml-i2652893033.html</v>
      </c>
      <c r="C1435" s="10" t="s">
        <v>1435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8">
        <v>6290.0</v>
      </c>
      <c r="B1436" s="9" t="str">
        <f>HYPERLINK("https://www.lazada.vn/products/mi-omni-chanh-1-thung-30-goi-i1392821969.html", "https://www.lazada.vn/products/mi-omni-chanh-1-thung-30-goi-i1392821969.html")</f>
        <v>https://www.lazada.vn/products/mi-omni-chanh-1-thung-30-goi-i1392821969.html</v>
      </c>
      <c r="C1436" s="10" t="s">
        <v>1436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8">
        <v>6291.0</v>
      </c>
      <c r="B1437" s="9" t="str">
        <f>HYPERLINK("https://www.lazada.vn/products/nuoc-cot-dua-wonderfarm-400ml-i2110863852.html", "https://www.lazada.vn/products/nuoc-cot-dua-wonderfarm-400ml-i2110863852.html")</f>
        <v>https://www.lazada.vn/products/nuoc-cot-dua-wonderfarm-400ml-i2110863852.html</v>
      </c>
      <c r="C1437" s="10" t="s">
        <v>1437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8">
        <v>6292.0</v>
      </c>
      <c r="B1438" s="9" t="str">
        <f>HYPERLINK("https://www.lazada.vn/products/chinh-hang-ruou-vang-trang-ederra-verdejo-seleccion-750ml-125-i2316258215.html", "https://www.lazada.vn/products/chinh-hang-ruou-vang-trang-ederra-verdejo-seleccion-750ml-125-i2316258215.html")</f>
        <v>https://www.lazada.vn/products/chinh-hang-ruou-vang-trang-ederra-verdejo-seleccion-750ml-125-i2316258215.html</v>
      </c>
      <c r="C1438" s="10" t="s">
        <v>1438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8">
        <v>6293.0</v>
      </c>
      <c r="B1439" s="9" t="str">
        <f>HYPERLINK("https://www.lazada.vn/products/bim-bim-tam-que-thai-lehanh-gia-si-5-goi-i2881513033.html", "https://www.lazada.vn/products/bim-bim-tam-que-thai-lehanh-gia-si-5-goi-i2881513033.html")</f>
        <v>https://www.lazada.vn/products/bim-bim-tam-que-thai-lehanh-gia-si-5-goi-i2881513033.html</v>
      </c>
      <c r="C1439" s="10" t="s">
        <v>1439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8">
        <v>6294.0</v>
      </c>
      <c r="B1440" s="9" t="str">
        <f>HYPERLINK("https://www.lazada.vn/products/nuoc-ngot-coca-zero-sugar-no-calories-nhat-160ml-thung-30-lon-i2658830392.html", "https://www.lazada.vn/products/nuoc-ngot-coca-zero-sugar-no-calories-nhat-160ml-thung-30-lon-i2658830392.html")</f>
        <v>https://www.lazada.vn/products/nuoc-ngot-coca-zero-sugar-no-calories-nhat-160ml-thung-30-lon-i2658830392.html</v>
      </c>
      <c r="C1440" s="10" t="s">
        <v>1440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8">
        <v>6295.0</v>
      </c>
      <c r="B1441" s="9" t="str">
        <f>HYPERLINK("https://www.lazada.vn/products/nuoc-ngot-co-ga-cocacola-co-duong-nhat-ban-chai-300ml-i2655808708.html", "https://www.lazada.vn/products/nuoc-ngot-co-ga-cocacola-co-duong-nhat-ban-chai-300ml-i2655808708.html")</f>
        <v>https://www.lazada.vn/products/nuoc-ngot-co-ga-cocacola-co-duong-nhat-ban-chai-300ml-i2655808708.html</v>
      </c>
      <c r="C1441" s="10" t="s">
        <v>1441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8">
        <v>6296.0</v>
      </c>
      <c r="B1442" s="9" t="str">
        <f>HYPERLINK("https://www.lazada.vn/products/combo-2-banh-quy-slai-olai-nhan-mut-dua-goi-128g-i2336938970.html", "https://www.lazada.vn/products/combo-2-banh-quy-slai-olai-nhan-mut-dua-goi-128g-i2336938970.html")</f>
        <v>https://www.lazada.vn/products/combo-2-banh-quy-slai-olai-nhan-mut-dua-goi-128g-i2336938970.html</v>
      </c>
      <c r="C1442" s="10" t="s">
        <v>1442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8">
        <v>6297.0</v>
      </c>
      <c r="B1443" s="9" t="str">
        <f>HYPERLINK("https://www.lazada.vn/products/khay-16-thoi-keo-mentos-bac-ha-i2916152645.html", "https://www.lazada.vn/products/khay-16-thoi-keo-mentos-bac-ha-i2916152645.html")</f>
        <v>https://www.lazada.vn/products/khay-16-thoi-keo-mentos-bac-ha-i2916152645.html</v>
      </c>
      <c r="C1443" s="10" t="s">
        <v>1443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8">
        <v>6298.0</v>
      </c>
      <c r="B1444" s="9" t="str">
        <f>HYPERLINK("https://www.lazada.vn/products/thung-20-lon-bia-tiger-xanh-330ml-nong-do-5-kieu-dang-sang-trong-i3019781027.html", "https://www.lazada.vn/products/thung-20-lon-bia-tiger-xanh-330ml-nong-do-5-kieu-dang-sang-trong-i3019781027.html")</f>
        <v>https://www.lazada.vn/products/thung-20-lon-bia-tiger-xanh-330ml-nong-do-5-kieu-dang-sang-trong-i3019781027.html</v>
      </c>
      <c r="C1444" s="10" t="s">
        <v>1444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8">
        <v>6299.0</v>
      </c>
      <c r="B1445" s="9" t="str">
        <f>HYPERLINK("https://www.lazada.vn/products/giang-zai-fresh-coconut-grape-ring-biscuit-crispy-snack-afternoon-tea-pastry-breakfast-replacement-5kg-coconuts-freshness-i2923900088.html", "https://www.lazada.vn/products/giang-zai-fresh-coconut-grape-ring-biscuit-crispy-snack-afternoon-tea-pastry-breakfast-replacement-5kg-coconuts-freshness-i2923900088.html")</f>
        <v>https://www.lazada.vn/products/giang-zai-fresh-coconut-grape-ring-biscuit-crispy-snack-afternoon-tea-pastry-breakfast-replacement-5kg-coconuts-freshness-i2923900088.html</v>
      </c>
      <c r="C1445" s="10" t="s">
        <v>1445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8">
        <v>6300.0</v>
      </c>
      <c r="B1446" s="9" t="str">
        <f>HYPERLINK("https://www.lazada.vn/products/nuoc-cot-me-thanh-binh-hu-250gr-de-nau-canh-chua-nen-cac-mon-an-giai-khat-i2864813036.html", "https://www.lazada.vn/products/nuoc-cot-me-thanh-binh-hu-250gr-de-nau-canh-chua-nen-cac-mon-an-giai-khat-i2864813036.html")</f>
        <v>https://www.lazada.vn/products/nuoc-cot-me-thanh-binh-hu-250gr-de-nau-canh-chua-nen-cac-mon-an-giai-khat-i2864813036.html</v>
      </c>
      <c r="C1446" s="10" t="s">
        <v>1446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8">
        <v>6301.0</v>
      </c>
      <c r="B1447" s="9" t="str">
        <f>HYPERLINK("https://www.lazada.vn/products/combo-30-chiec-chan-ga-chua-ca-chicken-quick-dam-da-tron-vi-ngap-chan-rang-dai-dai-san-san-vi-ngot-chua-ca-i3053554969.html", "https://www.lazada.vn/products/combo-30-chiec-chan-ga-chua-ca-chicken-quick-dam-da-tron-vi-ngap-chan-rang-dai-dai-san-san-vi-ngot-chua-ca-i3053554969.html")</f>
        <v>https://www.lazada.vn/products/combo-30-chiec-chan-ga-chua-ca-chicken-quick-dam-da-tron-vi-ngap-chan-rang-dai-dai-san-san-vi-ngot-chua-ca-i3053554969.html</v>
      </c>
      <c r="C1447" s="10" t="s">
        <v>1447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8">
        <v>6302.0</v>
      </c>
      <c r="B1448" s="9" t="str">
        <f>HYPERLINK("https://www.lazada.vn/products/hu-tieu-an-lien-nhip-song-acecook-goi-69g-hu-tieu-chay-hu-tieu-nam-vang-hu-tieu-bo-kho-hu-tieu-suon-heo-i2936300315.html", "https://www.lazada.vn/products/hu-tieu-an-lien-nhip-song-acecook-goi-69g-hu-tieu-chay-hu-tieu-nam-vang-hu-tieu-bo-kho-hu-tieu-suon-heo-i2936300315.html")</f>
        <v>https://www.lazada.vn/products/hu-tieu-an-lien-nhip-song-acecook-goi-69g-hu-tieu-chay-hu-tieu-nam-vang-hu-tieu-bo-kho-hu-tieu-suon-heo-i2936300315.html</v>
      </c>
      <c r="C1448" s="10" t="s">
        <v>1448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8">
        <v>6303.0</v>
      </c>
      <c r="B1449" s="9" t="str">
        <f>HYPERLINK("https://www.lazada.vn/products/siro-dao-monin-peach-syrup-chai-700ml-i2678221806.html", "https://www.lazada.vn/products/siro-dao-monin-peach-syrup-chai-700ml-i2678221806.html")</f>
        <v>https://www.lazada.vn/products/siro-dao-monin-peach-syrup-chai-700ml-i2678221806.html</v>
      </c>
      <c r="C1449" s="10" t="s">
        <v>1449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8">
        <v>6304.0</v>
      </c>
      <c r="B1450" s="9" t="str">
        <f>HYPERLINK("https://www.lazada.vn/products/siro-golden-farm-chai-520ml-nhan-i2678188529.html", "https://www.lazada.vn/products/siro-golden-farm-chai-520ml-nhan-i2678188529.html")</f>
        <v>https://www.lazada.vn/products/siro-golden-farm-chai-520ml-nhan-i2678188529.html</v>
      </c>
      <c r="C1450" s="10" t="s">
        <v>1450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8">
        <v>6305.0</v>
      </c>
      <c r="B1451" s="9" t="str">
        <f>HYPERLINK("https://www.lazada.vn/products/ruou-vang-chile-undurraga-u-cabernet-sauvignon-i2797441707.html", "https://www.lazada.vn/products/ruou-vang-chile-undurraga-u-cabernet-sauvignon-i2797441707.html")</f>
        <v>https://www.lazada.vn/products/ruou-vang-chile-undurraga-u-cabernet-sauvignon-i2797441707.html</v>
      </c>
      <c r="C1451" s="10" t="s">
        <v>1451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8">
        <v>6306.0</v>
      </c>
      <c r="B1452" s="9" t="str">
        <f>HYPERLINK("https://www.lazada.vn/products/socola-sua-banh-gao-gion-choczeros-milk-chocolate-keto-bark-crispy-rice-90g-i2958586083.html", "https://www.lazada.vn/products/socola-sua-banh-gao-gion-choczeros-milk-chocolate-keto-bark-crispy-rice-90g-i2958586083.html")</f>
        <v>https://www.lazada.vn/products/socola-sua-banh-gao-gion-choczeros-milk-chocolate-keto-bark-crispy-rice-90g-i2958586083.html</v>
      </c>
      <c r="C1452" s="10" t="s">
        <v>1452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8">
        <v>6307.0</v>
      </c>
      <c r="B1453" s="9" t="str">
        <f>HYPERLINK("https://www.lazada.vn/products/cafe-vinacafe-chat-hop-10-goi-x-29g-i2797113496.html", "https://www.lazada.vn/products/cafe-vinacafe-chat-hop-10-goi-x-29g-i2797113496.html")</f>
        <v>https://www.lazada.vn/products/cafe-vinacafe-chat-hop-10-goi-x-29g-i2797113496.html</v>
      </c>
      <c r="C1453" s="10" t="s">
        <v>1453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8">
        <v>6308.0</v>
      </c>
      <c r="B1454" s="9" t="str">
        <f>HYPERLINK("https://www.lazada.vn/products/tui-lon-1kg-goi-bot-thuc-uong-lua-mach-ovaltine-vi-so-co-la-1kg-i2769189600.html", "https://www.lazada.vn/products/tui-lon-1kg-goi-bot-thuc-uong-lua-mach-ovaltine-vi-so-co-la-1kg-i2769189600.html")</f>
        <v>https://www.lazada.vn/products/tui-lon-1kg-goi-bot-thuc-uong-lua-mach-ovaltine-vi-so-co-la-1kg-i2769189600.html</v>
      </c>
      <c r="C1454" s="10" t="s">
        <v>1454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8">
        <v>6309.0</v>
      </c>
      <c r="B1455" s="9" t="str">
        <f>HYPERLINK("https://www.lazada.vn/products/banh-cuon-cha-bong-kem-ruoc-thom-ngon-banh-mi-da-trung-cha-bong-dinh-duong-i2798561056.html", "https://www.lazada.vn/products/banh-cuon-cha-bong-kem-ruoc-thom-ngon-banh-mi-da-trung-cha-bong-dinh-duong-i2798561056.html")</f>
        <v>https://www.lazada.vn/products/banh-cuon-cha-bong-kem-ruoc-thom-ngon-banh-mi-da-trung-cha-bong-dinh-duong-i2798561056.html</v>
      </c>
      <c r="C1455" s="10" t="s">
        <v>1455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8">
        <v>6310.0</v>
      </c>
      <c r="B1456" s="9" t="str">
        <f>HYPERLINK("https://www.lazada.vn/products/ban-si-bich-snack-hinh-balo-hang-dai-30-goi-gion-sun-thom-ngondo-an-vat-cong-truong-hot-nhat-i2723607413.html", "https://www.lazada.vn/products/ban-si-bich-snack-hinh-balo-hang-dai-30-goi-gion-sun-thom-ngondo-an-vat-cong-truong-hot-nhat-i2723607413.html")</f>
        <v>https://www.lazada.vn/products/ban-si-bich-snack-hinh-balo-hang-dai-30-goi-gion-sun-thom-ngondo-an-vat-cong-truong-hot-nhat-i2723607413.html</v>
      </c>
      <c r="C1456" s="10" t="s">
        <v>1456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8">
        <v>6311.0</v>
      </c>
      <c r="B1457" s="9" t="str">
        <f>HYPERLINK("https://www.lazada.vn/products/che-duong-nhan-14-vi-thuong-hang-set-700g-nau-duoc-45-50-chen-i2760140241.html", "https://www.lazada.vn/products/che-duong-nhan-14-vi-thuong-hang-set-700g-nau-duoc-45-50-chen-i2760140241.html")</f>
        <v>https://www.lazada.vn/products/che-duong-nhan-14-vi-thuong-hang-set-700g-nau-duoc-45-50-chen-i2760140241.html</v>
      </c>
      <c r="C1457" s="10" t="s">
        <v>1457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8">
        <v>6312.0</v>
      </c>
      <c r="B1458" s="9" t="str">
        <f>HYPERLINK("https://www.lazada.vn/products/combo-6-hop-kem-beo-thuc-vat-richs-lun-454g-i1572273802.html", "https://www.lazada.vn/products/combo-6-hop-kem-beo-thuc-vat-richs-lun-454g-i1572273802.html")</f>
        <v>https://www.lazada.vn/products/combo-6-hop-kem-beo-thuc-vat-richs-lun-454g-i1572273802.html</v>
      </c>
      <c r="C1458" s="10" t="s">
        <v>1458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8">
        <v>6313.0</v>
      </c>
      <c r="B1459" s="9" t="str">
        <f>HYPERLINK("https://www.lazada.vn/products/bot-cacao-choco-drink-800g-4311501466094-i2452004465.html", "https://www.lazada.vn/products/bot-cacao-choco-drink-800g-4311501466094-i2452004465.html")</f>
        <v>https://www.lazada.vn/products/bot-cacao-choco-drink-800g-4311501466094-i2452004465.html</v>
      </c>
      <c r="C1459" s="10" t="s">
        <v>1459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8">
        <v>6314.0</v>
      </c>
      <c r="B1460" s="9" t="str">
        <f>HYPERLINK("https://www.lazada.vn/products/goi-snack-oshi-que-akiko-du-vi-i1679263887.html", "https://www.lazada.vn/products/goi-snack-oshi-que-akiko-du-vi-i1679263887.html")</f>
        <v>https://www.lazada.vn/products/goi-snack-oshi-que-akiko-du-vi-i1679263887.html</v>
      </c>
      <c r="C1460" s="10" t="s">
        <v>1460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8">
        <v>6315.0</v>
      </c>
      <c r="B1461" s="9" t="str">
        <f>HYPERLINK("https://www.lazada.vn/products/1-hop-banh-que-cham-chocolate-sot-socola-thom-ngon-hop-40g-banh-quy-dua-cham-kem-sua-origo-banh-quy-ruvask-i2933923808.html", "https://www.lazada.vn/products/1-hop-banh-que-cham-chocolate-sot-socola-thom-ngon-hop-40g-banh-quy-dua-cham-kem-sua-origo-banh-quy-ruvask-i2933923808.html")</f>
        <v>https://www.lazada.vn/products/1-hop-banh-que-cham-chocolate-sot-socola-thom-ngon-hop-40g-banh-quy-dua-cham-kem-sua-origo-banh-quy-ruvask-i2933923808.html</v>
      </c>
      <c r="C1461" s="10" t="s">
        <v>1461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8">
        <v>6316.0</v>
      </c>
      <c r="B1462" s="9" t="str">
        <f>HYPERLINK("https://www.lazada.vn/products/ruou-vang-binh-phap-france-maison-cabernet-sauvignon-3-lit-i2278644711.html", "https://www.lazada.vn/products/ruou-vang-binh-phap-france-maison-cabernet-sauvignon-3-lit-i2278644711.html")</f>
        <v>https://www.lazada.vn/products/ruou-vang-binh-phap-france-maison-cabernet-sauvignon-3-lit-i2278644711.html</v>
      </c>
      <c r="C1462" s="10" t="s">
        <v>1462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8">
        <v>6317.0</v>
      </c>
      <c r="B1463" s="9" t="str">
        <f>HYPERLINK("https://www.lazada.vn/products/loc-3-hu-thach-trai-cay-cat-lat-dr-tobi-vi-cam-dao-co-nhan-th01-beegin-food-i2620596148.html", "https://www.lazada.vn/products/loc-3-hu-thach-trai-cay-cat-lat-dr-tobi-vi-cam-dao-co-nhan-th01-beegin-food-i2620596148.html")</f>
        <v>https://www.lazada.vn/products/loc-3-hu-thach-trai-cay-cat-lat-dr-tobi-vi-cam-dao-co-nhan-th01-beegin-food-i2620596148.html</v>
      </c>
      <c r="C1463" s="10" t="s">
        <v>1463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8">
        <v>6318.0</v>
      </c>
      <c r="B1464" s="9" t="str">
        <f>HYPERLINK("https://www.lazada.vn/products/thung30-goi-mi-xao-hao-haomau-xanhmau-vang-giao-mau-ngau-nhien-date-xa-i1387404295.html", "https://www.lazada.vn/products/thung30-goi-mi-xao-hao-haomau-xanhmau-vang-giao-mau-ngau-nhien-date-xa-i1387404295.html")</f>
        <v>https://www.lazada.vn/products/thung30-goi-mi-xao-hao-haomau-xanhmau-vang-giao-mau-ngau-nhien-date-xa-i1387404295.html</v>
      </c>
      <c r="C1464" s="10" t="s">
        <v>1464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8">
        <v>6319.0</v>
      </c>
      <c r="B1465" s="9" t="str">
        <f>HYPERLINK("https://www.lazada.vn/products/loc-6-lon-nuoc-tang-luc-redbull-viet-redbull-thai-lan-carabao-rockstar-lipovitan-lon-250-ml-i2650419153.html", "https://www.lazada.vn/products/loc-6-lon-nuoc-tang-luc-redbull-viet-redbull-thai-lan-carabao-rockstar-lipovitan-lon-250-ml-i2650419153.html")</f>
        <v>https://www.lazada.vn/products/loc-6-lon-nuoc-tang-luc-redbull-viet-redbull-thai-lan-carabao-rockstar-lipovitan-lon-250-ml-i2650419153.html</v>
      </c>
      <c r="C1465" s="10" t="s">
        <v>1465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8">
        <v>6320.0</v>
      </c>
      <c r="B1466" s="9" t="str">
        <f>HYPERLINK("https://www.lazada.vn/products/vang-no-torley-sweet-red-sparkling-wine-i2300947162.html", "https://www.lazada.vn/products/vang-no-torley-sweet-red-sparkling-wine-i2300947162.html")</f>
        <v>https://www.lazada.vn/products/vang-no-torley-sweet-red-sparkling-wine-i2300947162.html</v>
      </c>
      <c r="C1466" s="10" t="s">
        <v>1466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8">
        <v>6321.0</v>
      </c>
      <c r="B1467" s="9" t="str">
        <f>HYPERLINK("https://www.lazada.vn/products/nuoc-ngot-co-ga-cocacola-co-duong-nhat-ban-lon-500ml-i2655787925.html", "https://www.lazada.vn/products/nuoc-ngot-co-ga-cocacola-co-duong-nhat-ban-lon-500ml-i2655787925.html")</f>
        <v>https://www.lazada.vn/products/nuoc-ngot-co-ga-cocacola-co-duong-nhat-ban-lon-500ml-i2655787925.html</v>
      </c>
      <c r="C1467" s="10" t="s">
        <v>1467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8">
        <v>6322.0</v>
      </c>
      <c r="B1468" s="9" t="str">
        <f>HYPERLINK("https://www.lazada.vn/products/bim-bim-tam-que-thai-lehanh-gia-si-10-goi-i2881365513.html", "https://www.lazada.vn/products/bim-bim-tam-que-thai-lehanh-gia-si-10-goi-i2881365513.html")</f>
        <v>https://www.lazada.vn/products/bim-bim-tam-que-thai-lehanh-gia-si-10-goi-i2881365513.html</v>
      </c>
      <c r="C1468" s="10" t="s">
        <v>1468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8">
        <v>6323.0</v>
      </c>
      <c r="B1469" s="9" t="str">
        <f>HYPERLINK("https://www.lazada.vn/products/nui-gao-lut-nui-so-lut-900gr-eatclean-healthy-i2109441604.html", "https://www.lazada.vn/products/nui-gao-lut-nui-so-lut-900gr-eatclean-healthy-i2109441604.html")</f>
        <v>https://www.lazada.vn/products/nui-gao-lut-nui-so-lut-900gr-eatclean-healthy-i2109441604.html</v>
      </c>
      <c r="C1469" s="10" t="s">
        <v>1469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8">
        <v>6324.0</v>
      </c>
      <c r="B1470" s="9" t="str">
        <f>HYPERLINK("https://www.lazada.vn/products/1-goi-500gr-keo-deo-trai-cay-top-fruit-coowy-thom-ngon-bo-duong-i2866114870.html", "https://www.lazada.vn/products/1-goi-500gr-keo-deo-trai-cay-top-fruit-coowy-thom-ngon-bo-duong-i2866114870.html")</f>
        <v>https://www.lazada.vn/products/1-goi-500gr-keo-deo-trai-cay-top-fruit-coowy-thom-ngon-bo-duong-i2866114870.html</v>
      </c>
      <c r="C1470" s="10" t="s">
        <v>1470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8">
        <v>6325.0</v>
      </c>
      <c r="B1471" s="9" t="str">
        <f>HYPERLINK("https://www.lazada.vn/products/chon-giao-2h-kem-que-oreo-vi-bac-ha-nestle-i2299421871.html", "https://www.lazada.vn/products/chon-giao-2h-kem-que-oreo-vi-bac-ha-nestle-i2299421871.html")</f>
        <v>https://www.lazada.vn/products/chon-giao-2h-kem-que-oreo-vi-bac-ha-nestle-i2299421871.html</v>
      </c>
      <c r="C1471" s="10" t="s">
        <v>1471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8">
        <v>6326.0</v>
      </c>
      <c r="B1472" s="9" t="str">
        <f>HYPERLINK("https://www.lazada.vn/products/zibu-1-thung-bia-corny-khoa-khilong-ngat-ket-noi-cho-bia-nha-kieu-cornelius-i3018593514.html", "https://www.lazada.vn/products/zibu-1-thung-bia-corny-khoa-khilong-ngat-ket-noi-cho-bia-nha-kieu-cornelius-i3018593514.html")</f>
        <v>https://www.lazada.vn/products/zibu-1-thung-bia-corny-khoa-khilong-ngat-ket-noi-cho-bia-nha-kieu-cornelius-i3018593514.html</v>
      </c>
      <c r="C1472" s="10" t="s">
        <v>1472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8">
        <v>6327.0</v>
      </c>
      <c r="B1473" s="9" t="str">
        <f>HYPERLINK("https://www.lazada.vn/products/bo-suu-tap-trai-cay-kho-ran-tu-nhien-dried-pineapple-block-snack-cho-van-phong-va-tre-em-snack-giai-tri-khong-co-chat-bao-quan-i2923896075.html", "https://www.lazada.vn/products/bo-suu-tap-trai-cay-kho-ran-tu-nhien-dried-pineapple-block-snack-cho-van-phong-va-tre-em-snack-giai-tri-khong-co-chat-bao-quan-i2923896075.html")</f>
        <v>https://www.lazada.vn/products/bo-suu-tap-trai-cay-kho-ran-tu-nhien-dried-pineapple-block-snack-cho-van-phong-va-tre-em-snack-giai-tri-khong-co-chat-bao-quan-i2923896075.html</v>
      </c>
      <c r="C1473" s="10" t="s">
        <v>1473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8">
        <v>6328.0</v>
      </c>
      <c r="B1474" s="9" t="str">
        <f>HYPERLINK("https://www.lazada.vn/products/bang-qua-kho-500g-bang-qua-dong-kho-cam-chanh-tra-sliced-lemon-dried-fruit-snack-candy-fruit-candy-dried-fruit-i2923893073.html", "https://www.lazada.vn/products/bang-qua-kho-500g-bang-qua-dong-kho-cam-chanh-tra-sliced-lemon-dried-fruit-snack-candy-fruit-candy-dried-fruit-i2923893073.html")</f>
        <v>https://www.lazada.vn/products/bang-qua-kho-500g-bang-qua-dong-kho-cam-chanh-tra-sliced-lemon-dried-fruit-snack-candy-fruit-candy-dried-fruit-i2923893073.html</v>
      </c>
      <c r="C1474" s="10" t="s">
        <v>1474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8">
        <v>6329.0</v>
      </c>
      <c r="B1475" s="9" t="str">
        <f>HYPERLINK("https://www.lazada.vn/products/tac-xi-muoi-tay-do-900g-vina-nuoc-giai-khat-i2860619377.html", "https://www.lazada.vn/products/tac-xi-muoi-tay-do-900g-vina-nuoc-giai-khat-i2860619377.html")</f>
        <v>https://www.lazada.vn/products/tac-xi-muoi-tay-do-900g-vina-nuoc-giai-khat-i2860619377.html</v>
      </c>
      <c r="C1475" s="10" t="s">
        <v>1475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8">
        <v>6330.0</v>
      </c>
      <c r="B1476" s="9" t="str">
        <f>HYPERLINK("https://www.lazada.vn/products/bo-suu-tap-trai-cay-va-rau-cu-kho-da-dang-50g5-tui-trai-cay-dong-lanh-va-rau-cu-kho-ngay-lap-tuc-an-lien-kho-nhe-nhang-huong-vi-tuoi-mat-i2923887067.html", "https://www.lazada.vn/products/bo-suu-tap-trai-cay-va-rau-cu-kho-da-dang-50g5-tui-trai-cay-dong-lanh-va-rau-cu-kho-ngay-lap-tuc-an-lien-kho-nhe-nhang-huong-vi-tuoi-mat-i2923887067.html")</f>
        <v>https://www.lazada.vn/products/bo-suu-tap-trai-cay-va-rau-cu-kho-da-dang-50g5-tui-trai-cay-dong-lanh-va-rau-cu-kho-ngay-lap-tuc-an-lien-kho-nhe-nhang-huong-vi-tuoi-mat-i2923887067.html</v>
      </c>
      <c r="C1476" s="10" t="s">
        <v>1476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8">
        <v>6331.0</v>
      </c>
      <c r="B1477" s="9" t="str">
        <f>HYPERLINK("https://www.lazada.vn/products/1kg-cu-khoai-mon-trang-i3053450147.html", "https://www.lazada.vn/products/1kg-cu-khoai-mon-trang-i3053450147.html")</f>
        <v>https://www.lazada.vn/products/1kg-cu-khoai-mon-trang-i3053450147.html</v>
      </c>
      <c r="C1477" s="10" t="s">
        <v>1477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8">
        <v>6332.0</v>
      </c>
      <c r="B1478" s="9" t="str">
        <f>HYPERLINK("https://www.lazada.vn/products/loc-5-goi-mi-kho-samyang-cream-samyang-cream-carbonara-mi-samyang-cream-samyang-cream-mi-sot-kem-carbonara-samyang-i2934377394.html", "https://www.lazada.vn/products/loc-5-goi-mi-kho-samyang-cream-samyang-cream-carbonara-mi-samyang-cream-samyang-cream-mi-sot-kem-carbonara-samyang-i2934377394.html")</f>
        <v>https://www.lazada.vn/products/loc-5-goi-mi-kho-samyang-cream-samyang-cream-carbonara-mi-samyang-cream-samyang-cream-mi-sot-kem-carbonara-samyang-i2934377394.html</v>
      </c>
      <c r="C1478" s="10" t="s">
        <v>1478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8">
        <v>6333.0</v>
      </c>
      <c r="B1479" s="9" t="str">
        <f>HYPERLINK("https://www.lazada.vn/products/siro-carisa-chai-680g-i2675322621.html", "https://www.lazada.vn/products/siro-carisa-chai-680g-i2675322621.html")</f>
        <v>https://www.lazada.vn/products/siro-carisa-chai-680g-i2675322621.html</v>
      </c>
      <c r="C1479" s="10" t="s">
        <v>1479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8">
        <v>6334.0</v>
      </c>
      <c r="B1480" s="9" t="str">
        <f>HYPERLINK("https://www.lazada.vn/products/socola-nama-tuoi-1-hop-408-gram-80-vien-nho-xinh-de-an-sieu-chat-luong-cong-thuc-nhat-ban-i2957788713.html", "https://www.lazada.vn/products/socola-nama-tuoi-1-hop-408-gram-80-vien-nho-xinh-de-an-sieu-chat-luong-cong-thuc-nhat-ban-i2957788713.html")</f>
        <v>https://www.lazada.vn/products/socola-nama-tuoi-1-hop-408-gram-80-vien-nho-xinh-de-an-sieu-chat-luong-cong-thuc-nhat-ban-i2957788713.html</v>
      </c>
      <c r="C1480" s="10" t="s">
        <v>1480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8">
        <v>6335.0</v>
      </c>
      <c r="B1481" s="9" t="str">
        <f>HYPERLINK("https://www.lazada.vn/products/mua-2-tang-1-bo-2-chen-in-hoa-van-hien-dai-1-bich-30-goi-lon-x-29-ggoi-ca-phe-sua-da-maccoffee-cafe-pho-gold-3in-1-su-ket-hop-tinh-te-giua-huong-vi-dang-ngat-cua-ca-phe-rang-xayi-tao-nen-vi-ca-phe-muot-ma-sanh-dam-i279626634", "https://www.lazada.vn/products/mua-2-tang-1-bo-2-chen-in-hoa-van-hien-dai-1-bich-30-goi-lon-x-29-ggoi-ca-phe-sua-da-maccoffee-cafe-pho-gold-3in-1-su-ket-hop-tinh-te-giua-huong-vi-dang-ngat-cua-ca-phe-rang-xayi-tao-nen-vi-ca-phe-muot-ma-sanh-dam-i279626634")</f>
        <v>https://www.lazada.vn/products/mua-2-tang-1-bo-2-chen-in-hoa-van-hien-dai-1-bich-30-goi-lon-x-29-ggoi-ca-phe-sua-da-maccoffee-cafe-pho-gold-3in-1-su-ket-hop-tinh-te-giua-huong-vi-dang-ngat-cua-ca-phe-rang-xayi-tao-nen-vi-ca-phe-muot-ma-sanh-dam-i279626634</v>
      </c>
      <c r="C1481" s="10" t="s">
        <v>1481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8">
        <v>6336.0</v>
      </c>
      <c r="B1482" s="9" t="str">
        <f>HYPERLINK("https://www.lazada.vn/products/ruou-vang-chi-le-undurraga-th-terroir-hunter-maipo-cabernet-sauvignon-i2797437673.html", "https://www.lazada.vn/products/ruou-vang-chi-le-undurraga-th-terroir-hunter-maipo-cabernet-sauvignon-i2797437673.html")</f>
        <v>https://www.lazada.vn/products/ruou-vang-chi-le-undurraga-th-terroir-hunter-maipo-cabernet-sauvignon-i2797437673.html</v>
      </c>
      <c r="C1482" s="10" t="s">
        <v>1482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8">
        <v>6337.0</v>
      </c>
      <c r="B1483" s="9" t="str">
        <f>HYPERLINK("https://www.lazada.vn/products/hang-moi-ve-bot-rau-cau-soc-vang-goi-12g-set-nguyen-lieu-pha-che-hucha-i2766852392.html", "https://www.lazada.vn/products/hang-moi-ve-bot-rau-cau-soc-vang-goi-12g-set-nguyen-lieu-pha-che-hucha-i2766852392.html")</f>
        <v>https://www.lazada.vn/products/hang-moi-ve-bot-rau-cau-soc-vang-goi-12g-set-nguyen-lieu-pha-che-hucha-i2766852392.html</v>
      </c>
      <c r="C1483" s="10" t="s">
        <v>1483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8">
        <v>6338.0</v>
      </c>
      <c r="B1484" s="9" t="str">
        <f>HYPERLINK("https://www.lazada.vn/products/banh-mi-cuon-trung-brutto-sot-bo-ruoc-man-i2797227098.html", "https://www.lazada.vn/products/banh-mi-cuon-trung-brutto-sot-bo-ruoc-man-i2797227098.html")</f>
        <v>https://www.lazada.vn/products/banh-mi-cuon-trung-brutto-sot-bo-ruoc-man-i2797227098.html</v>
      </c>
      <c r="C1484" s="10" t="s">
        <v>1484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8">
        <v>6339.0</v>
      </c>
      <c r="B1485" s="9" t="str">
        <f>HYPERLINK("https://www.lazada.vn/products/ban-si-snack-gan-ga-nong-sot-ba-anh-em-foods-bich-30-goi-cay-cay-thom-ngon-do-an-vat-cong-truong-hot-nhat-i2723590508.html", "https://www.lazada.vn/products/ban-si-snack-gan-ga-nong-sot-ba-anh-em-foods-bich-30-goi-cay-cay-thom-ngon-do-an-vat-cong-truong-hot-nhat-i2723590508.html")</f>
        <v>https://www.lazada.vn/products/ban-si-snack-gan-ga-nong-sot-ba-anh-em-foods-bich-30-goi-cay-cay-thom-ngon-do-an-vat-cong-truong-hot-nhat-i2723590508.html</v>
      </c>
      <c r="C1485" s="10" t="s">
        <v>1485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8">
        <v>6340.0</v>
      </c>
      <c r="B1486" s="9" t="str">
        <f>HYPERLINK("https://www.lazada.vn/products/dong-trung-ha-thao-tu-nhien-cao-cap-say-kho-set-20g-i2760087380.html", "https://www.lazada.vn/products/dong-trung-ha-thao-tu-nhien-cao-cap-say-kho-set-20g-i2760087380.html")</f>
        <v>https://www.lazada.vn/products/dong-trung-ha-thao-tu-nhien-cao-cap-say-kho-set-20g-i2760087380.html</v>
      </c>
      <c r="C1486" s="10" t="s">
        <v>1486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8">
        <v>6341.0</v>
      </c>
      <c r="B1487" s="9" t="str">
        <f>HYPERLINK("https://www.lazada.vn/products/hu-50-cai-banh-oc-que-gion-an-kem-i1537385354.html", "https://www.lazada.vn/products/hu-50-cai-banh-oc-que-gion-an-kem-i1537385354.html")</f>
        <v>https://www.lazada.vn/products/hu-50-cai-banh-oc-que-gion-an-kem-i1537385354.html</v>
      </c>
      <c r="C1487" s="10" t="s">
        <v>1487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8">
        <v>6342.0</v>
      </c>
      <c r="B1488" s="9" t="str">
        <f>HYPERLINK("https://www.lazada.vn/products/ruou-vang-phap-france-maison-cabernet-sauvignon-750ml-135-i2278613752.html", "https://www.lazada.vn/products/ruou-vang-phap-france-maison-cabernet-sauvignon-750ml-135-i2278613752.html")</f>
        <v>https://www.lazada.vn/products/ruou-vang-phap-france-maison-cabernet-sauvignon-750ml-135-i2278613752.html</v>
      </c>
      <c r="C1488" s="10" t="s">
        <v>1488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8">
        <v>6343.0</v>
      </c>
      <c r="B1489" s="9" t="str">
        <f>HYPERLINK("https://www.lazada.vn/products/set-nau-che-duong-nhan-size-lon-690gram-danh-cho-gia-dinh-set-che-nha-nau-i2616915622.html", "https://www.lazada.vn/products/set-nau-che-duong-nhan-size-lon-690gram-danh-cho-gia-dinh-set-che-nha-nau-i2616915622.html")</f>
        <v>https://www.lazada.vn/products/set-nau-che-duong-nhan-size-lon-690gram-danh-cho-gia-dinh-set-che-nha-nau-i2616915622.html</v>
      </c>
      <c r="C1489" s="10" t="s">
        <v>1489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8">
        <v>6344.0</v>
      </c>
      <c r="B1490" s="9" t="str">
        <f>HYPERLINK("https://www.lazada.vn/products/5-thanh-xien-vungmieng-vung-anh-that-shop-tu-chup-i1679258895.html", "https://www.lazada.vn/products/5-thanh-xien-vungmieng-vung-anh-that-shop-tu-chup-i1679258895.html")</f>
        <v>https://www.lazada.vn/products/5-thanh-xien-vungmieng-vung-anh-that-shop-tu-chup-i1679258895.html</v>
      </c>
      <c r="C1490" s="10" t="s">
        <v>1490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8">
        <v>6345.0</v>
      </c>
      <c r="B1491" s="9" t="str">
        <f>HYPERLINK("https://www.lazada.vn/products/bot-cacao-malaysia-goi-dangngot-500g-i2437691502.html", "https://www.lazada.vn/products/bot-cacao-malaysia-goi-dangngot-500g-i2437691502.html")</f>
        <v>https://www.lazada.vn/products/bot-cacao-malaysia-goi-dangngot-500g-i2437691502.html</v>
      </c>
      <c r="C1491" s="10" t="s">
        <v>1491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8">
        <v>6346.0</v>
      </c>
      <c r="B1492" s="9" t="str">
        <f>HYPERLINK("https://www.lazada.vn/products/combo-2-hop-kenju-rau-cu-banh-quy-rau-cu-banh-an-sang-hop-giay-288g-i2933735409.html", "https://www.lazada.vn/products/combo-2-hop-kenju-rau-cu-banh-quy-rau-cu-banh-an-sang-hop-giay-288g-i2933735409.html")</f>
        <v>https://www.lazada.vn/products/combo-2-hop-kenju-rau-cu-banh-quy-rau-cu-banh-an-sang-hop-giay-288g-i2933735409.html</v>
      </c>
      <c r="C1492" s="10" t="s">
        <v>1492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8">
        <v>6347.0</v>
      </c>
      <c r="B1493" s="9" t="str">
        <f>HYPERLINK("https://www.lazada.vn/products/mi-cay-han-quoc-pho-mai-hong-combo-5-goi-my-cay-an-vat-han-quoc-dac-san-3-mien-dasa3mi-i1359310008.html", "https://www.lazada.vn/products/mi-cay-han-quoc-pho-mai-hong-combo-5-goi-my-cay-an-vat-han-quoc-dac-san-3-mien-dasa3mi-i1359310008.html")</f>
        <v>https://www.lazada.vn/products/mi-cay-han-quoc-pho-mai-hong-combo-5-goi-my-cay-an-vat-han-quoc-dac-san-3-mien-dasa3mi-i1359310008.html</v>
      </c>
      <c r="C1493" s="10" t="s">
        <v>1493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8">
        <v>6348.0</v>
      </c>
      <c r="B1494" s="9" t="str">
        <f>HYPERLINK("https://www.lazada.vn/products/coca-nhat-phien-ban-lon-mini-160ml-i2651661233.html", "https://www.lazada.vn/products/coca-nhat-phien-ban-lon-mini-160ml-i2651661233.html")</f>
        <v>https://www.lazada.vn/products/coca-nhat-phien-ban-lon-mini-160ml-i2651661233.html</v>
      </c>
      <c r="C1494" s="10" t="s">
        <v>1494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8">
        <v>6349.0</v>
      </c>
      <c r="B1495" s="9" t="str">
        <f>HYPERLINK("https://www.lazada.vn/products/ruou-vang-trang-nouvo-sangria-vi-trai-cay-7vol-_750mlchai-i2262174654.html", "https://www.lazada.vn/products/ruou-vang-trang-nouvo-sangria-vi-trai-cay-7vol-_750mlchai-i2262174654.html")</f>
        <v>https://www.lazada.vn/products/ruou-vang-trang-nouvo-sangria-vi-trai-cay-7vol-_750mlchai-i2262174654.html</v>
      </c>
      <c r="C1495" s="10" t="s">
        <v>1495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8">
        <v>6350.0</v>
      </c>
      <c r="B1496" s="9" t="str">
        <f>HYPERLINK("https://www.lazada.vn/products/singleton-12y-700ml-i2650123016.html", "https://www.lazada.vn/products/singleton-12y-700ml-i2650123016.html")</f>
        <v>https://www.lazada.vn/products/singleton-12y-700ml-i2650123016.html</v>
      </c>
      <c r="C1496" s="10" t="s">
        <v>1496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8">
        <v>6351.0</v>
      </c>
      <c r="B1497" s="9" t="str">
        <f>HYPERLINK("https://www.lazada.vn/products/pho-mai-lat-burger-chesdale-newzealand-200g-i2109438606.html", "https://www.lazada.vn/products/pho-mai-lat-burger-chesdale-newzealand-200g-i2109438606.html")</f>
        <v>https://www.lazada.vn/products/pho-mai-lat-burger-chesdale-newzealand-200g-i2109438606.html</v>
      </c>
      <c r="C1497" s="10" t="s">
        <v>1497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8">
        <v>6352.0</v>
      </c>
      <c r="B1498" s="9" t="str">
        <f>HYPERLINK("https://www.lazada.vn/products/keo-deo-boc-vo-trai-cay-panda-mix-17-vi-i2860335871.html", "https://www.lazada.vn/products/keo-deo-boc-vo-trai-cay-panda-mix-17-vi-i2860335871.html")</f>
        <v>https://www.lazada.vn/products/keo-deo-boc-vo-trai-cay-panda-mix-17-vi-i2860335871.html</v>
      </c>
      <c r="C1498" s="10" t="s">
        <v>1498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8">
        <v>6353.0</v>
      </c>
      <c r="B1499" s="9" t="str">
        <f>HYPERLINK("https://www.lazada.vn/products/khoai-tay-say-trung-muoi-100g-250g-500g-i2880726556.html", "https://www.lazada.vn/products/khoai-tay-say-trung-muoi-100g-250g-500g-i2880726556.html")</f>
        <v>https://www.lazada.vn/products/khoai-tay-say-trung-muoi-100g-250g-500g-i2880726556.html</v>
      </c>
      <c r="C1499" s="10" t="s">
        <v>1499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8">
        <v>6354.0</v>
      </c>
      <c r="B1500" s="9" t="str">
        <f>HYPERLINK("https://www.lazada.vn/products/hop-banh-kenju-rau-cu-banh-quy-rau-cu-banh-an-sang-hop-giay-288g-i2933710657.html", "https://www.lazada.vn/products/hop-banh-kenju-rau-cu-banh-quy-rau-cu-banh-an-sang-hop-giay-288g-i2933710657.html")</f>
        <v>https://www.lazada.vn/products/hop-banh-kenju-rau-cu-banh-quy-rau-cu-banh-an-sang-hop-giay-288g-i2933710657.html</v>
      </c>
      <c r="C1500" s="10" t="s">
        <v>1500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8">
        <v>6355.0</v>
      </c>
      <c r="B1501" s="9" t="str">
        <f>HYPERLINK("https://www.lazada.vn/products/banh-muc-bento-thai-lan-lehanh-gia-si-1-goi-i2880511973.html", "https://www.lazada.vn/products/banh-muc-bento-thai-lan-lehanh-gia-si-1-goi-i2880511973.html")</f>
        <v>https://www.lazada.vn/products/banh-muc-bento-thai-lan-lehanh-gia-si-1-goi-i2880511973.html</v>
      </c>
      <c r="C1501" s="10" t="s">
        <v>1501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8">
        <v>6356.0</v>
      </c>
      <c r="B1502" s="9" t="str">
        <f>HYPERLINK("https://www.lazada.vn/products/mini-mat-ong-yakgwa-70g-banh-ngot-truyen-thong-han-quoc-tu-bot-mi-i2294657785.html", "https://www.lazada.vn/products/mini-mat-ong-yakgwa-70g-banh-ngot-truyen-thong-han-quoc-tu-bot-mi-i2294657785.html")</f>
        <v>https://www.lazada.vn/products/mini-mat-ong-yakgwa-70g-banh-ngot-truyen-thong-han-quoc-tu-bot-mi-i2294657785.html</v>
      </c>
      <c r="C1502" s="10" t="s">
        <v>1502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8">
        <v>6357.0</v>
      </c>
      <c r="B1503" s="9" t="str">
        <f>HYPERLINK("https://www.lazada.vn/products/coop-online-nuoc-ep-kiwi-tao-vfresh-vinamilk-hop-1l-i2860315400.html", "https://www.lazada.vn/products/coop-online-nuoc-ep-kiwi-tao-vfresh-vinamilk-hop-1l-i2860315400.html")</f>
        <v>https://www.lazada.vn/products/coop-online-nuoc-ep-kiwi-tao-vfresh-vinamilk-hop-1l-i2860315400.html</v>
      </c>
      <c r="C1503" s="10" t="s">
        <v>1503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8">
        <v>6358.0</v>
      </c>
      <c r="B1504" s="9" t="str">
        <f>HYPERLINK("https://www.lazada.vn/products/dongxing-1-thung-bia-corny-khoa-khilong-ngat-ket-noi-cho-bia-nha-kieu-cornelius-i3017603038.html", "https://www.lazada.vn/products/dongxing-1-thung-bia-corny-khoa-khilong-ngat-ket-noi-cho-bia-nha-kieu-cornelius-i3017603038.html")</f>
        <v>https://www.lazada.vn/products/dongxing-1-thung-bia-corny-khoa-khilong-ngat-ket-noi-cho-bia-nha-kieu-cornelius-i3017603038.html</v>
      </c>
      <c r="C1504" s="10" t="s">
        <v>1504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8">
        <v>6359.0</v>
      </c>
      <c r="B1505" s="9" t="str">
        <f>HYPERLINK("https://www.lazada.vn/products/combo-1-chiec-chan-ga-x2-2-chan-1-tui-master-ca-sieu-thom-ngon-hap-dan-dai-gion-thom-ngon-i3053336962.html", "https://www.lazada.vn/products/combo-1-chiec-chan-ga-x2-2-chan-1-tui-master-ca-sieu-thom-ngon-hap-dan-dai-gion-thom-ngon-i3053336962.html")</f>
        <v>https://www.lazada.vn/products/combo-1-chiec-chan-ga-x2-2-chan-1-tui-master-ca-sieu-thom-ngon-hap-dan-dai-gion-thom-ngon-i3053336962.html</v>
      </c>
      <c r="C1505" s="10" t="s">
        <v>1505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8">
        <v>6360.0</v>
      </c>
      <c r="B1506" s="9" t="str">
        <f>HYPERLINK("https://www.lazada.vn/products/pate-nam-lion-mane-pate-hat-ngu-coc-thuc-pham-thuan-chay-huu-co-125g-tot-cho-nguoi-giam-can-tap-gym-healthy-i3053299792.html", "https://www.lazada.vn/products/pate-nam-lion-mane-pate-hat-ngu-coc-thuc-pham-thuan-chay-huu-co-125g-tot-cho-nguoi-giam-can-tap-gym-healthy-i3053299792.html")</f>
        <v>https://www.lazada.vn/products/pate-nam-lion-mane-pate-hat-ngu-coc-thuc-pham-thuan-chay-huu-co-125g-tot-cho-nguoi-giam-can-tap-gym-healthy-i3053299792.html</v>
      </c>
      <c r="C1506" s="10" t="s">
        <v>1506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8">
        <v>6361.0</v>
      </c>
      <c r="B1507" s="9" t="str">
        <f>HYPERLINK("https://www.lazada.vn/products/si-1-thung-24-lon-bia-tsingtao-bia-thanh-dao-giai-khat-giai-nhiet-i2941709289.html", "https://www.lazada.vn/products/si-1-thung-24-lon-bia-tsingtao-bia-thanh-dao-giai-khat-giai-nhiet-i2941709289.html")</f>
        <v>https://www.lazada.vn/products/si-1-thung-24-lon-bia-tsingtao-bia-thanh-dao-giai-khat-giai-nhiet-i2941709289.html</v>
      </c>
      <c r="C1507" s="10" t="s">
        <v>1507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8">
        <v>6362.0</v>
      </c>
      <c r="B1508" s="9" t="str">
        <f>HYPERLINK("https://www.lazada.vn/products/dac-san-suon-non-chay-ram-me-gion-an-lien-2-goi-400g-i2933519146.html", "https://www.lazada.vn/products/dac-san-suon-non-chay-ram-me-gion-an-lien-2-goi-400g-i2933519146.html")</f>
        <v>https://www.lazada.vn/products/dac-san-suon-non-chay-ram-me-gion-an-lien-2-goi-400g-i2933519146.html</v>
      </c>
      <c r="C1508" s="10" t="s">
        <v>1508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8">
        <v>6363.0</v>
      </c>
      <c r="B1509" s="9" t="str">
        <f>HYPERLINK("https://www.lazada.vn/products/5-lit-1-boong-5-lit-bia-trung-quoc-co-lao-gia-wojiabo-i2941701294.html", "https://www.lazada.vn/products/5-lit-1-boong-5-lit-bia-trung-quoc-co-lao-gia-wojiabo-i2941701294.html")</f>
        <v>https://www.lazada.vn/products/5-lit-1-boong-5-lit-bia-trung-quoc-co-lao-gia-wojiabo-i2941701294.html</v>
      </c>
      <c r="C1509" s="10" t="s">
        <v>1509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8">
        <v>6364.0</v>
      </c>
      <c r="B1510" s="9" t="str">
        <f>HYPERLINK("https://www.lazada.vn/products/siro-carisa-chai-680g-viet-quat-i2675321530.html", "https://www.lazada.vn/products/siro-carisa-chai-680g-viet-quat-i2675321530.html")</f>
        <v>https://www.lazada.vn/products/siro-carisa-chai-680g-viet-quat-i2675321530.html</v>
      </c>
      <c r="C1510" s="10" t="s">
        <v>1510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8">
        <v>6365.0</v>
      </c>
      <c r="B1511" s="9" t="str">
        <f>HYPERLINK("https://www.lazada.vn/products/ruou-vang-y-tommasi-amarone-della-valpolicella-classico-i2797431807.html", "https://www.lazada.vn/products/ruou-vang-y-tommasi-amarone-della-valpolicella-classico-i2797431807.html")</f>
        <v>https://www.lazada.vn/products/ruou-vang-y-tommasi-amarone-della-valpolicella-classico-i2797431807.html</v>
      </c>
      <c r="C1511" s="10" t="s">
        <v>1511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8">
        <v>6366.0</v>
      </c>
      <c r="B1512" s="9" t="str">
        <f>HYPERLINK("https://www.lazada.vn/products/le-chon-vi-socola-mieng-vuong-ghirardelli-macchiato-dark-60-raspberry-caramel-peppermint-sea-salt-15g-i2956340571.html", "https://www.lazada.vn/products/le-chon-vi-socola-mieng-vuong-ghirardelli-macchiato-dark-60-raspberry-caramel-peppermint-sea-salt-15g-i2956340571.html")</f>
        <v>https://www.lazada.vn/products/le-chon-vi-socola-mieng-vuong-ghirardelli-macchiato-dark-60-raspberry-caramel-peppermint-sea-salt-15g-i2956340571.html</v>
      </c>
      <c r="C1512" s="10" t="s">
        <v>1512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8">
        <v>6367.0</v>
      </c>
      <c r="B1513" s="9" t="str">
        <f>HYPERLINK("https://www.lazada.vn/products/ca-phe-hoa-tan-3-in1-vinacafe-gold-24-goi-x-20g-i2796090284.html", "https://www.lazada.vn/products/ca-phe-hoa-tan-3-in1-vinacafe-gold-24-goi-x-20g-i2796090284.html")</f>
        <v>https://www.lazada.vn/products/ca-phe-hoa-tan-3-in1-vinacafe-gold-24-goi-x-20g-i2796090284.html</v>
      </c>
      <c r="C1513" s="10" t="s">
        <v>1513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8">
        <v>6368.0</v>
      </c>
      <c r="B1514" s="9" t="str">
        <f>HYPERLINK("https://www.lazada.vn/products/bot-kem-beo-pha-tra-sua-b-one-bone-thai-lan-tui-1kg-i2766192699.html", "https://www.lazada.vn/products/bot-kem-beo-pha-tra-sua-b-one-bone-thai-lan-tui-1kg-i2766192699.html")</f>
        <v>https://www.lazada.vn/products/bot-kem-beo-pha-tra-sua-b-one-bone-thai-lan-tui-1kg-i2766192699.html</v>
      </c>
      <c r="C1514" s="10" t="s">
        <v>1514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8">
        <v>6369.0</v>
      </c>
      <c r="B1515" s="9" t="str">
        <f>HYPERLINK("https://www.lazada.vn/products/combo-5goi-banh-mi-kido-bo-sua-la-dua-i2796161205.html", "https://www.lazada.vn/products/combo-5goi-banh-mi-kido-bo-sua-la-dua-i2796161205.html")</f>
        <v>https://www.lazada.vn/products/combo-5goi-banh-mi-kido-bo-sua-la-dua-i2796161205.html</v>
      </c>
      <c r="C1515" s="10" t="s">
        <v>1515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8">
        <v>6370.0</v>
      </c>
      <c r="B1516" s="9" t="str">
        <f>HYPERLINK("https://www.lazada.vn/products/200gr-banh-quay-dui-ga-cay-mann-i2716270999.html", "https://www.lazada.vn/products/200gr-banh-quay-dui-ga-cay-mann-i2716270999.html")</f>
        <v>https://www.lazada.vn/products/200gr-banh-quay-dui-ga-cay-mann-i2716270999.html</v>
      </c>
      <c r="C1516" s="10" t="s">
        <v>1516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8">
        <v>6371.0</v>
      </c>
      <c r="B1517" s="9" t="str">
        <f>HYPERLINK("https://www.lazada.vn/products/che-duong-nhan-14-vi-co-que-hoa-thuong-hang-set-500g-nau-duoc-30-35-chen-i2760084286.html", "https://www.lazada.vn/products/che-duong-nhan-14-vi-co-que-hoa-thuong-hang-set-500g-nau-duoc-30-35-chen-i2760084286.html")</f>
        <v>https://www.lazada.vn/products/che-duong-nhan-14-vi-co-que-hoa-thuong-hang-set-500g-nau-duoc-30-35-chen-i2760084286.html</v>
      </c>
      <c r="C1517" s="10" t="s">
        <v>1517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8">
        <v>6372.0</v>
      </c>
      <c r="B1518" s="9" t="str">
        <f>HYPERLINK("https://www.lazada.vn/products/hu-42-cai-banh-oc-que-gion-an-kem-i1537369281.html", "https://www.lazada.vn/products/hu-42-cai-banh-oc-que-gion-an-kem-i1537369281.html")</f>
        <v>https://www.lazada.vn/products/hu-42-cai-banh-oc-que-gion-an-kem-i1537369281.html</v>
      </c>
      <c r="C1518" s="10" t="s">
        <v>1518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8">
        <v>6373.0</v>
      </c>
      <c r="B1519" s="9" t="str">
        <f>HYPERLINK("https://www.lazada.vn/products/vang-y-1933-topaz-igt-750ml-14-i2275589625.html", "https://www.lazada.vn/products/vang-y-1933-topaz-igt-750ml-14-i2275589625.html")</f>
        <v>https://www.lazada.vn/products/vang-y-1933-topaz-igt-750ml-14-i2275589625.html</v>
      </c>
      <c r="C1519" s="10" t="s">
        <v>1519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8">
        <v>6374.0</v>
      </c>
      <c r="B1520" s="9" t="str">
        <f>HYPERLINK("https://www.lazada.vn/products/bao-25kg-5kkg-bot-da-caco3-1kg-i2433134767.html", "https://www.lazada.vn/products/bao-25kg-5kkg-bot-da-caco3-1kg-i2433134767.html")</f>
        <v>https://www.lazada.vn/products/bao-25kg-5kkg-bot-da-caco3-1kg-i2433134767.html</v>
      </c>
      <c r="C1520" s="10" t="s">
        <v>1520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8">
        <v>6375.0</v>
      </c>
      <c r="B1521" s="9" t="str">
        <f>HYPERLINK("https://www.lazada.vn/products/1kg-tai-heo-sot-mam-cay-loai-dac-biet-do-an-vat-yoyo-an-la-me-ngon-bo-re-i1669207758.html", "https://www.lazada.vn/products/1kg-tai-heo-sot-mam-cay-loai-dac-biet-do-an-vat-yoyo-an-la-me-ngon-bo-re-i1669207758.html")</f>
        <v>https://www.lazada.vn/products/1kg-tai-heo-sot-mam-cay-loai-dac-biet-do-an-vat-yoyo-an-la-me-ngon-bo-re-i1669207758.html</v>
      </c>
      <c r="C1521" s="10" t="s">
        <v>1521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8">
        <v>6376.0</v>
      </c>
      <c r="B1522" s="9" t="str">
        <f>HYPERLINK("https://www.lazada.vn/products/thach-sua-chua-pho-mai-zai-zai-duc-hanh-hop-6-hu-sieu-ngon-i2611938010.html", "https://www.lazada.vn/products/thach-sua-chua-pho-mai-zai-zai-duc-hanh-hop-6-hu-sieu-ngon-i2611938010.html")</f>
        <v>https://www.lazada.vn/products/thach-sua-chua-pho-mai-zai-zai-duc-hanh-hop-6-hu-sieu-ngon-i2611938010.html</v>
      </c>
      <c r="C1522" s="10" t="s">
        <v>1522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8">
        <v>6377.0</v>
      </c>
      <c r="B1523" s="9" t="str">
        <f>HYPERLINK("https://www.lazada.vn/products/mi-cay-samyang-han-quoc-vi-pho-mai-vang-my-phomai-dasa3mi-goi-140g-dac-san-3-mien-dasa3mi-i1359133904.html", "https://www.lazada.vn/products/mi-cay-samyang-han-quoc-vi-pho-mai-vang-my-phomai-dasa3mi-goi-140g-dac-san-3-mien-dasa3mi-i1359133904.html")</f>
        <v>https://www.lazada.vn/products/mi-cay-samyang-han-quoc-vi-pho-mai-vang-my-phomai-dasa3mi-goi-140g-dac-san-3-mien-dasa3mi-i1359133904.html</v>
      </c>
      <c r="C1523" s="10" t="s">
        <v>1523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8">
        <v>6378.0</v>
      </c>
      <c r="B1524" s="9" t="str">
        <f>HYPERLINK("https://www.lazada.vn/products/nuoc-ngot-cocacola-nhat-thung-24-chai-300ml-i2651630299.html", "https://www.lazada.vn/products/nuoc-ngot-cocacola-nhat-thung-24-chai-300ml-i2651630299.html")</f>
        <v>https://www.lazada.vn/products/nuoc-ngot-cocacola-nhat-thung-24-chai-300ml-i2651630299.html</v>
      </c>
      <c r="C1524" s="10" t="s">
        <v>1524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8">
        <v>6379.0</v>
      </c>
      <c r="B1525" s="9" t="str">
        <f>HYPERLINK("https://www.lazada.vn/products/banh-quy-bo-danisa-hop-thiec-200gram-454gram-i2932566169.html", "https://www.lazada.vn/products/banh-quy-bo-danisa-hop-thiec-200gram-454gram-i2932566169.html")</f>
        <v>https://www.lazada.vn/products/banh-quy-bo-danisa-hop-thiec-200gram-454gram-i2932566169.html</v>
      </c>
      <c r="C1525" s="10" t="s">
        <v>1525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8">
        <v>6380.0</v>
      </c>
      <c r="B1526" s="9" t="str">
        <f>HYPERLINK("https://www.lazada.vn/products/ruou-vang-trang-patriarche-bourgogne-chardonnay-alc-125-750ml-i2256734516.html", "https://www.lazada.vn/products/ruou-vang-trang-patriarche-bourgogne-chardonnay-alc-125-750ml-i2256734516.html")</f>
        <v>https://www.lazada.vn/products/ruou-vang-trang-patriarche-bourgogne-chardonnay-alc-125-750ml-i2256734516.html</v>
      </c>
      <c r="C1526" s="10" t="s">
        <v>1526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8">
        <v>6381.0</v>
      </c>
      <c r="B1527" s="9" t="str">
        <f>HYPERLINK("https://www.lazada.vn/products/nuoc-tang-luc-abben-chai-330ml-cty-bat-muoi-i2647728550.html", "https://www.lazada.vn/products/nuoc-tang-luc-abben-chai-330ml-cty-bat-muoi-i2647728550.html")</f>
        <v>https://www.lazada.vn/products/nuoc-tang-luc-abben-chai-330ml-cty-bat-muoi-i2647728550.html</v>
      </c>
      <c r="C1527" s="10" t="s">
        <v>1527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8">
        <v>6382.0</v>
      </c>
      <c r="B1528" s="9" t="str">
        <f>HYPERLINK("https://www.lazada.vn/products/pho-mai-lat-burger-chesdale-newzealand-200g-i2109410770.html", "https://www.lazada.vn/products/pho-mai-lat-burger-chesdale-newzealand-200g-i2109410770.html")</f>
        <v>https://www.lazada.vn/products/pho-mai-lat-burger-chesdale-newzealand-200g-i2109410770.html</v>
      </c>
      <c r="C1528" s="10" t="s">
        <v>1528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8">
        <v>6383.0</v>
      </c>
      <c r="B1529" s="9" t="str">
        <f>HYPERLINK("https://www.lazada.vn/products/coop-online-keo-deo-alpenliebe-jelly-tim-dao-ngot-ngao-goi-56g-i2860331315.html", "https://www.lazada.vn/products/coop-online-keo-deo-alpenliebe-jelly-tim-dao-ngot-ngao-goi-56g-i2860331315.html")</f>
        <v>https://www.lazada.vn/products/coop-online-keo-deo-alpenliebe-jelly-tim-dao-ngot-ngao-goi-56g-i2860331315.html</v>
      </c>
      <c r="C1529" s="10" t="s">
        <v>1529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8">
        <v>6384.0</v>
      </c>
      <c r="B1530" s="9" t="str">
        <f>HYPERLINK("https://www.lazada.vn/products/banh-quy-lu-veritable-petit-beurre-goi-200g-14967-i2287173442.html", "https://www.lazada.vn/products/banh-quy-lu-veritable-petit-beurre-goi-200g-14967-i2287173442.html")</f>
        <v>https://www.lazada.vn/products/banh-quy-lu-veritable-petit-beurre-goi-200g-14967-i2287173442.html</v>
      </c>
      <c r="C1530" s="10" t="s">
        <v>1530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8">
        <v>6385.0</v>
      </c>
      <c r="B1531" s="9" t="str">
        <f>HYPERLINK("https://www.lazada.vn/products/thit-tom-dau-nanh-cay-khong-beo-ngon-mieng-qua-tang-giai-tri-snack-tasty-house-mi-tau-kho-sua-chua-luong-lon-trung-quoc-dai-luc-i2880403472.html", "https://www.lazada.vn/products/thit-tom-dau-nanh-cay-khong-beo-ngon-mieng-qua-tang-giai-tri-snack-tasty-house-mi-tau-kho-sua-chua-luong-lon-trung-quoc-dai-luc-i2880403472.html")</f>
        <v>https://www.lazada.vn/products/thit-tom-dau-nanh-cay-khong-beo-ngon-mieng-qua-tang-giai-tri-snack-tasty-house-mi-tau-kho-sua-chua-luong-lon-trung-quoc-dai-luc-i2880403472.html</v>
      </c>
      <c r="C1531" s="10" t="s">
        <v>1531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8">
        <v>6386.0</v>
      </c>
      <c r="B1532" s="9" t="str">
        <f>HYPERLINK("https://www.lazada.vn/products/coop-online-tac-duong-phen-coop-select-500g-i2860307429.html", "https://www.lazada.vn/products/coop-online-tac-duong-phen-coop-select-500g-i2860307429.html")</f>
        <v>https://www.lazada.vn/products/coop-online-tac-duong-phen-coop-select-500g-i2860307429.html</v>
      </c>
      <c r="C1532" s="10" t="s">
        <v>1532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8">
        <v>6387.0</v>
      </c>
      <c r="B1533" s="9" t="str">
        <f>HYPERLINK("https://www.lazada.vn/products/thung-24-lon-bia-heineken-330mllon-i3017378245.html", "https://www.lazada.vn/products/thung-24-lon-bia-heineken-330mllon-i3017378245.html")</f>
        <v>https://www.lazada.vn/products/thung-24-lon-bia-heineken-330mllon-i3017378245.html</v>
      </c>
      <c r="C1533" s="10" t="s">
        <v>1533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8">
        <v>6388.0</v>
      </c>
      <c r="B1534" s="9" t="str">
        <f>HYPERLINK("https://www.lazada.vn/products/ca-sac-uop-xa-ot-mot-nang-khay-500gr-giao-hcm-i3053047347.html", "https://www.lazada.vn/products/ca-sac-uop-xa-ot-mot-nang-khay-500gr-giao-hcm-i3053047347.html")</f>
        <v>https://www.lazada.vn/products/ca-sac-uop-xa-ot-mot-nang-khay-500gr-giao-hcm-i3053047347.html</v>
      </c>
      <c r="C1534" s="10" t="s">
        <v>1534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8">
        <v>6389.0</v>
      </c>
      <c r="B1535" s="9" t="str">
        <f>HYPERLINK("https://www.lazada.vn/products/combo-10-cai-chan-ga-alishan-ngam-u-vi-co-xuong-40g-i2932988040.html", "https://www.lazada.vn/products/combo-10-cai-chan-ga-alishan-ngam-u-vi-co-xuong-40g-i2932988040.html")</f>
        <v>https://www.lazada.vn/products/combo-10-cai-chan-ga-alishan-ngam-u-vi-co-xuong-40g-i2932988040.html</v>
      </c>
      <c r="C1535" s="10" t="s">
        <v>1535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8">
        <v>6390.0</v>
      </c>
      <c r="B1536" s="9" t="str">
        <f>HYPERLINK("https://www.lazada.vn/products/combo-1-loc-6-lon-bia-tsingtao-bia-thanh-dao-giai-khat-giai-nhiet-i2941658396.html", "https://www.lazada.vn/products/combo-1-loc-6-lon-bia-tsingtao-bia-thanh-dao-giai-khat-giai-nhiet-i2941658396.html")</f>
        <v>https://www.lazada.vn/products/combo-1-loc-6-lon-bia-tsingtao-bia-thanh-dao-giai-khat-giai-nhiet-i2941658396.html</v>
      </c>
      <c r="C1536" s="10" t="s">
        <v>1536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8">
        <v>6391.0</v>
      </c>
      <c r="B1537" s="9" t="str">
        <f>HYPERLINK("https://www.lazada.vn/products/siro-carisa-chai-680g-khoai-mon-i2675287176.html", "https://www.lazada.vn/products/siro-carisa-chai-680g-khoai-mon-i2675287176.html")</f>
        <v>https://www.lazada.vn/products/siro-carisa-chai-680g-khoai-mon-i2675287176.html</v>
      </c>
      <c r="C1537" s="10" t="s">
        <v>1537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8">
        <v>6392.0</v>
      </c>
      <c r="B1538" s="9" t="str">
        <f>HYPERLINK("https://www.lazada.vn/products/ruou-vang-chile-undurraga-sibaris-black-series-syrah-carignan-grenache-i2797396950.html", "https://www.lazada.vn/products/ruou-vang-chile-undurraga-sibaris-black-series-syrah-carignan-grenache-i2797396950.html")</f>
        <v>https://www.lazada.vn/products/ruou-vang-chile-undurraga-sibaris-black-series-syrah-carignan-grenache-i2797396950.html</v>
      </c>
      <c r="C1538" s="10" t="s">
        <v>1538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8">
        <v>6393.0</v>
      </c>
      <c r="B1539" s="9" t="str">
        <f>HYPERLINK("https://www.lazada.vn/products/1kg-banh-socola-vo-phu-dua-i2954541662.html", "https://www.lazada.vn/products/1kg-banh-socola-vo-phu-dua-i2954541662.html")</f>
        <v>https://www.lazada.vn/products/1kg-banh-socola-vo-phu-dua-i2954541662.html</v>
      </c>
      <c r="C1539" s="10" t="s">
        <v>1539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8">
        <v>6394.0</v>
      </c>
      <c r="B1540" s="9" t="str">
        <f>HYPERLINK("https://www.lazada.vn/products/ca-phe-honduras-arabica-santa-barbara-anaerobic-stupiducks-specialty-coffee-ssc-roaster-i2792501414.html", "https://www.lazada.vn/products/ca-phe-honduras-arabica-santa-barbara-anaerobic-stupiducks-specialty-coffee-ssc-roaster-i2792501414.html")</f>
        <v>https://www.lazada.vn/products/ca-phe-honduras-arabica-santa-barbara-anaerobic-stupiducks-specialty-coffee-ssc-roaster-i2792501414.html</v>
      </c>
      <c r="C1540" s="10" t="s">
        <v>1540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8">
        <v>6395.0</v>
      </c>
      <c r="B1541" s="9" t="str">
        <f>HYPERLINK("https://www.lazada.vn/products/bot-tra-xanh-matcha-nguyen-chat-fuji-nhat-ban-goi-100g-i2763163150.html", "https://www.lazada.vn/products/bot-tra-xanh-matcha-nguyen-chat-fuji-nhat-ban-goi-100g-i2763163150.html")</f>
        <v>https://www.lazada.vn/products/bot-tra-xanh-matcha-nguyen-chat-fuji-nhat-ban-goi-100g-i2763163150.html</v>
      </c>
      <c r="C1541" s="10" t="s">
        <v>1541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8">
        <v>6396.0</v>
      </c>
      <c r="B1542" s="9" t="str">
        <f>HYPERLINK("https://www.lazada.vn/products/banh-sua-dau-tay-mem-deo-ngot-nhe-dam-vi-dau-tay-an-vat-denfood-i2795932133.html", "https://www.lazada.vn/products/banh-sua-dau-tay-mem-deo-ngot-nhe-dam-vi-dau-tay-an-vat-denfood-i2795932133.html")</f>
        <v>https://www.lazada.vn/products/banh-sua-dau-tay-mem-deo-ngot-nhe-dam-vi-dau-tay-an-vat-denfood-i2795932133.html</v>
      </c>
      <c r="C1542" s="10" t="s">
        <v>1542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8">
        <v>6397.0</v>
      </c>
      <c r="B1543" s="9" t="str">
        <f>HYPERLINK("https://www.lazada.vn/products/1kg-banh-quay-dui-ga-cay-mann-i2714723535.html", "https://www.lazada.vn/products/1kg-banh-quay-dui-ga-cay-mann-i2714723535.html")</f>
        <v>https://www.lazada.vn/products/1kg-banh-quay-dui-ga-cay-mann-i2714723535.html</v>
      </c>
      <c r="C1543" s="10" t="s">
        <v>1543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8">
        <v>6398.0</v>
      </c>
      <c r="B1544" s="9" t="str">
        <f>HYPERLINK("https://www.lazada.vn/products/sam-bo-luong-huynh-gia-bo-duong-chuan-vi-nguyen-lieu-thuong-hang-i2760072473.html", "https://www.lazada.vn/products/sam-bo-luong-huynh-gia-bo-duong-chuan-vi-nguyen-lieu-thuong-hang-i2760072473.html")</f>
        <v>https://www.lazada.vn/products/sam-bo-luong-huynh-gia-bo-duong-chuan-vi-nguyen-lieu-thuong-hang-i2760072473.html</v>
      </c>
      <c r="C1544" s="10" t="s">
        <v>1544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8">
        <v>6399.0</v>
      </c>
      <c r="B1545" s="9" t="str">
        <f>HYPERLINK("https://www.lazada.vn/products/sam-atiso-hat-chia-huynh-gia-mat-gan-thanh-loc-co-the-set-nau-5-lit-i2760050550.html", "https://www.lazada.vn/products/sam-atiso-hat-chia-huynh-gia-mat-gan-thanh-loc-co-the-set-nau-5-lit-i2760050550.html")</f>
        <v>https://www.lazada.vn/products/sam-atiso-hat-chia-huynh-gia-mat-gan-thanh-loc-co-the-set-nau-5-lit-i2760050550.html</v>
      </c>
      <c r="C1545" s="10" t="s">
        <v>1545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8">
        <v>6400.0</v>
      </c>
      <c r="B1546" s="9" t="str">
        <f>HYPERLINK("https://www.lazada.vn/products/banh-cracker-afc-dinh-duong-vi-bo-bit-tet-200g-i1526362074.html", "https://www.lazada.vn/products/banh-cracker-afc-dinh-duong-vi-bo-bit-tet-200g-i1526362074.html")</f>
        <v>https://www.lazada.vn/products/banh-cracker-afc-dinh-duong-vi-bo-bit-tet-200g-i1526362074.html</v>
      </c>
      <c r="C1546" s="10" t="s">
        <v>1546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8">
        <v>6401.0</v>
      </c>
      <c r="B1547" s="9" t="str">
        <f>HYPERLINK("https://www.lazada.vn/products/combo-2-khay-12-vien-mochi-kem-tuoingau-nhien-i1511218620.html", "https://www.lazada.vn/products/combo-2-khay-12-vien-mochi-kem-tuoingau-nhien-i1511218620.html")</f>
        <v>https://www.lazada.vn/products/combo-2-khay-12-vien-mochi-kem-tuoingau-nhien-i1511218620.html</v>
      </c>
      <c r="C1547" s="10" t="s">
        <v>1547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8">
        <v>6402.0</v>
      </c>
      <c r="B1548" s="9" t="str">
        <f>HYPERLINK("https://www.lazada.vn/products/ruou-vang-chile-la-roca-sauvignon-blanc-750ml-135-vang-trang-i2240494200.html", "https://www.lazada.vn/products/ruou-vang-chile-la-roca-sauvignon-blanc-750ml-135-vang-trang-i2240494200.html")</f>
        <v>https://www.lazada.vn/products/ruou-vang-chile-la-roca-sauvignon-blanc-750ml-135-vang-trang-i2240494200.html</v>
      </c>
      <c r="C1548" s="10" t="s">
        <v>1548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8">
        <v>6403.0</v>
      </c>
      <c r="B1549" s="9" t="str">
        <f>HYPERLINK("https://www.lazada.vn/products/khoai-tay-que-say-gion-lac-pho-mai-500gr-do-an-vat-yoyo-an-la-me-i1669180808.html", "https://www.lazada.vn/products/khoai-tay-que-say-gion-lac-pho-mai-500gr-do-an-vat-yoyo-an-la-me-i1669180808.html")</f>
        <v>https://www.lazada.vn/products/khoai-tay-que-say-gion-lac-pho-mai-500gr-do-an-vat-yoyo-an-la-me-i1669180808.html</v>
      </c>
      <c r="C1549" s="10" t="s">
        <v>1549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8">
        <v>6404.0</v>
      </c>
      <c r="B1550" s="9" t="str">
        <f>HYPERLINK("https://www.lazada.vn/products/thach-sua-chua-pho-mai-zai-zai-duc-hanh-hop-6-hu-sieu-ngon-i2611881294.html", "https://www.lazada.vn/products/thach-sua-chua-pho-mai-zai-zai-duc-hanh-hop-6-hu-sieu-ngon-i2611881294.html")</f>
        <v>https://www.lazada.vn/products/thach-sua-chua-pho-mai-zai-zai-duc-hanh-hop-6-hu-sieu-ngon-i2611881294.html</v>
      </c>
      <c r="C1550" s="10" t="s">
        <v>1550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8">
        <v>6405.0</v>
      </c>
      <c r="B1551" s="9" t="str">
        <f>HYPERLINK("https://www.lazada.vn/products/san-pham-chinh-hang-si-sot-tuong-den-thung-18kg-cho-nha-hang-i1294931055.html", "https://www.lazada.vn/products/san-pham-chinh-hang-si-sot-tuong-den-thung-18kg-cho-nha-hang-i1294931055.html")</f>
        <v>https://www.lazada.vn/products/san-pham-chinh-hang-si-sot-tuong-den-thung-18kg-cho-nha-hang-i1294931055.html</v>
      </c>
      <c r="C1551" s="10" t="s">
        <v>1551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8">
        <v>6406.0</v>
      </c>
      <c r="B1552" s="9" t="str">
        <f>HYPERLINK("https://www.lazada.vn/products/coop-online-keo-mentos-yoghurt-90g-i2860307420.html", "https://www.lazada.vn/products/coop-online-keo-mentos-yoghurt-90g-i2860307420.html")</f>
        <v>https://www.lazada.vn/products/coop-online-keo-mentos-yoghurt-90g-i2860307420.html</v>
      </c>
      <c r="C1552" s="10" t="s">
        <v>1552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8">
        <v>6407.0</v>
      </c>
      <c r="B1553" s="9" t="str">
        <f>HYPERLINK("https://www.lazada.vn/products/oreo-oreo-loat-bac-ha-choconhung-dobi-anvangcookie-crumstam-dinh-choco-trangtrang-ngaso-co-lathins-vanilla-mousseblackpink-i2286348396.html", "https://www.lazada.vn/products/oreo-oreo-loat-bac-ha-choconhung-dobi-anvangcookie-crumstam-dinh-choco-trangtrang-ngaso-co-lathins-vanilla-mousseblackpink-i2286348396.html")</f>
        <v>https://www.lazada.vn/products/oreo-oreo-loat-bac-ha-choconhung-dobi-anvangcookie-crumstam-dinh-choco-trangtrang-ngaso-co-lathins-vanilla-mousseblackpink-i2286348396.html</v>
      </c>
      <c r="C1553" s="10" t="s">
        <v>1553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8">
        <v>6408.0</v>
      </c>
      <c r="B1554" s="9" t="str">
        <f>HYPERLINK("https://www.lazada.vn/products/loc-6-lon-nuoc-uong-co-gaz-pepsi-vi-chanh-khong-calo-320mllon-i2645008560.html", "https://www.lazada.vn/products/loc-6-lon-nuoc-uong-co-gaz-pepsi-vi-chanh-khong-calo-320mllon-i2645008560.html")</f>
        <v>https://www.lazada.vn/products/loc-6-lon-nuoc-uong-co-gaz-pepsi-vi-chanh-khong-calo-320mllon-i2645008560.html</v>
      </c>
      <c r="C1554" s="10" t="s">
        <v>1554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8">
        <v>6409.0</v>
      </c>
      <c r="B1555" s="9" t="str">
        <f>HYPERLINK("https://www.lazada.vn/products/chuan-nhat-thach-ita-konyaku-nhat-ban-250g-thach-khoai-rong-bien-giam-can-i2109030450.html", "https://www.lazada.vn/products/chuan-nhat-thach-ita-konyaku-nhat-ban-250g-thach-khoai-rong-bien-giam-can-i2109030450.html")</f>
        <v>https://www.lazada.vn/products/chuan-nhat-thach-ita-konyaku-nhat-ban-250g-thach-khoai-rong-bien-giam-can-i2109030450.html</v>
      </c>
      <c r="C1555" s="10" t="s">
        <v>1555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8">
        <v>6410.0</v>
      </c>
      <c r="B1556" s="9" t="str">
        <f>HYPERLINK("https://www.lazada.vn/products/loc-nuoc-ngot-co-gas-pepsi-coca-7up-xa-xi-bach-hoa-tong-hop-nhu-ngoc-i2650412193.html", "https://www.lazada.vn/products/loc-nuoc-ngot-co-gas-pepsi-coca-7up-xa-xi-bach-hoa-tong-hop-nhu-ngoc-i2650412193.html")</f>
        <v>https://www.lazada.vn/products/loc-nuoc-ngot-co-gas-pepsi-coca-7up-xa-xi-bach-hoa-tong-hop-nhu-ngoc-i2650412193.html</v>
      </c>
      <c r="C1556" s="10" t="s">
        <v>1556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8">
        <v>6411.0</v>
      </c>
      <c r="B1557" s="9" t="str">
        <f>HYPERLINK("https://www.lazada.vn/products/ruou-vang-trang-les-legendes-bordeaux-blanc-alc-12-750ml-i2256709557.html", "https://www.lazada.vn/products/ruou-vang-trang-les-legendes-bordeaux-blanc-alc-12-750ml-i2256709557.html")</f>
        <v>https://www.lazada.vn/products/ruou-vang-trang-les-legendes-bordeaux-blanc-alc-12-750ml-i2256709557.html</v>
      </c>
      <c r="C1557" s="10" t="s">
        <v>1557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8">
        <v>6412.0</v>
      </c>
      <c r="B1558" s="9" t="str">
        <f>HYPERLINK("https://www.lazada.vn/products/banh-nuong-mong-gion-copper-kettle-crackers-sweet-chilli-sour-cream-135g-i2932223258.html", "https://www.lazada.vn/products/banh-nuong-mong-gion-copper-kettle-crackers-sweet-chilli-sour-cream-135g-i2932223258.html")</f>
        <v>https://www.lazada.vn/products/banh-nuong-mong-gion-copper-kettle-crackers-sweet-chilli-sour-cream-135g-i2932223258.html</v>
      </c>
      <c r="C1558" s="10" t="s">
        <v>1558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8">
        <v>6413.0</v>
      </c>
      <c r="B1559" s="9" t="str">
        <f>HYPERLINK("https://www.lazada.vn/products/khoai-tay-say-gion-vi-pho-mai-loai-dac-biet-250gr-i2878094815.html", "https://www.lazada.vn/products/khoai-tay-say-gion-vi-pho-mai-loai-dac-biet-250gr-i2878094815.html")</f>
        <v>https://www.lazada.vn/products/khoai-tay-say-gion-vi-pho-mai-loai-dac-biet-250gr-i2878094815.html</v>
      </c>
      <c r="C1559" s="10" t="s">
        <v>1559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8">
        <v>6414.0</v>
      </c>
      <c r="B1560" s="9" t="str">
        <f>HYPERLINK("https://www.lazada.vn/products/combo-2-chai-olong-nuoc-ngot-co-gas-mirinda-soda-kem-mirinda-cam-mirinda-xa-xi-7up-pepsi-coca-chai-15l-i2650299476.html", "https://www.lazada.vn/products/combo-2-chai-olong-nuoc-ngot-co-gas-mirinda-soda-kem-mirinda-cam-mirinda-xa-xi-7up-pepsi-coca-chai-15l-i2650299476.html")</f>
        <v>https://www.lazada.vn/products/combo-2-chai-olong-nuoc-ngot-co-gas-mirinda-soda-kem-mirinda-cam-mirinda-xa-xi-7up-pepsi-coca-chai-15l-i2650299476.html</v>
      </c>
      <c r="C1560" s="10" t="s">
        <v>1560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8">
        <v>6415.0</v>
      </c>
      <c r="B1561" s="9" t="str">
        <f>HYPERLINK("https://www.lazada.vn/products/coop-online-nuoc-ep-kun-trai-oi-tui-110ml-i2860282490.html", "https://www.lazada.vn/products/coop-online-nuoc-ep-kun-trai-oi-tui-110ml-i2860282490.html")</f>
        <v>https://www.lazada.vn/products/coop-online-nuoc-ep-kun-trai-oi-tui-110ml-i2860282490.html</v>
      </c>
      <c r="C1561" s="10" t="s">
        <v>1561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8">
        <v>6416.0</v>
      </c>
      <c r="B1562" s="9" t="str">
        <f>HYPERLINK("https://www.lazada.vn/products/coop-online-nuoc-dua-dong-hop-cocoxim-dua-dua-non-330ml-i2860248586.html", "https://www.lazada.vn/products/coop-online-nuoc-dua-dong-hop-cocoxim-dua-dua-non-330ml-i2860248586.html")</f>
        <v>https://www.lazada.vn/products/coop-online-nuoc-dua-dong-hop-cocoxim-dua-dua-non-330ml-i2860248586.html</v>
      </c>
      <c r="C1562" s="10" t="s">
        <v>1562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8">
        <v>6417.0</v>
      </c>
      <c r="B1563" s="9" t="str">
        <f>HYPERLINK("https://www.lazada.vn/products/1-lon-bia-tiger-bac-330ml-i3017371267.html", "https://www.lazada.vn/products/1-lon-bia-tiger-bac-330ml-i3017371267.html")</f>
        <v>https://www.lazada.vn/products/1-lon-bia-tiger-bac-330ml-i3017371267.html</v>
      </c>
      <c r="C1563" s="10" t="s">
        <v>1563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8">
        <v>6418.0</v>
      </c>
      <c r="B1564" s="9" t="str">
        <f>HYPERLINK("https://www.lazada.vn/products/coop-online-nuoc-dua-xiem-xanh-coco-hop-giay-1l-i2860227747.html", "https://www.lazada.vn/products/coop-online-nuoc-dua-xiem-xanh-coco-hop-giay-1l-i2860227747.html")</f>
        <v>https://www.lazada.vn/products/coop-online-nuoc-dua-xiem-xanh-coco-hop-giay-1l-i2860227747.html</v>
      </c>
      <c r="C1564" s="10" t="s">
        <v>1564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8">
        <v>6419.0</v>
      </c>
      <c r="B1565" s="9" t="str">
        <f>HYPERLINK("https://www.lazada.vn/products/heinz-lon-spaghetti-400g-mi-y-sot-ca-chua-uk-spaghetti-in-tomato-sauce-i3053039078.html", "https://www.lazada.vn/products/heinz-lon-spaghetti-400g-mi-y-sot-ca-chua-uk-spaghetti-in-tomato-sauce-i3053039078.html")</f>
        <v>https://www.lazada.vn/products/heinz-lon-spaghetti-400g-mi-y-sot-ca-chua-uk-spaghetti-in-tomato-sauce-i3053039078.html</v>
      </c>
      <c r="C1565" s="10" t="s">
        <v>1565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8">
        <v>6420.0</v>
      </c>
      <c r="B1566" s="9" t="str">
        <f>HYPERLINK("https://www.lazada.vn/products/heinz-lon-spaghetti-400g-mi-y-sot-ca-chua-uk-spaghetti-in-tomato-sauce-i3053021175.html", "https://www.lazada.vn/products/heinz-lon-spaghetti-400g-mi-y-sot-ca-chua-uk-spaghetti-in-tomato-sauce-i3053021175.html")</f>
        <v>https://www.lazada.vn/products/heinz-lon-spaghetti-400g-mi-y-sot-ca-chua-uk-spaghetti-in-tomato-sauce-i3053021175.html</v>
      </c>
      <c r="C1566" s="10" t="s">
        <v>1566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8">
        <v>6421.0</v>
      </c>
      <c r="B1567" s="9" t="str">
        <f>HYPERLINK("https://www.lazada.vn/products/mi-soi-truong-tho-jinmailang-soi-tronsoi-det-500grbo-i2930362074.html", "https://www.lazada.vn/products/mi-soi-truong-tho-jinmailang-soi-tronsoi-det-500grbo-i2930362074.html")</f>
        <v>https://www.lazada.vn/products/mi-soi-truong-tho-jinmailang-soi-tronsoi-det-500grbo-i2930362074.html</v>
      </c>
      <c r="C1567" s="10" t="s">
        <v>1567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8">
        <v>6422.0</v>
      </c>
      <c r="B1568" s="9" t="str">
        <f>HYPERLINK("https://www.lazada.vn/products/le-1-lon-dung-thu-bia-tsingtao-bia-thanh-dao-giai-khat-giai-nhiet-i2941547684.html", "https://www.lazada.vn/products/le-1-lon-dung-thu-bia-tsingtao-bia-thanh-dao-giai-khat-giai-nhiet-i2941547684.html")</f>
        <v>https://www.lazada.vn/products/le-1-lon-dung-thu-bia-tsingtao-bia-thanh-dao-giai-khat-giai-nhiet-i2941547684.html</v>
      </c>
      <c r="C1568" s="10" t="s">
        <v>1568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8">
        <v>6423.0</v>
      </c>
      <c r="B1569" s="9" t="str">
        <f>HYPERLINK("https://www.lazada.vn/products/siro-hersheys-syrup-cua-my-chai-623gr-huong-socola-dau-caramel-dung-pha-che-cocktail-sinh-to-cafe-tra-sua-lac-kem-banh-i2674542151.html", "https://www.lazada.vn/products/siro-hersheys-syrup-cua-my-chai-623gr-huong-socola-dau-caramel-dung-pha-che-cocktail-sinh-to-cafe-tra-sua-lac-kem-banh-i2674542151.html")</f>
        <v>https://www.lazada.vn/products/siro-hersheys-syrup-cua-my-chai-623gr-huong-socola-dau-caramel-dung-pha-che-cocktail-sinh-to-cafe-tra-sua-lac-kem-banh-i2674542151.html</v>
      </c>
      <c r="C1569" s="10" t="s">
        <v>1569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8">
        <v>6424.0</v>
      </c>
      <c r="B1570" s="9" t="str">
        <f>HYPERLINK("https://www.lazada.vn/products/ruou-vang-do-louis-eschenauer-medoc-i2796084458.html", "https://www.lazada.vn/products/ruou-vang-do-louis-eschenauer-medoc-i2796084458.html")</f>
        <v>https://www.lazada.vn/products/ruou-vang-do-louis-eschenauer-medoc-i2796084458.html</v>
      </c>
      <c r="C1570" s="10" t="s">
        <v>1570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8">
        <v>6425.0</v>
      </c>
      <c r="B1571" s="9" t="str">
        <f>HYPERLINK("https://www.lazada.vn/products/si-500g-keo-ca-phe-sua-capuchino-3d-mem-thom-ngon-i2953090022.html", "https://www.lazada.vn/products/si-500g-keo-ca-phe-sua-capuchino-3d-mem-thom-ngon-i2953090022.html")</f>
        <v>https://www.lazada.vn/products/si-500g-keo-ca-phe-sua-capuchino-3d-mem-thom-ngon-i2953090022.html</v>
      </c>
      <c r="C1571" s="10" t="s">
        <v>1571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8">
        <v>6426.0</v>
      </c>
      <c r="B1572" s="9" t="str">
        <f>HYPERLINK("https://www.lazada.vn/products/ca-phe-trung-nguyen-s-goi-500g-i2792401060.html", "https://www.lazada.vn/products/ca-phe-trung-nguyen-s-goi-500g-i2792401060.html")</f>
        <v>https://www.lazada.vn/products/ca-phe-trung-nguyen-s-goi-500g-i2792401060.html</v>
      </c>
      <c r="C1572" s="10" t="s">
        <v>1572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8">
        <v>6427.0</v>
      </c>
      <c r="B1573" s="9" t="str">
        <f>HYPERLINK("https://www.lazada.vn/products/la-han-qua-hoa-tan-han-linh-hop-12-goi-nho-goi-2-vien-thenewlife0909-i2761783029.html", "https://www.lazada.vn/products/la-han-qua-hoa-tan-han-linh-hop-12-goi-nho-goi-2-vien-thenewlife0909-i2761783029.html")</f>
        <v>https://www.lazada.vn/products/la-han-qua-hoa-tan-han-linh-hop-12-goi-nho-goi-2-vien-thenewlife0909-i2761783029.html</v>
      </c>
      <c r="C1573" s="10" t="s">
        <v>1573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8">
        <v>6428.0</v>
      </c>
      <c r="B1574" s="9" t="str">
        <f>HYPERLINK("https://www.lazada.vn/products/banh-gao-lut-dau-tam-mem-deo-thom-ngon-it-duong-it-calo-tot-cho-suc-khoe-i2794868589.html", "https://www.lazada.vn/products/banh-gao-lut-dau-tam-mem-deo-thom-ngon-it-duong-it-calo-tot-cho-suc-khoe-i2794868589.html")</f>
        <v>https://www.lazada.vn/products/banh-gao-lut-dau-tam-mem-deo-thom-ngon-it-duong-it-calo-tot-cho-suc-khoe-i2794868589.html</v>
      </c>
      <c r="C1574" s="10" t="s">
        <v>1574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8">
        <v>6429.0</v>
      </c>
      <c r="B1575" s="9" t="str">
        <f>HYPERLINK("https://www.lazada.vn/products/banh-trang-tron-cac-vi-miss-banh-trang-do-an-vat-hoc-sinh-thom-ngon-pf029-i2712341651.html", "https://www.lazada.vn/products/banh-trang-tron-cac-vi-miss-banh-trang-do-an-vat-hoc-sinh-thom-ngon-pf029-i2712341651.html")</f>
        <v>https://www.lazada.vn/products/banh-trang-tron-cac-vi-miss-banh-trang-do-an-vat-hoc-sinh-thom-ngon-pf029-i2712341651.html</v>
      </c>
      <c r="C1575" s="10" t="s">
        <v>1575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8">
        <v>6430.0</v>
      </c>
      <c r="B1576" s="9" t="str">
        <f>HYPERLINK("https://www.lazada.vn/products/che-duong-nhan-tuyet-yen-14-vi-cao-cap-nau-duoc-45-50-chen-i2760023499.html", "https://www.lazada.vn/products/che-duong-nhan-tuyet-yen-14-vi-cao-cap-nau-duoc-45-50-chen-i2760023499.html")</f>
        <v>https://www.lazada.vn/products/che-duong-nhan-tuyet-yen-14-vi-cao-cap-nau-duoc-45-50-chen-i2760023499.html</v>
      </c>
      <c r="C1576" s="10" t="s">
        <v>1576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8">
        <v>6431.0</v>
      </c>
      <c r="B1577" s="9" t="str">
        <f>HYPERLINK("https://www.lazada.vn/products/banh-da-xu-nghe-i1667071735.html", "https://www.lazada.vn/products/banh-da-xu-nghe-i1667071735.html")</f>
        <v>https://www.lazada.vn/products/banh-da-xu-nghe-i1667071735.html</v>
      </c>
      <c r="C1577" s="10" t="s">
        <v>1577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8">
        <v>6432.0</v>
      </c>
      <c r="B1578" s="9" t="str">
        <f>HYPERLINK("https://www.lazada.vn/products/hcm-pho-mai-que-hang-hop-14-cay-i1462167979.html", "https://www.lazada.vn/products/hcm-pho-mai-que-hang-hop-14-cay-i1462167979.html")</f>
        <v>https://www.lazada.vn/products/hcm-pho-mai-que-hang-hop-14-cay-i1462167979.html</v>
      </c>
      <c r="C1578" s="10" t="s">
        <v>1578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8">
        <v>6433.0</v>
      </c>
      <c r="B1579" s="9" t="str">
        <f>HYPERLINK("https://www.lazada.vn/products/thach-sua-chua-pho-mai-zai-zai-duc-hanh-hop-6-hu-sieu-ngon-i2611880315.html", "https://www.lazada.vn/products/thach-sua-chua-pho-mai-zai-zai-duc-hanh-hop-6-hu-sieu-ngon-i2611880315.html")</f>
        <v>https://www.lazada.vn/products/thach-sua-chua-pho-mai-zai-zai-duc-hanh-hop-6-hu-sieu-ngon-i2611880315.html</v>
      </c>
      <c r="C1579" s="10" t="s">
        <v>1579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8">
        <v>6434.0</v>
      </c>
      <c r="B1580" s="9" t="str">
        <f>HYPERLINK("https://www.lazada.vn/products/combo-3-goi-mi-jin-tuong-den-vi-bo-ottogi-135g-i1243150019.html", "https://www.lazada.vn/products/combo-3-goi-mi-jin-tuong-den-vi-bo-ottogi-135g-i1243150019.html")</f>
        <v>https://www.lazada.vn/products/combo-3-goi-mi-jin-tuong-den-vi-bo-ottogi-135g-i1243150019.html</v>
      </c>
      <c r="C1580" s="10" t="s">
        <v>1580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8">
        <v>6435.0</v>
      </c>
      <c r="B1581" s="9" t="str">
        <f>HYPERLINK("https://www.lazada.vn/products/mut-gung-me-dau-hop-500g-i2107635813.html", "https://www.lazada.vn/products/mut-gung-me-dau-hop-500g-i2107635813.html")</f>
        <v>https://www.lazada.vn/products/mut-gung-me-dau-hop-500g-i2107635813.html</v>
      </c>
      <c r="C1581" s="10" t="s">
        <v>1581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8">
        <v>6436.0</v>
      </c>
      <c r="B1582" s="9" t="str">
        <f>HYPERLINK("https://www.lazada.vn/products/banh-dinh-duong-cookies-nha-lam-1kg-i2286069153.html", "https://www.lazada.vn/products/banh-dinh-duong-cookies-nha-lam-1kg-i2286069153.html")</f>
        <v>https://www.lazada.vn/products/banh-dinh-duong-cookies-nha-lam-1kg-i2286069153.html</v>
      </c>
      <c r="C1582" s="10" t="s">
        <v>1582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8">
        <v>6437.0</v>
      </c>
      <c r="B1583" s="9" t="str">
        <f>HYPERLINK("https://www.lazada.vn/products/coop-online-keo-deo-haribo-star-mix-80g-i2860282480.html", "https://www.lazada.vn/products/coop-online-keo-deo-haribo-star-mix-80g-i2860282480.html")</f>
        <v>https://www.lazada.vn/products/coop-online-keo-deo-haribo-star-mix-80g-i2860282480.html</v>
      </c>
      <c r="C1583" s="10" t="s">
        <v>1583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8">
        <v>6438.0</v>
      </c>
      <c r="B1584" s="9" t="str">
        <f>HYPERLINK("https://www.lazada.vn/products/ruou-vang-trang-los-vascos-chardonnay-alc-14-750ml-i2255974951.html", "https://www.lazada.vn/products/ruou-vang-trang-los-vascos-chardonnay-alc-14-750ml-i2255974951.html")</f>
        <v>https://www.lazada.vn/products/ruou-vang-trang-los-vascos-chardonnay-alc-14-750ml-i2255974951.html</v>
      </c>
      <c r="C1584" s="10" t="s">
        <v>1584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8">
        <v>6439.0</v>
      </c>
      <c r="B1585" s="9" t="str">
        <f>HYPERLINK("https://www.lazada.vn/products/banh-quy-oreo-vanilla-red-hop-qua-tet-x3036g-i2932062265.html", "https://www.lazada.vn/products/banh-quy-oreo-vanilla-red-hop-qua-tet-x3036g-i2932062265.html")</f>
        <v>https://www.lazada.vn/products/banh-quy-oreo-vanilla-red-hop-qua-tet-x3036g-i2932062265.html</v>
      </c>
      <c r="C1585" s="10" t="s">
        <v>1585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8">
        <v>6440.0</v>
      </c>
      <c r="B1586" s="9" t="str">
        <f>HYPERLINK("https://www.lazada.vn/products/thung-nuoc-ngot-mirinda-vi-soda-kem-24-lonx330ml-i2641007591.html", "https://www.lazada.vn/products/thung-nuoc-ngot-mirinda-vi-soda-kem-24-lonx330ml-i2641007591.html")</f>
        <v>https://www.lazada.vn/products/thung-nuoc-ngot-mirinda-vi-soda-kem-24-lonx330ml-i2641007591.html</v>
      </c>
      <c r="C1586" s="10" t="s">
        <v>1586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8">
        <v>6441.0</v>
      </c>
      <c r="B1587" s="9" t="str">
        <f>HYPERLINK("https://www.lazada.vn/products/20h-243-293-tang-ngay-strongbow-combo-6-lays-stax-100g-2-bo-wagyu-xot-nam-truffle-muc-sot-cay-tom-hum-ngu-vi-tu-nhien-kem-chua-hanh-i2877641027.html", "https://www.lazada.vn/products/20h-243-293-tang-ngay-strongbow-combo-6-lays-stax-100g-2-bo-wagyu-xot-nam-truffle-muc-sot-cay-tom-hum-ngu-vi-tu-nhien-kem-chua-hanh-i2877641027.html")</f>
        <v>https://www.lazada.vn/products/20h-243-293-tang-ngay-strongbow-combo-6-lays-stax-100g-2-bo-wagyu-xot-nam-truffle-muc-sot-cay-tom-hum-ngu-vi-tu-nhien-kem-chua-hanh-i2877641027.html</v>
      </c>
      <c r="C1587" s="10" t="s">
        <v>1587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8">
        <v>6442.0</v>
      </c>
      <c r="B1588" s="9" t="str">
        <f>HYPERLINK("https://www.lazada.vn/products/coop-online-nuoc-ep-tao-vfresh-khong-duong-1l-i2860179912.html", "https://www.lazada.vn/products/coop-online-nuoc-ep-tao-vfresh-khong-duong-1l-i2860179912.html")</f>
        <v>https://www.lazada.vn/products/coop-online-nuoc-ep-tao-vfresh-khong-duong-1l-i2860179912.html</v>
      </c>
      <c r="C1588" s="10" t="s">
        <v>1588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8">
        <v>6443.0</v>
      </c>
      <c r="B1589" s="9" t="str">
        <f>HYPERLINK("https://www.lazada.vn/products/thung-20-lon-bia-tiger-xanh-330ml-nong-do-5-kieu-dang-sang-trong-i3016593145.html", "https://www.lazada.vn/products/thung-20-lon-bia-tiger-xanh-330ml-nong-do-5-kieu-dang-sang-trong-i3016593145.html")</f>
        <v>https://www.lazada.vn/products/thung-20-lon-bia-tiger-xanh-330ml-nong-do-5-kieu-dang-sang-trong-i3016593145.html</v>
      </c>
      <c r="C1589" s="10" t="s">
        <v>1589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8">
        <v>6444.0</v>
      </c>
      <c r="B1590" s="9" t="str">
        <f>HYPERLINK("https://www.lazada.vn/products/thung-24-lon-nuoc-ngot-co-gaz-7up-lon-xanh-320ml-i2639191268.html", "https://www.lazada.vn/products/thung-24-lon-nuoc-ngot-co-gaz-7up-lon-xanh-320ml-i2639191268.html")</f>
        <v>https://www.lazada.vn/products/thung-24-lon-nuoc-ngot-co-gaz-7up-lon-xanh-320ml-i2639191268.html</v>
      </c>
      <c r="C1590" s="10" t="s">
        <v>1590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8">
        <v>6445.0</v>
      </c>
      <c r="B1591" s="9" t="str">
        <f>HYPERLINK("https://www.lazada.vn/products/heinz-lon-oxtail-400g-sup-duoi-bo-uk-oxtail-soup-i3052949079.html", "https://www.lazada.vn/products/heinz-lon-oxtail-400g-sup-duoi-bo-uk-oxtail-soup-i3052949079.html")</f>
        <v>https://www.lazada.vn/products/heinz-lon-oxtail-400g-sup-duoi-bo-uk-oxtail-soup-i3052949079.html</v>
      </c>
      <c r="C1591" s="10" t="s">
        <v>1591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8">
        <v>6446.0</v>
      </c>
      <c r="B1592" s="9" t="str">
        <f>HYPERLINK("https://www.lazada.vn/products/mi-soi-trung-ga-mi-soi-trung-quoc-bich-900gr-i2930351028.html", "https://www.lazada.vn/products/mi-soi-trung-ga-mi-soi-trung-quoc-bich-900gr-i2930351028.html")</f>
        <v>https://www.lazada.vn/products/mi-soi-trung-ga-mi-soi-trung-quoc-bich-900gr-i2930351028.html</v>
      </c>
      <c r="C1592" s="10" t="s">
        <v>1592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8">
        <v>6447.0</v>
      </c>
      <c r="B1593" s="9" t="str">
        <f>HYPERLINK("https://www.lazada.vn/products/bia-beckent-bauer-1689-thung-20-lon-330ml-i2929056628.html", "https://www.lazada.vn/products/bia-beckent-bauer-1689-thung-20-lon-330ml-i2929056628.html")</f>
        <v>https://www.lazada.vn/products/bia-beckent-bauer-1689-thung-20-lon-330ml-i2929056628.html</v>
      </c>
      <c r="C1593" s="10" t="s">
        <v>1593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8">
        <v>6448.0</v>
      </c>
      <c r="B1594" s="9" t="str">
        <f>HYPERLINK("https://www.lazada.vn/products/thach-nha-dam-peso-tui-1kg-i2674029175.html", "https://www.lazada.vn/products/thach-nha-dam-peso-tui-1kg-i2674029175.html")</f>
        <v>https://www.lazada.vn/products/thach-nha-dam-peso-tui-1kg-i2674029175.html</v>
      </c>
      <c r="C1594" s="10" t="s">
        <v>1594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8">
        <v>6449.0</v>
      </c>
      <c r="B1595" s="9" t="str">
        <f>HYPERLINK("https://www.lazada.vn/products/ruou-vang-chi-le-vina-ventisquero-vertice-i2796076120.html", "https://www.lazada.vn/products/ruou-vang-chi-le-vina-ventisquero-vertice-i2796076120.html")</f>
        <v>https://www.lazada.vn/products/ruou-vang-chi-le-vina-ventisquero-vertice-i2796076120.html</v>
      </c>
      <c r="C1595" s="10" t="s">
        <v>1595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8">
        <v>6450.0</v>
      </c>
      <c r="B1596" s="9" t="str">
        <f>HYPERLINK("https://www.lazada.vn/products/mua-2-tang-1-tong-cong-3-tui-keo-socola-sua-popit-doraemon-212gr-do-an-vat-i2952669020.html", "https://www.lazada.vn/products/mua-2-tang-1-tong-cong-3-tui-keo-socola-sua-popit-doraemon-212gr-do-an-vat-i2952669020.html")</f>
        <v>https://www.lazada.vn/products/mua-2-tang-1-tong-cong-3-tui-keo-socola-sua-popit-doraemon-212gr-do-an-vat-i2952669020.html</v>
      </c>
      <c r="C1596" s="10" t="s">
        <v>1596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8">
        <v>6451.0</v>
      </c>
      <c r="B1597" s="9" t="str">
        <f>HYPERLINK("https://www.lazada.vn/products/ca-phe-sua-hoa-tan-g7-hop-18-goi-21-goi-shop-thu-quan-i2791885134.html", "https://www.lazada.vn/products/ca-phe-sua-hoa-tan-g7-hop-18-goi-21-goi-shop-thu-quan-i2791885134.html")</f>
        <v>https://www.lazada.vn/products/ca-phe-sua-hoa-tan-g7-hop-18-goi-21-goi-shop-thu-quan-i2791885134.html</v>
      </c>
      <c r="C1597" s="10" t="s">
        <v>1597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8">
        <v>6452.0</v>
      </c>
      <c r="B1598" s="9" t="str">
        <f>HYPERLINK("https://www.lazada.vn/products/bot-uong-hon-hop-yen-mach-hat-chia-3-in-1-sunrise-450g-30775-i2759735199.html", "https://www.lazada.vn/products/bot-uong-hon-hop-yen-mach-hat-chia-3-in-1-sunrise-450g-30775-i2759735199.html")</f>
        <v>https://www.lazada.vn/products/bot-uong-hon-hop-yen-mach-hat-chia-3-in-1-sunrise-450g-30775-i2759735199.html</v>
      </c>
      <c r="C1598" s="10" t="s">
        <v>1598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8">
        <v>6453.0</v>
      </c>
      <c r="B1599" s="9" t="str">
        <f>HYPERLINK("https://www.lazada.vn/products/banh-sua-chua-non-nguyen-vi-khong-duong-giau-dinh-duong-va-nang-luong-thom-ngon-i2794785603.html", "https://www.lazada.vn/products/banh-sua-chua-non-nguyen-vi-khong-duong-giau-dinh-duong-va-nang-luong-thom-ngon-i2794785603.html")</f>
        <v>https://www.lazada.vn/products/banh-sua-chua-non-nguyen-vi-khong-duong-giau-dinh-duong-va-nang-luong-thom-ngon-i2794785603.html</v>
      </c>
      <c r="C1599" s="10" t="s">
        <v>1599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8">
        <v>6454.0</v>
      </c>
      <c r="B1600" s="9" t="str">
        <f>HYPERLINK("https://www.lazada.vn/products/combo-6-mon-do-an-vat-tang-20-goi-thach-dua-bim-bim-khoai-tay-quay-dui-ga-mai-ton-xuong-cho-rau-muc-snack-tam-dau-ha-lan-i2710521274.html", "https://www.lazada.vn/products/combo-6-mon-do-an-vat-tang-20-goi-thach-dua-bim-bim-khoai-tay-quay-dui-ga-mai-ton-xuong-cho-rau-muc-snack-tam-dau-ha-lan-i2710521274.html")</f>
        <v>https://www.lazada.vn/products/combo-6-mon-do-an-vat-tang-20-goi-thach-dua-bim-bim-khoai-tay-quay-dui-ga-mai-ton-xuong-cho-rau-muc-snack-tam-dau-ha-lan-i2710521274.html</v>
      </c>
      <c r="C1600" s="10" t="s">
        <v>1600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8">
        <v>6455.0</v>
      </c>
      <c r="B1601" s="9" t="str">
        <f>HYPERLINK("https://www.lazada.vn/products/sam-bi-dao-hat-chia-13-vi-giup-mat-gan-thanh-loc-co-the-set-500g-nau-5-8-lit-i2760001953.html", "https://www.lazada.vn/products/sam-bi-dao-hat-chia-13-vi-giup-mat-gan-thanh-loc-co-the-set-500g-nau-5-8-lit-i2760001953.html")</f>
        <v>https://www.lazada.vn/products/sam-bi-dao-hat-chia-13-vi-giup-mat-gan-thanh-loc-co-the-set-500g-nau-5-8-lit-i2760001953.html</v>
      </c>
      <c r="C1601" s="10" t="s">
        <v>1601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8">
        <v>6456.0</v>
      </c>
      <c r="B1602" s="9" t="str">
        <f>HYPERLINK("https://www.lazada.vn/products/che-duong-nhan-tuyet-yen-huynh-gia-14-vi-co-hoa-moc-nau-duoc-15-20-chen-set-300g-i2759999594.html", "https://www.lazada.vn/products/che-duong-nhan-tuyet-yen-huynh-gia-14-vi-co-hoa-moc-nau-duoc-15-20-chen-set-300g-i2759999594.html")</f>
        <v>https://www.lazada.vn/products/che-duong-nhan-tuyet-yen-huynh-gia-14-vi-co-hoa-moc-nau-duoc-15-20-chen-set-300g-i2759999594.html</v>
      </c>
      <c r="C1602" s="10" t="s">
        <v>1602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8">
        <v>6457.0</v>
      </c>
      <c r="B1603" s="9" t="str">
        <f>HYPERLINK("https://www.lazada.vn/products/banh-trang-bo-bia-dau-xanh-goi-30-mieng-banh-da-nem-cuon-cha-gio-gion-xop-i1665351447.html", "https://www.lazada.vn/products/banh-trang-bo-bia-dau-xanh-goi-30-mieng-banh-da-nem-cuon-cha-gio-gion-xop-i1665351447.html")</f>
        <v>https://www.lazada.vn/products/banh-trang-bo-bia-dau-xanh-goi-30-mieng-banh-da-nem-cuon-cha-gio-gion-xop-i1665351447.html</v>
      </c>
      <c r="C1603" s="10" t="s">
        <v>1603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8">
        <v>6458.0</v>
      </c>
      <c r="B1604" s="9" t="str">
        <f>HYPERLINK("https://www.lazada.vn/products/banh-tet-tra-vinh-ke-banh-tet-tra-cuon-vi-em-o-tra-vinh-combo-2-don-mo-nang-8000gramdon-i1452653534.html", "https://www.lazada.vn/products/banh-tet-tra-vinh-ke-banh-tet-tra-cuon-vi-em-o-tra-vinh-combo-2-don-mo-nang-8000gramdon-i1452653534.html")</f>
        <v>https://www.lazada.vn/products/banh-tet-tra-vinh-ke-banh-tet-tra-cuon-vi-em-o-tra-vinh-combo-2-don-mo-nang-8000gramdon-i1452653534.html</v>
      </c>
      <c r="C1604" s="10" t="s">
        <v>1604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8">
        <v>6459.0</v>
      </c>
      <c r="B1605" s="9" t="str">
        <f>HYPERLINK("https://www.lazada.vn/products/thach-sua-chua-pho-mai-zai-zai-duc-hanh-hop-6-hu-sieu-ngon-i2611867820.html", "https://www.lazada.vn/products/thach-sua-chua-pho-mai-zai-zai-duc-hanh-hop-6-hu-sieu-ngon-i2611867820.html")</f>
        <v>https://www.lazada.vn/products/thach-sua-chua-pho-mai-zai-zai-duc-hanh-hop-6-hu-sieu-ngon-i2611867820.html</v>
      </c>
      <c r="C1605" s="10" t="s">
        <v>1605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8">
        <v>6460.0</v>
      </c>
      <c r="B1606" s="9" t="str">
        <f>HYPERLINK("https://www.lazada.vn/products/hersheys-banh-quy-mochi-mau-nau-socola-banh-gao-han-quoc-90g-5ea-240g-12ea-i2281663298.html", "https://www.lazada.vn/products/hersheys-banh-quy-mochi-mau-nau-socola-banh-gao-han-quoc-90g-5ea-240g-12ea-i2281663298.html")</f>
        <v>https://www.lazada.vn/products/hersheys-banh-quy-mochi-mau-nau-socola-banh-gao-han-quoc-90g-5ea-240g-12ea-i2281663298.html</v>
      </c>
      <c r="C1606" s="10" t="s">
        <v>1606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8">
        <v>6461.0</v>
      </c>
      <c r="B1607" s="9" t="str">
        <f>HYPERLINK("https://www.lazada.vn/products/banh-sua-moc-chau-vi-cacao-goi-200g-hieu-cu-ti-i2271932086.html", "https://www.lazada.vn/products/banh-sua-moc-chau-vi-cacao-goi-200g-hieu-cu-ti-i2271932086.html")</f>
        <v>https://www.lazada.vn/products/banh-sua-moc-chau-vi-cacao-goi-200g-hieu-cu-ti-i2271932086.html</v>
      </c>
      <c r="C1607" s="10" t="s">
        <v>1607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8">
        <v>6462.0</v>
      </c>
      <c r="B1608" s="9" t="str">
        <f>HYPERLINK("https://www.lazada.vn/products/mien-kho-ottogi-han-quoc-goi-1kg-i1131670153.html", "https://www.lazada.vn/products/mien-kho-ottogi-han-quoc-goi-1kg-i1131670153.html")</f>
        <v>https://www.lazada.vn/products/mien-kho-ottogi-han-quoc-goi-1kg-i1131670153.html</v>
      </c>
      <c r="C1608" s="10" t="s">
        <v>1608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8">
        <v>6463.0</v>
      </c>
      <c r="B1609" s="9" t="str">
        <f>HYPERLINK("https://www.lazada.vn/products/chanh-sanh-230ml-chanh-dao-u-muoi-mat-ong-chanh-dao-mat-ong-chanh-sanh-u-muoi-thuc-duong-i2105815537.html", "https://www.lazada.vn/products/chanh-sanh-230ml-chanh-dao-u-muoi-mat-ong-chanh-dao-mat-ong-chanh-sanh-u-muoi-thuc-duong-i2105815537.html")</f>
        <v>https://www.lazada.vn/products/chanh-sanh-230ml-chanh-dao-u-muoi-mat-ong-chanh-dao-mat-ong-chanh-sanh-u-muoi-thuc-duong-i2105815537.html</v>
      </c>
      <c r="C1609" s="10" t="s">
        <v>1609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8">
        <v>6464.0</v>
      </c>
      <c r="B1610" s="9" t="str">
        <f>HYPERLINK("https://www.lazada.vn/products/coop-online-keo-deo-alpenliebe-jelly-trai-cay-hon-hop-goi-90g-i2860123945.html", "https://www.lazada.vn/products/coop-online-keo-deo-alpenliebe-jelly-trai-cay-hon-hop-goi-90g-i2860123945.html")</f>
        <v>https://www.lazada.vn/products/coop-online-keo-deo-alpenliebe-jelly-trai-cay-hon-hop-goi-90g-i2860123945.html</v>
      </c>
      <c r="C1610" s="10" t="s">
        <v>1610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8">
        <v>6465.0</v>
      </c>
      <c r="B1611" s="9" t="str">
        <f>HYPERLINK("https://www.lazada.vn/products/20h-243-293-tang-ngay-strongbow-combo-6-lays-stax-100g-3-bo-wagyu-xot-nam-truffle-3-tom-hum-nuong-ngu-vi-i2877569314.html", "https://www.lazada.vn/products/20h-243-293-tang-ngay-strongbow-combo-6-lays-stax-100g-3-bo-wagyu-xot-nam-truffle-3-tom-hum-nuong-ngu-vi-i2877569314.html")</f>
        <v>https://www.lazada.vn/products/20h-243-293-tang-ngay-strongbow-combo-6-lays-stax-100g-3-bo-wagyu-xot-nam-truffle-3-tom-hum-nuong-ngu-vi-i2877569314.html</v>
      </c>
      <c r="C1611" s="10" t="s">
        <v>1611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8">
        <v>6466.0</v>
      </c>
      <c r="B1612" s="9" t="str">
        <f>HYPERLINK("https://www.lazada.vn/products/banh-quy-oreo-vanilla-red-hop-qua-tet-x3036g-i2932010340.html", "https://www.lazada.vn/products/banh-quy-oreo-vanilla-red-hop-qua-tet-x3036g-i2932010340.html")</f>
        <v>https://www.lazada.vn/products/banh-quy-oreo-vanilla-red-hop-qua-tet-x3036g-i2932010340.html</v>
      </c>
      <c r="C1612" s="10" t="s">
        <v>1612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8">
        <v>6467.0</v>
      </c>
      <c r="B1613" s="9" t="str">
        <f>HYPERLINK("https://www.lazada.vn/products/ruou-vang-trang-parducci-chardonnay-small-lot-alc-145-750ml-i2255822084.html", "https://www.lazada.vn/products/ruou-vang-trang-parducci-chardonnay-small-lot-alc-145-750ml-i2255822084.html")</f>
        <v>https://www.lazada.vn/products/ruou-vang-trang-parducci-chardonnay-small-lot-alc-145-750ml-i2255822084.html</v>
      </c>
      <c r="C1613" s="10" t="s">
        <v>1613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8">
        <v>6468.0</v>
      </c>
      <c r="B1614" s="9" t="str">
        <f>HYPERLINK("https://www.lazada.vn/products/thung-24-lon-nuoc-ngot-pepsi-320ml-i2639133440.html", "https://www.lazada.vn/products/thung-24-lon-nuoc-ngot-pepsi-320ml-i2639133440.html")</f>
        <v>https://www.lazada.vn/products/thung-24-lon-nuoc-ngot-pepsi-320ml-i2639133440.html</v>
      </c>
      <c r="C1614" s="10" t="s">
        <v>1614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8">
        <v>6469.0</v>
      </c>
      <c r="B1615" s="9" t="str">
        <f>HYPERLINK("https://www.lazada.vn/products/giam-luu-han-quoc-hongcho-giam-luu-huu-co-giam-can-daesang-ofood-han-quoc-500ml-900ml-giam-uong-mam-xoi-len-men-dep-da-i2859076119.html", "https://www.lazada.vn/products/giam-luu-han-quoc-hongcho-giam-luu-huu-co-giam-can-daesang-ofood-han-quoc-500ml-900ml-giam-uong-mam-xoi-len-men-dep-da-i2859076119.html")</f>
        <v>https://www.lazada.vn/products/giam-luu-han-quoc-hongcho-giam-luu-huu-co-giam-can-daesang-ofood-han-quoc-500ml-900ml-giam-uong-mam-xoi-len-men-dep-da-i2859076119.html</v>
      </c>
      <c r="C1615" s="10" t="s">
        <v>1615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8">
        <v>6470.0</v>
      </c>
      <c r="B1616" s="9" t="str">
        <f>HYPERLINK("https://www.lazada.vn/products/creative-1-thung-bia-corny-khoa-khilong-ngat-ket-noi-cho-bia-nha-kieu-cornelius-i3015766241.html", "https://www.lazada.vn/products/creative-1-thung-bia-corny-khoa-khilong-ngat-ket-noi-cho-bia-nha-kieu-cornelius-i3015766241.html")</f>
        <v>https://www.lazada.vn/products/creative-1-thung-bia-corny-khoa-khilong-ngat-ket-noi-cho-bia-nha-kieu-cornelius-i3015766241.html</v>
      </c>
      <c r="C1616" s="10" t="s">
        <v>1616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8">
        <v>6471.0</v>
      </c>
      <c r="B1617" s="9" t="str">
        <f>HYPERLINK("https://www.lazada.vn/products/heinz-lon-oxtail-p-400g-sup-duoi-bo-anh-quoc-oxtail-soup-i3052915278.html", "https://www.lazada.vn/products/heinz-lon-oxtail-p-400g-sup-duoi-bo-anh-quoc-oxtail-soup-i3052915278.html")</f>
        <v>https://www.lazada.vn/products/heinz-lon-oxtail-p-400g-sup-duoi-bo-anh-quoc-oxtail-soup-i3052915278.html</v>
      </c>
      <c r="C1617" s="10" t="s">
        <v>1617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8">
        <v>6472.0</v>
      </c>
      <c r="B1618" s="9" t="str">
        <f>HYPERLINK("https://www.lazada.vn/products/san-mien-cay-trung-khanh-1-thung-6-hop-112g-i2930151538.html", "https://www.lazada.vn/products/san-mien-cay-trung-khanh-1-thung-6-hop-112g-i2930151538.html")</f>
        <v>https://www.lazada.vn/products/san-mien-cay-trung-khanh-1-thung-6-hop-112g-i2930151538.html</v>
      </c>
      <c r="C1618" s="10" t="s">
        <v>1618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8">
        <v>6473.0</v>
      </c>
      <c r="B1619" s="9" t="str">
        <f>HYPERLINK("https://www.lazada.vn/products/thung-24-lon-bia-thu-cong-7-bridges-mix-4-loai-bia-330ml-i2924581158.html", "https://www.lazada.vn/products/thung-24-lon-bia-thu-cong-7-bridges-mix-4-loai-bia-330ml-i2924581158.html")</f>
        <v>https://www.lazada.vn/products/thung-24-lon-bia-thu-cong-7-bridges-mix-4-loai-bia-330ml-i2924581158.html</v>
      </c>
      <c r="C1619" s="10" t="s">
        <v>1619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8">
        <v>6474.0</v>
      </c>
      <c r="B1620" s="9" t="str">
        <f>HYPERLINK("https://www.lazada.vn/products/cao-siro-qua-le-ty-ba-lam-diu-hong-giam-ho-300g-i2674023439.html", "https://www.lazada.vn/products/cao-siro-qua-le-ty-ba-lam-diu-hong-giam-ho-300g-i2674023439.html")</f>
        <v>https://www.lazada.vn/products/cao-siro-qua-le-ty-ba-lam-diu-hong-giam-ho-300g-i2674023439.html</v>
      </c>
      <c r="C1620" s="10" t="s">
        <v>1620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8">
        <v>6475.0</v>
      </c>
      <c r="B1621" s="9" t="str">
        <f>HYPERLINK("https://www.lazada.vn/products/ruou-vang-do-domaines-barons-de-rothschild-lafite-les-legendes-r-medoc-i2796029664.html", "https://www.lazada.vn/products/ruou-vang-do-domaines-barons-de-rothschild-lafite-les-legendes-r-medoc-i2796029664.html")</f>
        <v>https://www.lazada.vn/products/ruou-vang-do-domaines-barons-de-rothschild-lafite-les-legendes-r-medoc-i2796029664.html</v>
      </c>
      <c r="C1621" s="10" t="s">
        <v>1621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8">
        <v>6476.0</v>
      </c>
      <c r="B1622" s="9" t="str">
        <f>HYPERLINK("https://www.lazada.vn/products/combo-3-ong-keo-socola-sua-popit-doreamon-ong-15g-do-an-vat-i2952641192.html", "https://www.lazada.vn/products/combo-3-ong-keo-socola-sua-popit-doreamon-ong-15g-do-an-vat-i2952641192.html")</f>
        <v>https://www.lazada.vn/products/combo-3-ong-keo-socola-sua-popit-doreamon-ong-15g-do-an-vat-i2952641192.html</v>
      </c>
      <c r="C1622" s="10" t="s">
        <v>1622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8">
        <v>6477.0</v>
      </c>
      <c r="B1623" s="9" t="str">
        <f>HYPERLINK("https://www.lazada.vn/products/combo-02-hop-ca-phe-sua-da-tuoi-moi-ong-bau-ob-cafe-hop-240g-min2017-i2786398196.html", "https://www.lazada.vn/products/combo-02-hop-ca-phe-sua-da-tuoi-moi-ong-bau-ob-cafe-hop-240g-min2017-i2786398196.html")</f>
        <v>https://www.lazada.vn/products/combo-02-hop-ca-phe-sua-da-tuoi-moi-ong-bau-ob-cafe-hop-240g-min2017-i2786398196.html</v>
      </c>
      <c r="C1623" s="10" t="s">
        <v>1623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8">
        <v>6478.0</v>
      </c>
      <c r="B1624" s="9" t="str">
        <f>HYPERLINK("https://www.lazada.vn/products/bot-soda-viet-quat-hoa-tan-tui-500gram-soda-bien-xanh-nuoc-uong-giai-khat-co-san-gas-i2759674569.html", "https://www.lazada.vn/products/bot-soda-viet-quat-hoa-tan-tui-500gram-soda-bien-xanh-nuoc-uong-giai-khat-co-san-gas-i2759674569.html")</f>
        <v>https://www.lazada.vn/products/bot-soda-viet-quat-hoa-tan-tui-500gram-soda-bien-xanh-nuoc-uong-giai-khat-co-san-gas-i2759674569.html</v>
      </c>
      <c r="C1624" s="10" t="s">
        <v>1624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8">
        <v>6479.0</v>
      </c>
      <c r="B1625" s="9" t="str">
        <f>HYPERLINK("https://www.lazada.vn/products/banh-mi-hoa-cuc-ngan-lop-festa-120g-40g-x-3-goi-i2794744374.html", "https://www.lazada.vn/products/banh-mi-hoa-cuc-ngan-lop-festa-120g-40g-x-3-goi-i2794744374.html")</f>
        <v>https://www.lazada.vn/products/banh-mi-hoa-cuc-ngan-lop-festa-120g-40g-x-3-goi-i2794744374.html</v>
      </c>
      <c r="C1625" s="10" t="s">
        <v>1625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8">
        <v>6480.0</v>
      </c>
      <c r="B1626" s="9" t="str">
        <f>HYPERLINK("https://www.lazada.vn/products/sieu-re-10-bich-banh-trang-deo-cuon-hanh-phi-dac-san-tay-ninh-do-an-vat-an-vat-sieu-ngon-i2705005028.html", "https://www.lazada.vn/products/sieu-re-10-bich-banh-trang-deo-cuon-hanh-phi-dac-san-tay-ninh-do-an-vat-an-vat-sieu-ngon-i2705005028.html")</f>
        <v>https://www.lazada.vn/products/sieu-re-10-bich-banh-trang-deo-cuon-hanh-phi-dac-san-tay-ninh-do-an-vat-an-vat-sieu-ngon-i2705005028.html</v>
      </c>
      <c r="C1626" s="10" t="s">
        <v>1626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8">
        <v>6481.0</v>
      </c>
      <c r="B1627" s="9" t="str">
        <f>HYPERLINK("https://www.lazada.vn/products/hat-hanh-nhan-tuoi-huu-co-tach-vo-song-hoac-say-chin-500gr-i1647763863.html", "https://www.lazada.vn/products/hat-hanh-nhan-tuoi-huu-co-tach-vo-song-hoac-say-chin-500gr-i1647763863.html")</f>
        <v>https://www.lazada.vn/products/hat-hanh-nhan-tuoi-huu-co-tach-vo-song-hoac-say-chin-500gr-i1647763863.html</v>
      </c>
      <c r="C1627" s="10" t="s">
        <v>1627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8">
        <v>6482.0</v>
      </c>
      <c r="B1628" s="9" t="str">
        <f>HYPERLINK("https://www.lazada.vn/products/tra-sam-bi-dao-hat-chia-13-vi-thuong-hang-set-500g-nau-5-8-lit-i2759947762.html", "https://www.lazada.vn/products/tra-sam-bi-dao-hat-chia-13-vi-thuong-hang-set-500g-nau-5-8-lit-i2759947762.html")</f>
        <v>https://www.lazada.vn/products/tra-sam-bi-dao-hat-chia-13-vi-thuong-hang-set-500g-nau-5-8-lit-i2759947762.html</v>
      </c>
      <c r="C1628" s="10" t="s">
        <v>1628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8">
        <v>6483.0</v>
      </c>
      <c r="B1629" s="9" t="str">
        <f>HYPERLINK("https://www.lazada.vn/products/hcm-banh-troi-nuoc-nhan-dau-do-200g-10-vien-singapore-tabio-i1359293345.html", "https://www.lazada.vn/products/hcm-banh-troi-nuoc-nhan-dau-do-200g-10-vien-singapore-tabio-i1359293345.html")</f>
        <v>https://www.lazada.vn/products/hcm-banh-troi-nuoc-nhan-dau-do-200g-10-vien-singapore-tabio-i1359293345.html</v>
      </c>
      <c r="C1629" s="10" t="s">
        <v>1629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8">
        <v>6484.0</v>
      </c>
      <c r="B1630" s="9" t="str">
        <f>HYPERLINK("https://www.lazada.vn/products/sieu-hot-thach-pho-mai-vi-trai-cay-mau-moi-thach-zai-zai-sieu-ngon-6-huhop-i2611852877.html", "https://www.lazada.vn/products/sieu-hot-thach-pho-mai-vi-trai-cay-mau-moi-thach-zai-zai-sieu-ngon-6-huhop-i2611852877.html")</f>
        <v>https://www.lazada.vn/products/sieu-hot-thach-pho-mai-vi-trai-cay-mau-moi-thach-zai-zai-sieu-ngon-6-huhop-i2611852877.html</v>
      </c>
      <c r="C1630" s="10" t="s">
        <v>1630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8">
        <v>6485.0</v>
      </c>
      <c r="B1631" s="9" t="str">
        <f>HYPERLINK("https://www.lazada.vn/products/mem-ngon-combo-1000g-keo-sau-rieng-co-nhan-sirokeo-trai-cay-sau-rieng-durian-mem-ngon-dam-vi-an-vat-cuc-da-i2859585966.html", "https://www.lazada.vn/products/mem-ngon-combo-1000g-keo-sau-rieng-co-nhan-sirokeo-trai-cay-sau-rieng-durian-mem-ngon-dam-vi-an-vat-cuc-da-i2859585966.html")</f>
        <v>https://www.lazada.vn/products/mem-ngon-combo-1000g-keo-sau-rieng-co-nhan-sirokeo-trai-cay-sau-rieng-durian-mem-ngon-dam-vi-an-vat-cuc-da-i2859585966.html</v>
      </c>
      <c r="C1631" s="10" t="s">
        <v>1631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8">
        <v>6486.0</v>
      </c>
      <c r="B1632" s="9" t="str">
        <f>HYPERLINK("https://www.lazada.vn/products/mi-udon-tuoi-sari-200g-i1130284498.html", "https://www.lazada.vn/products/mi-udon-tuoi-sari-200g-i1130284498.html")</f>
        <v>https://www.lazada.vn/products/mi-udon-tuoi-sari-200g-i1130284498.html</v>
      </c>
      <c r="C1632" s="10" t="s">
        <v>1632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8">
        <v>6487.0</v>
      </c>
      <c r="B1633" s="9" t="str">
        <f>HYPERLINK("https://www.lazada.vn/products/combo-3-hop-banh-hanh-nhan-tan-hue-vien-300gr-banh-bot-dau-dac-san-soc-trang-banh-keo-tet-i2266434623.html", "https://www.lazada.vn/products/combo-3-hop-banh-hanh-nhan-tan-hue-vien-300gr-banh-bot-dau-dac-san-soc-trang-banh-keo-tet-i2266434623.html")</f>
        <v>https://www.lazada.vn/products/combo-3-hop-banh-hanh-nhan-tan-hue-vien-300gr-banh-bot-dau-dac-san-soc-trang-banh-keo-tet-i2266434623.html</v>
      </c>
      <c r="C1633" s="10" t="s">
        <v>1633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8">
        <v>6488.0</v>
      </c>
      <c r="B1634" s="9" t="str">
        <f>HYPERLINK("https://www.lazada.vn/products/ruou-vang-trang-pepper-jack-chardonnay-alc-125-750ml-i2255821043.html", "https://www.lazada.vn/products/ruou-vang-trang-pepper-jack-chardonnay-alc-125-750ml-i2255821043.html")</f>
        <v>https://www.lazada.vn/products/ruou-vang-trang-pepper-jack-chardonnay-alc-125-750ml-i2255821043.html</v>
      </c>
      <c r="C1634" s="10" t="s">
        <v>1634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8">
        <v>6489.0</v>
      </c>
      <c r="B1635" s="9" t="str">
        <f>HYPERLINK("https://www.lazada.vn/products/20h-243-293-tang-ngay-strongbow-combo-6-lays-stax-100g-3-thit-nuong-bbq-3-kem-chua-hanh-i2877497562.html", "https://www.lazada.vn/products/20h-243-293-tang-ngay-strongbow-combo-6-lays-stax-100g-3-thit-nuong-bbq-3-kem-chua-hanh-i2877497562.html")</f>
        <v>https://www.lazada.vn/products/20h-243-293-tang-ngay-strongbow-combo-6-lays-stax-100g-3-thit-nuong-bbq-3-kem-chua-hanh-i2877497562.html</v>
      </c>
      <c r="C1635" s="10" t="s">
        <v>1635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8">
        <v>6490.0</v>
      </c>
      <c r="B1636" s="9" t="str">
        <f>HYPERLINK("https://www.lazada.vn/products/banh-quy-dinh-duong-afc-vi-rau-hop-qua-tet-x-2795g-i2931996414.html", "https://www.lazada.vn/products/banh-quy-dinh-duong-afc-vi-rau-hop-qua-tet-x-2795g-i2931996414.html")</f>
        <v>https://www.lazada.vn/products/banh-quy-dinh-duong-afc-vi-rau-hop-qua-tet-x-2795g-i2931996414.html</v>
      </c>
      <c r="C1636" s="10" t="s">
        <v>1636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8">
        <v>6491.0</v>
      </c>
      <c r="B1637" s="9" t="str">
        <f>HYPERLINK("https://www.lazada.vn/products/chanh-sanh-500ml-chanh-dao-u-muoi-mat-ong-chanh-dao-mat-ong-chanh-sanh-u-muoi-thuc-duong-i2105778619.html", "https://www.lazada.vn/products/chanh-sanh-500ml-chanh-dao-u-muoi-mat-ong-chanh-dao-mat-ong-chanh-sanh-u-muoi-thuc-duong-i2105778619.html")</f>
        <v>https://www.lazada.vn/products/chanh-sanh-500ml-chanh-dao-u-muoi-mat-ong-chanh-dao-mat-ong-chanh-sanh-u-muoi-thuc-duong-i2105778619.html</v>
      </c>
      <c r="C1637" s="10" t="s">
        <v>1637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8">
        <v>6492.0</v>
      </c>
      <c r="B1638" s="9" t="str">
        <f>HYPERLINK("https://www.lazada.vn/products/thung-24-lon-nuoc-ngot-coca-cola-235ml-i2639117475.html", "https://www.lazada.vn/products/thung-24-lon-nuoc-ngot-coca-cola-235ml-i2639117475.html")</f>
        <v>https://www.lazada.vn/products/thung-24-lon-nuoc-ngot-coca-cola-235ml-i2639117475.html</v>
      </c>
      <c r="C1638" s="10" t="s">
        <v>1638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8">
        <v>6493.0</v>
      </c>
      <c r="B1639" s="9" t="str">
        <f>HYPERLINK("https://www.lazada.vn/products/loc-6-chai-nuoc-uong-kirin-imuse-vi-sua-chua-va-chanh-280ml-tang-cuong-he-mien-dich-i2857699465.html", "https://www.lazada.vn/products/loc-6-chai-nuoc-uong-kirin-imuse-vi-sua-chua-va-chanh-280ml-tang-cuong-he-mien-dich-i2857699465.html")</f>
        <v>https://www.lazada.vn/products/loc-6-chai-nuoc-uong-kirin-imuse-vi-sua-chua-va-chanh-280ml-tang-cuong-he-mien-dich-i2857699465.html</v>
      </c>
      <c r="C1639" s="10" t="s">
        <v>1639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8">
        <v>6494.0</v>
      </c>
      <c r="B1640" s="9" t="str">
        <f>HYPERLINK("https://www.lazada.vn/products/bia-vuong-nhua-cay-cam-thach-thanh-phong-vuong-soai-chu-than-tuong-duong-khau-vuong-bia-long-ngan-long-bia-tu-gia-dung-mat-ban-trang-tri-i3014955240.html", "https://www.lazada.vn/products/bia-vuong-nhua-cay-cam-thach-thanh-phong-vuong-soai-chu-than-tuong-duong-khau-vuong-bia-long-ngan-long-bia-tu-gia-dung-mat-ban-trang-tri-i3014955240.html")</f>
        <v>https://www.lazada.vn/products/bia-vuong-nhua-cay-cam-thach-thanh-phong-vuong-soai-chu-than-tuong-duong-khau-vuong-bia-long-ngan-long-bia-tu-gia-dung-mat-ban-trang-tri-i3014955240.html</v>
      </c>
      <c r="C1640" s="10" t="s">
        <v>1640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8">
        <v>6495.0</v>
      </c>
      <c r="B1641" s="9" t="str">
        <f>HYPERLINK("https://www.lazada.vn/products/heinz-lon-spaghetti-400g-mi-y-sot-ca-chua-spaghetti-in-tomato-sauce-i3052788559.html", "https://www.lazada.vn/products/heinz-lon-spaghetti-400g-mi-y-sot-ca-chua-spaghetti-in-tomato-sauce-i3052788559.html")</f>
        <v>https://www.lazada.vn/products/heinz-lon-spaghetti-400g-mi-y-sot-ca-chua-spaghetti-in-tomato-sauce-i3052788559.html</v>
      </c>
      <c r="C1641" s="10" t="s">
        <v>1641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8">
        <v>6496.0</v>
      </c>
      <c r="B1642" s="9" t="str">
        <f>HYPERLINK("https://www.lazada.vn/products/bia-thu-cong-7-bridges-beach-blonde-ale-330ml-huong-vi-mat-ong-sang-khoai-tuoi-mat-cuc-ki-de-uong-i2924539193.html", "https://www.lazada.vn/products/bia-thu-cong-7-bridges-beach-blonde-ale-330ml-huong-vi-mat-ong-sang-khoai-tuoi-mat-cuc-ki-de-uong-i2924539193.html")</f>
        <v>https://www.lazada.vn/products/bia-thu-cong-7-bridges-beach-blonde-ale-330ml-huong-vi-mat-ong-sang-khoai-tuoi-mat-cuc-ki-de-uong-i2924539193.html</v>
      </c>
      <c r="C1642" s="10" t="s">
        <v>1642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8">
        <v>6497.0</v>
      </c>
      <c r="B1643" s="9" t="str">
        <f>HYPERLINK("https://www.lazada.vn/products/mi-jin-khong-cay-global-goi-le-120g-i2929569381.html", "https://www.lazada.vn/products/mi-jin-khong-cay-global-goi-le-120g-i2929569381.html")</f>
        <v>https://www.lazada.vn/products/mi-jin-khong-cay-global-goi-le-120g-i2929569381.html</v>
      </c>
      <c r="C1643" s="10" t="s">
        <v>1643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8">
        <v>6498.0</v>
      </c>
      <c r="B1644" s="9" t="str">
        <f>HYPERLINK("https://www.lazada.vn/products/siro-duong-den-dam-dac-mola-chai-15kg-pha-che-sua-tuoi-tran-chau-duong-den-sieu-thom-ngon-i2674015244.html", "https://www.lazada.vn/products/siro-duong-den-dam-dac-mola-chai-15kg-pha-che-sua-tuoi-tran-chau-duong-den-sieu-thom-ngon-i2674015244.html")</f>
        <v>https://www.lazada.vn/products/siro-duong-den-dam-dac-mola-chai-15kg-pha-che-sua-tuoi-tran-chau-duong-den-sieu-thom-ngon-i2674015244.html</v>
      </c>
      <c r="C1644" s="10" t="s">
        <v>1644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8">
        <v>6499.0</v>
      </c>
      <c r="B1645" s="9" t="str">
        <f>HYPERLINK("https://www.lazada.vn/products/ruou-vang-do-peninsula-grand-reserva-carmenere-i2796001498.html", "https://www.lazada.vn/products/ruou-vang-do-peninsula-grand-reserva-carmenere-i2796001498.html")</f>
        <v>https://www.lazada.vn/products/ruou-vang-do-peninsula-grand-reserva-carmenere-i2796001498.html</v>
      </c>
      <c r="C1645" s="10" t="s">
        <v>1645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8">
        <v>6500.0</v>
      </c>
      <c r="B1646" s="9" t="str">
        <f>HYPERLINK("https://www.lazada.vn/products/combo-2-khay-12-ong-keo-socola-sua-popit-doreamon-ong-15g-i2952640130.html", "https://www.lazada.vn/products/combo-2-khay-12-ong-keo-socola-sua-popit-doreamon-ong-15g-i2952640130.html")</f>
        <v>https://www.lazada.vn/products/combo-2-khay-12-ong-keo-socola-sua-popit-doreamon-ong-15g-i2952640130.html</v>
      </c>
      <c r="C1646" s="10" t="s">
        <v>1646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8">
        <v>6501.0</v>
      </c>
      <c r="B1647" s="9" t="str">
        <f>HYPERLINK("https://www.lazada.vn/products/combo-sieu-re-ca-phe-sau-rieng-rockcafe-tui-30-goi-20gram-i2786211869.html", "https://www.lazada.vn/products/combo-sieu-re-ca-phe-sau-rieng-rockcafe-tui-30-goi-20gram-i2786211869.html")</f>
        <v>https://www.lazada.vn/products/combo-sieu-re-ca-phe-sau-rieng-rockcafe-tui-30-goi-20gram-i2786211869.html</v>
      </c>
      <c r="C1647" s="10" t="s">
        <v>1647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8">
        <v>6502.0</v>
      </c>
      <c r="B1648" s="9" t="str">
        <f>HYPERLINK("https://www.lazada.vn/products/combo-2-hop-vien-nghe-sua-ong-chua-tinh-nghe-mat-ong-nguyen-chat-lam-dep-da-giam-can-ho-tro-nguoi-dau-da-day-i2756775808.html", "https://www.lazada.vn/products/combo-2-hop-vien-nghe-sua-ong-chua-tinh-nghe-mat-ong-nguyen-chat-lam-dep-da-giam-can-ho-tro-nguoi-dau-da-day-i2756775808.html")</f>
        <v>https://www.lazada.vn/products/combo-2-hop-vien-nghe-sua-ong-chua-tinh-nghe-mat-ong-nguyen-chat-lam-dep-da-giam-can-ho-tro-nguoi-dau-da-day-i2756775808.html</v>
      </c>
      <c r="C1648" s="10" t="s">
        <v>1648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8">
        <v>6503.0</v>
      </c>
      <c r="B1649" s="9" t="str">
        <f>HYPERLINK("https://www.lazada.vn/products/banh-dau-do-gao-lut-huong-vi-thom-ngon-dam-da-mem-mem-ngot-nhe-bua-sang-lanh-manh-i2793993770.html", "https://www.lazada.vn/products/banh-dau-do-gao-lut-huong-vi-thom-ngon-dam-da-mem-mem-ngot-nhe-bua-sang-lanh-manh-i2793993770.html")</f>
        <v>https://www.lazada.vn/products/banh-dau-do-gao-lut-huong-vi-thom-ngon-dam-da-mem-mem-ngot-nhe-bua-sang-lanh-manh-i2793993770.html</v>
      </c>
      <c r="C1649" s="10" t="s">
        <v>1649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8">
        <v>6504.0</v>
      </c>
      <c r="B1650" s="9" t="str">
        <f>HYPERLINK("https://www.lazada.vn/products/1-kg-banh-trang-muoi-nhuyen-xi-ke-toi-sieu-nghien-hut-chan-khong-do-an-vat-an-vat-sieu-ngon-i2704856677.html", "https://www.lazada.vn/products/1-kg-banh-trang-muoi-nhuyen-xi-ke-toi-sieu-nghien-hut-chan-khong-do-an-vat-an-vat-sieu-ngon-i2704856677.html")</f>
        <v>https://www.lazada.vn/products/1-kg-banh-trang-muoi-nhuyen-xi-ke-toi-sieu-nghien-hut-chan-khong-do-an-vat-an-vat-sieu-ngon-i2704856677.html</v>
      </c>
      <c r="C1650" s="10" t="s">
        <v>1650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8">
        <v>6505.0</v>
      </c>
      <c r="B1651" s="9" t="str">
        <f>HYPERLINK("https://www.lazada.vn/products/sam-lanh-giai-nhiet-8-vi-huynh-gia-nuoc-mat-thanh-nhiet-set-nau-5-lit-i2759923754.html", "https://www.lazada.vn/products/sam-lanh-giai-nhiet-8-vi-huynh-gia-nuoc-mat-thanh-nhiet-set-nau-5-lit-i2759923754.html")</f>
        <v>https://www.lazada.vn/products/sam-lanh-giai-nhiet-8-vi-huynh-gia-nuoc-mat-thanh-nhiet-set-nau-5-lit-i2759923754.html</v>
      </c>
      <c r="C1651" s="10" t="s">
        <v>1651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8">
        <v>6506.0</v>
      </c>
      <c r="B1652" s="9" t="str">
        <f>HYPERLINK("https://www.lazada.vn/products/qua-tang-ngau-nhien-chi-tiet-xem-mo-ta-i1620790282.html", "https://www.lazada.vn/products/qua-tang-ngau-nhien-chi-tiet-xem-mo-ta-i1620790282.html")</f>
        <v>https://www.lazada.vn/products/qua-tang-ngau-nhien-chi-tiet-xem-mo-ta-i1620790282.html</v>
      </c>
      <c r="C1652" s="10" t="s">
        <v>1652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8">
        <v>6507.0</v>
      </c>
      <c r="B1653" s="9" t="str">
        <f>HYPERLINK("https://www.lazada.vn/products/hcm-banh-troi-nuoc-nhan-dau-phong-200g-10-vien-singapore-tabio-i1359291465.html", "https://www.lazada.vn/products/hcm-banh-troi-nuoc-nhan-dau-phong-200g-10-vien-singapore-tabio-i1359291465.html")</f>
        <v>https://www.lazada.vn/products/hcm-banh-troi-nuoc-nhan-dau-phong-200g-10-vien-singapore-tabio-i1359291465.html</v>
      </c>
      <c r="C1653" s="10" t="s">
        <v>1653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8">
        <v>6508.0</v>
      </c>
      <c r="B1654" s="9" t="str">
        <f>HYPERLINK("https://www.lazada.vn/products/hcm-banh-troi-nuoc-nhan-me-den-200g-10-vien-singapore-tabio-i1359214709.html", "https://www.lazada.vn/products/hcm-banh-troi-nuoc-nhan-me-den-200g-10-vien-singapore-tabio-i1359214709.html")</f>
        <v>https://www.lazada.vn/products/hcm-banh-troi-nuoc-nhan-me-den-200g-10-vien-singapore-tabio-i1359214709.html</v>
      </c>
      <c r="C1654" s="10" t="s">
        <v>1654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8">
        <v>6509.0</v>
      </c>
      <c r="B1655" s="9" t="str">
        <f>HYPERLINK("https://www.lazada.vn/products/khoai-tay-say-mam-hanh-trend-2024-vi-ngon-la-gion-xop-cay-nhe-hanh-phuc-da-lat-i2874130472.html", "https://www.lazada.vn/products/khoai-tay-say-mam-hanh-trend-2024-vi-ngon-la-gion-xop-cay-nhe-hanh-phuc-da-lat-i2874130472.html")</f>
        <v>https://www.lazada.vn/products/khoai-tay-say-mam-hanh-trend-2024-vi-ngon-la-gion-xop-cay-nhe-hanh-phuc-da-lat-i2874130472.html</v>
      </c>
      <c r="C1655" s="10" t="s">
        <v>1655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8">
        <v>6510.0</v>
      </c>
      <c r="B1656" s="9" t="str">
        <f>HYPERLINK("https://www.lazada.vn/products/mem-ngon-100g-keo-le-an-phe-mat-ong-giup-thanh-nhiet-mat-hong-tot-cho-suc-khoe-i2859495723.html", "https://www.lazada.vn/products/mem-ngon-100g-keo-le-an-phe-mat-ong-giup-thanh-nhiet-mat-hong-tot-cho-suc-khoe-i2859495723.html")</f>
        <v>https://www.lazada.vn/products/mem-ngon-100g-keo-le-an-phe-mat-ong-giup-thanh-nhiet-mat-hong-tot-cho-suc-khoe-i2859495723.html</v>
      </c>
      <c r="C1656" s="10" t="s">
        <v>1656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8">
        <v>6511.0</v>
      </c>
      <c r="B1657" s="9" t="str">
        <f>HYPERLINK("https://www.lazada.vn/products/mi-ottogi-soi-lon-900g-i1129930806.html", "https://www.lazada.vn/products/mi-ottogi-soi-lon-900g-i1129930806.html")</f>
        <v>https://www.lazada.vn/products/mi-ottogi-soi-lon-900g-i1129930806.html</v>
      </c>
      <c r="C1657" s="10" t="s">
        <v>1657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8">
        <v>6512.0</v>
      </c>
      <c r="B1658" s="9" t="str">
        <f>HYPERLINK("https://www.lazada.vn/products/bot-panna-cotta-vi-vai-thom-beo-500g-thuong-hieu-calay-mem-min-nun-nin-nhu-banh-plan-i2610888124.html", "https://www.lazada.vn/products/bot-panna-cotta-vi-vai-thom-beo-500g-thuong-hieu-calay-mem-min-nun-nin-nhu-banh-plan-i2610888124.html")</f>
        <v>https://www.lazada.vn/products/bot-panna-cotta-vi-vai-thom-beo-500g-thuong-hieu-calay-mem-min-nun-nin-nhu-banh-plan-i2610888124.html</v>
      </c>
      <c r="C1658" s="10" t="s">
        <v>1658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8">
        <v>6513.0</v>
      </c>
      <c r="B1659" s="9" t="str">
        <f>HYPERLINK("https://www.lazada.vn/products/chanh-sanh-700ml-chanh-dao-u-muoi-mat-ong-chanh-dao-mat-ong-chanh-sanh-u-muoi-thuc-duong-i2105634942.html", "https://www.lazada.vn/products/chanh-sanh-700ml-chanh-dao-u-muoi-mat-ong-chanh-dao-mat-ong-chanh-sanh-u-muoi-thuc-duong-i2105634942.html")</f>
        <v>https://www.lazada.vn/products/chanh-sanh-700ml-chanh-dao-u-muoi-mat-ong-chanh-dao-mat-ong-chanh-sanh-u-muoi-thuc-duong-i2105634942.html</v>
      </c>
      <c r="C1659" s="10" t="s">
        <v>1659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8">
        <v>6514.0</v>
      </c>
      <c r="B1660" s="9" t="str">
        <f>HYPERLINK("https://www.lazada.vn/products/ruou-vang-trang-g7-clasico-sauvignon-blanc-alc-125-750ml-i2255761125.html", "https://www.lazada.vn/products/ruou-vang-trang-g7-clasico-sauvignon-blanc-alc-125-750ml-i2255761125.html")</f>
        <v>https://www.lazada.vn/products/ruou-vang-trang-g7-clasico-sauvignon-blanc-alc-125-750ml-i2255761125.html</v>
      </c>
      <c r="C1660" s="10" t="s">
        <v>1660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8">
        <v>6515.0</v>
      </c>
      <c r="B1661" s="9" t="str">
        <f>HYPERLINK("https://www.lazada.vn/products/thung-24-lon-nuoc-ngot-coca-cola-vi-nguyen-ban-320ml-i2639078532.html", "https://www.lazada.vn/products/thung-24-lon-nuoc-ngot-coca-cola-vi-nguyen-ban-320ml-i2639078532.html")</f>
        <v>https://www.lazada.vn/products/thung-24-lon-nuoc-ngot-coca-cola-vi-nguyen-ban-320ml-i2639078532.html</v>
      </c>
      <c r="C1661" s="10" t="s">
        <v>1661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8">
        <v>6516.0</v>
      </c>
      <c r="B1662" s="9" t="str">
        <f>HYPERLINK("https://www.lazada.vn/products/thung-24-chai-nuoc-uong-kirin-imuse-vi-sua-chua-va-chanh-280ml-tang-cuong-he-mien-dich-i2857650715.html", "https://www.lazada.vn/products/thung-24-chai-nuoc-uong-kirin-imuse-vi-sua-chua-va-chanh-280ml-tang-cuong-he-mien-dich-i2857650715.html")</f>
        <v>https://www.lazada.vn/products/thung-24-chai-nuoc-uong-kirin-imuse-vi-sua-chua-va-chanh-280ml-tang-cuong-he-mien-dich-i2857650715.html</v>
      </c>
      <c r="C1662" s="10" t="s">
        <v>1662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8">
        <v>6517.0</v>
      </c>
      <c r="B1663" s="9" t="str">
        <f>HYPERLINK("https://www.lazada.vn/products/blanc-1664-nong-do-con-5-combo-2-thung-24-lon-bia-330ml-beer-phap-hao-hang-i3013997065.html", "https://www.lazada.vn/products/blanc-1664-nong-do-con-5-combo-2-thung-24-lon-bia-330ml-beer-phap-hao-hang-i3013997065.html")</f>
        <v>https://www.lazada.vn/products/blanc-1664-nong-do-con-5-combo-2-thung-24-lon-bia-330ml-beer-phap-hao-hang-i3013997065.html</v>
      </c>
      <c r="C1663" s="10" t="s">
        <v>1663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8">
        <v>6518.0</v>
      </c>
      <c r="B1664" s="9" t="str">
        <f>HYPERLINK("https://www.lazada.vn/products/heinz-lon-oxtail-400g-sup-duoi-bo-oxtail-soup-i3052723619.html", "https://www.lazada.vn/products/heinz-lon-oxtail-400g-sup-duoi-bo-oxtail-soup-i3052723619.html")</f>
        <v>https://www.lazada.vn/products/heinz-lon-oxtail-400g-sup-duoi-bo-oxtail-soup-i3052723619.html</v>
      </c>
      <c r="C1664" s="10" t="s">
        <v>1664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8">
        <v>6519.0</v>
      </c>
      <c r="B1665" s="9" t="str">
        <f>HYPERLINK("https://www.lazada.vn/products/500g-thit-de-dai-cat-nho-hang-lanh-chi-ship-hoa-toc-tp-hcm-tpc-an-tue-i2928477191.html", "https://www.lazada.vn/products/500g-thit-de-dai-cat-nho-hang-lanh-chi-ship-hoa-toc-tp-hcm-tpc-an-tue-i2928477191.html")</f>
        <v>https://www.lazada.vn/products/500g-thit-de-dai-cat-nho-hang-lanh-chi-ship-hoa-toc-tp-hcm-tpc-an-tue-i2928477191.html</v>
      </c>
      <c r="C1665" s="10" t="s">
        <v>1665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8">
        <v>6520.0</v>
      </c>
      <c r="B1666" s="9" t="str">
        <f>HYPERLINK("https://www.lazada.vn/products/bia-thu-cong-7-bridges-imperial-ipa-330ml-huong-vi-mach-nha-manh-me-va-huong-vi-hoa-bia-cam-quyt-diu-nhe-i2924449340.html", "https://www.lazada.vn/products/bia-thu-cong-7-bridges-imperial-ipa-330ml-huong-vi-mach-nha-manh-me-va-huong-vi-hoa-bia-cam-quyt-diu-nhe-i2924449340.html")</f>
        <v>https://www.lazada.vn/products/bia-thu-cong-7-bridges-imperial-ipa-330ml-huong-vi-mach-nha-manh-me-va-huong-vi-hoa-bia-cam-quyt-diu-nhe-i2924449340.html</v>
      </c>
      <c r="C1666" s="10" t="s">
        <v>1666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8">
        <v>6521.0</v>
      </c>
      <c r="B1667" s="9" t="str">
        <f>HYPERLINK("https://www.lazada.vn/products/tran-chau-o-long-huong-nhai-1kg-i2673997455.html", "https://www.lazada.vn/products/tran-chau-o-long-huong-nhai-1kg-i2673997455.html")</f>
        <v>https://www.lazada.vn/products/tran-chau-o-long-huong-nhai-1kg-i2673997455.html</v>
      </c>
      <c r="C1667" s="10" t="s">
        <v>1667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8">
        <v>6522.0</v>
      </c>
      <c r="B1668" s="9" t="str">
        <f>HYPERLINK("https://www.lazada.vn/products/ruou-vang-do-undurraga-founders-collection-cabernet-sauvignon-i2795997919.html", "https://www.lazada.vn/products/ruou-vang-do-undurraga-founders-collection-cabernet-sauvignon-i2795997919.html")</f>
        <v>https://www.lazada.vn/products/ruou-vang-do-undurraga-founders-collection-cabernet-sauvignon-i2795997919.html</v>
      </c>
      <c r="C1668" s="10" t="s">
        <v>1668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8">
        <v>6523.0</v>
      </c>
      <c r="B1669" s="9" t="str">
        <f>HYPERLINK("https://www.lazada.vn/products/ca-phe-sua-wake-up-sai-gon-vinacafe-tui-24-goi-x-19g-i2786187364.html", "https://www.lazada.vn/products/ca-phe-sua-wake-up-sai-gon-vinacafe-tui-24-goi-x-19g-i2786187364.html")</f>
        <v>https://www.lazada.vn/products/ca-phe-sua-wake-up-sai-gon-vinacafe-tui-24-goi-x-19g-i2786187364.html</v>
      </c>
      <c r="C1669" s="10" t="s">
        <v>1669</v>
      </c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8">
        <v>6524.0</v>
      </c>
      <c r="B1670" s="9" t="str">
        <f>HYPERLINK("https://www.lazada.vn/products/combo-3-hop-banh-hanh-nhan-trung-muoi-tan-hue-vien-300gr-banh-keo-tet-do-an-vat-banh-quy-man-i2266228821.html", "https://www.lazada.vn/products/combo-3-hop-banh-hanh-nhan-trung-muoi-tan-hue-vien-300gr-banh-keo-tet-do-an-vat-banh-quy-man-i2266228821.html")</f>
        <v>https://www.lazada.vn/products/combo-3-hop-banh-hanh-nhan-trung-muoi-tan-hue-vien-300gr-banh-keo-tet-do-an-vat-banh-quy-man-i2266228821.html</v>
      </c>
      <c r="C1670" s="10" t="s">
        <v>1670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8">
        <v>6525.0</v>
      </c>
      <c r="B1671" s="9" t="str">
        <f>HYPERLINK("https://www.lazada.vn/products/banh-da-vung-den-do-luong-nghe-an-loai-dac-biet-chat-luong-tao-nen-uy-tin-thom-ngon-gion-tan-i2931957328.html", "https://www.lazada.vn/products/banh-da-vung-den-do-luong-nghe-an-loai-dac-biet-chat-luong-tao-nen-uy-tin-thom-ngon-gion-tan-i2931957328.html")</f>
        <v>https://www.lazada.vn/products/banh-da-vung-den-do-luong-nghe-an-loai-dac-biet-chat-luong-tao-nen-uy-tin-thom-ngon-gion-tan-i2931957328.html</v>
      </c>
      <c r="C1671" s="10" t="s">
        <v>1671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8">
        <v>6526.0</v>
      </c>
      <c r="B1672" s="9" t="str">
        <f>HYPERLINK("https://www.lazada.vn/products/ong-keo-socola-sua-popit-doreamon-15g-socola-do-an-vat-i2952592383.html", "https://www.lazada.vn/products/ong-keo-socola-sua-popit-doreamon-15g-socola-do-an-vat-i2952592383.html")</f>
        <v>https://www.lazada.vn/products/ong-keo-socola-sua-popit-doreamon-15g-socola-do-an-vat-i2952592383.html</v>
      </c>
      <c r="C1672" s="10" t="s">
        <v>1672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8">
        <v>6527.0</v>
      </c>
      <c r="B1673" s="9" t="str">
        <f>HYPERLINK("https://www.lazada.vn/products/tong-so-tuyet-voi-thuc-vat-prebiotic-mau-xanh-la-cay-nuoc-trai-cay-bot-lua-mach-la-mau-xanh-la-cay-bot-nuoc-trai-cay-i2754673008.html", "https://www.lazada.vn/products/tong-so-tuyet-voi-thuc-vat-prebiotic-mau-xanh-la-cay-nuoc-trai-cay-bot-lua-mach-la-mau-xanh-la-cay-bot-nuoc-trai-cay-i2754673008.html")</f>
        <v>https://www.lazada.vn/products/tong-so-tuyet-voi-thuc-vat-prebiotic-mau-xanh-la-cay-nuoc-trai-cay-bot-lua-mach-la-mau-xanh-la-cay-bot-nuoc-trai-cay-i2754673008.html</v>
      </c>
      <c r="C1673" s="10" t="s">
        <v>1673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8">
        <v>6528.0</v>
      </c>
      <c r="B1674" s="9" t="str">
        <f>HYPERLINK("https://www.lazada.vn/products/banh-ngon-3-vi-it-duong-it-ngot-dau-do-la-dua-me-den-i2792148153.html", "https://www.lazada.vn/products/banh-ngon-3-vi-it-duong-it-ngot-dau-do-la-dua-me-den-i2792148153.html")</f>
        <v>https://www.lazada.vn/products/banh-ngon-3-vi-it-duong-it-ngot-dau-do-la-dua-me-den-i2792148153.html</v>
      </c>
      <c r="C1674" s="10" t="s">
        <v>1674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8">
        <v>6529.0</v>
      </c>
      <c r="B1675" s="9" t="str">
        <f>HYPERLINK("https://www.lazada.vn/products/tang-goi-bo-trang-set-10-bich-banh-trang-deo-la-dua-cuon-hanh-phi-do-an-vat-an-vat-sieu-ngon-i2704741848.html", "https://www.lazada.vn/products/tang-goi-bo-trang-set-10-bich-banh-trang-deo-la-dua-cuon-hanh-phi-do-an-vat-an-vat-sieu-ngon-i2704741848.html")</f>
        <v>https://www.lazada.vn/products/tang-goi-bo-trang-set-10-bich-banh-trang-deo-la-dua-cuon-hanh-phi-do-an-vat-an-vat-sieu-ngon-i2704741848.html</v>
      </c>
      <c r="C1675" s="10" t="s">
        <v>1675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8">
        <v>6530.0</v>
      </c>
      <c r="B1676" s="9" t="str">
        <f>HYPERLINK("https://www.lazada.vn/products/dong-trung-ha-thao-tu-nhien-vang-dep-thuong-hang-i2759916773.html", "https://www.lazada.vn/products/dong-trung-ha-thao-tu-nhien-vang-dep-thuong-hang-i2759916773.html")</f>
        <v>https://www.lazada.vn/products/dong-trung-ha-thao-tu-nhien-vang-dep-thuong-hang-i2759916773.html</v>
      </c>
      <c r="C1676" s="10" t="s">
        <v>1676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8">
        <v>6531.0</v>
      </c>
      <c r="B1677" s="9" t="str">
        <f>HYPERLINK("https://www.lazada.vn/products/hat-huong-duong-tam-vi-mat-ongcaramen-goi-500g-gion-hat-to-vi-dam-i1593435074.html", "https://www.lazada.vn/products/hat-huong-duong-tam-vi-mat-ongcaramen-goi-500g-gion-hat-to-vi-dam-i1593435074.html")</f>
        <v>https://www.lazada.vn/products/hat-huong-duong-tam-vi-mat-ongcaramen-goi-500g-gion-hat-to-vi-dam-i1593435074.html</v>
      </c>
      <c r="C1677" s="10" t="s">
        <v>1677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8">
        <v>6532.0</v>
      </c>
      <c r="B1678" s="9" t="str">
        <f>HYPERLINK("https://www.lazada.vn/products/oreo-hong-anh-dao-sakura-matcha-i1312389626.html", "https://www.lazada.vn/products/oreo-hong-anh-dao-sakura-matcha-i1312389626.html")</f>
        <v>https://www.lazada.vn/products/oreo-hong-anh-dao-sakura-matcha-i1312389626.html</v>
      </c>
      <c r="C1678" s="10" t="s">
        <v>1678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8">
        <v>6533.0</v>
      </c>
      <c r="B1679" s="9" t="str">
        <f>HYPERLINK("https://www.lazada.vn/products/keo-ngam-ho-xuyen-boi-ty-ba-nin-jiom-herbal-candy-hong-kong-vi-nguyen-ban-i2858153625.html", "https://www.lazada.vn/products/keo-ngam-ho-xuyen-boi-ty-ba-nin-jiom-herbal-candy-hong-kong-vi-nguyen-ban-i2858153625.html")</f>
        <v>https://www.lazada.vn/products/keo-ngam-ho-xuyen-boi-ty-ba-nin-jiom-herbal-candy-hong-kong-vi-nguyen-ban-i2858153625.html</v>
      </c>
      <c r="C1679" s="10" t="s">
        <v>1679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8">
        <v>6534.0</v>
      </c>
      <c r="B1680" s="9" t="str">
        <f>HYPERLINK("https://www.lazada.vn/products/thach-rau-cau-kimiko-tui-990g-phong-cach-nhat-ban-i2604566394.html", "https://www.lazada.vn/products/thach-rau-cau-kimiko-tui-990g-phong-cach-nhat-ban-i2604566394.html")</f>
        <v>https://www.lazada.vn/products/thach-rau-cau-kimiko-tui-990g-phong-cach-nhat-ban-i2604566394.html</v>
      </c>
      <c r="C1680" s="10" t="s">
        <v>1680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8">
        <v>6535.0</v>
      </c>
      <c r="B1681" s="9" t="str">
        <f>HYPERLINK("https://www.lazada.vn/products/ngam-chua-mother-garlic-pickle-400gm-i2105448029.html", "https://www.lazada.vn/products/ngam-chua-mother-garlic-pickle-400gm-i2105448029.html")</f>
        <v>https://www.lazada.vn/products/ngam-chua-mother-garlic-pickle-400gm-i2105448029.html</v>
      </c>
      <c r="C1681" s="10" t="s">
        <v>1681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8">
        <v>6536.0</v>
      </c>
      <c r="B1682" s="9" t="str">
        <f>HYPERLINK("https://www.lazada.vn/products/khoai-tay-say-mam-hanh-trend-2024-vi-ngon-la-gion-xop-cay-nhe-an-vat-ngon-re-da-lat-i2874035208.html", "https://www.lazada.vn/products/khoai-tay-say-mam-hanh-trend-2024-vi-ngon-la-gion-xop-cay-nhe-an-vat-ngon-re-da-lat-i2874035208.html")</f>
        <v>https://www.lazada.vn/products/khoai-tay-say-mam-hanh-trend-2024-vi-ngon-la-gion-xop-cay-nhe-an-vat-ngon-re-da-lat-i2874035208.html</v>
      </c>
      <c r="C1682" s="10" t="s">
        <v>1682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8">
        <v>6537.0</v>
      </c>
      <c r="B1683" s="9" t="str">
        <f>HYPERLINK("https://www.lazada.vn/products/bun-bo-hue-jimmy-250g-i1038204130.html", "https://www.lazada.vn/products/bun-bo-hue-jimmy-250g-i1038204130.html")</f>
        <v>https://www.lazada.vn/products/bun-bo-hue-jimmy-250g-i1038204130.html</v>
      </c>
      <c r="C1683" s="10" t="s">
        <v>1683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8">
        <v>6538.0</v>
      </c>
      <c r="B1684" s="9" t="str">
        <f>HYPERLINK("https://www.lazada.vn/products/banh-quy-bo-danisa-dan-mach-hop-200g-i2252802348.html", "https://www.lazada.vn/products/banh-quy-bo-danisa-dan-mach-hop-200g-i2252802348.html")</f>
        <v>https://www.lazada.vn/products/banh-quy-bo-danisa-dan-mach-hop-200g-i2252802348.html</v>
      </c>
      <c r="C1684" s="10" t="s">
        <v>1684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8">
        <v>6539.0</v>
      </c>
      <c r="B1685" s="9" t="str">
        <f>HYPERLINK("https://www.lazada.vn/products/ruou-vang-trang-sileni-sauvignon-blanc-cellar-selection-alc-13-750ml-i2255720678.html", "https://www.lazada.vn/products/ruou-vang-trang-sileni-sauvignon-blanc-cellar-selection-alc-13-750ml-i2255720678.html")</f>
        <v>https://www.lazada.vn/products/ruou-vang-trang-sileni-sauvignon-blanc-cellar-selection-alc-13-750ml-i2255720678.html</v>
      </c>
      <c r="C1685" s="10" t="s">
        <v>1685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8">
        <v>6540.0</v>
      </c>
      <c r="B1686" s="9" t="str">
        <f>HYPERLINK("https://www.lazada.vn/products/date-01082025-hop-banh-qui-mat-ong-va-sua-chua-misura-1998g-i2930879669.html", "https://www.lazada.vn/products/date-01082025-hop-banh-qui-mat-ong-va-sua-chua-misura-1998g-i2930879669.html")</f>
        <v>https://www.lazada.vn/products/date-01082025-hop-banh-qui-mat-ong-va-sua-chua-misura-1998g-i2930879669.html</v>
      </c>
      <c r="C1686" s="10" t="s">
        <v>1686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8">
        <v>6541.0</v>
      </c>
      <c r="B1687" s="9" t="str">
        <f>HYPERLINK("https://www.lazada.vn/products/ruou-vang-trang-matapere-sauvignon-blanc-alc-13-750ml-i2255671543.html", "https://www.lazada.vn/products/ruou-vang-trang-matapere-sauvignon-blanc-alc-13-750ml-i2255671543.html")</f>
        <v>https://www.lazada.vn/products/ruou-vang-trang-matapere-sauvignon-blanc-alc-13-750ml-i2255671543.html</v>
      </c>
      <c r="C1687" s="10" t="s">
        <v>1687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8">
        <v>6542.0</v>
      </c>
      <c r="B1688" s="9" t="str">
        <f>HYPERLINK("https://www.lazada.vn/products/loc-6-lon-nuoc-giai-khat-coca-cola-lon-320ml-i2627319028.html", "https://www.lazada.vn/products/loc-6-lon-nuoc-giai-khat-coca-cola-lon-320ml-i2627319028.html")</f>
        <v>https://www.lazada.vn/products/loc-6-lon-nuoc-giai-khat-coca-cola-lon-320ml-i2627319028.html</v>
      </c>
      <c r="C1688" s="10" t="s">
        <v>1688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8">
        <v>6543.0</v>
      </c>
      <c r="B1689" s="9" t="str">
        <f>HYPERLINK("https://www.lazada.vn/products/4-lit-loai-dac-biet-nuoc-chung-cat-tinh-chat-trai-nhau-dam-chat-nhau-i2856963872.html", "https://www.lazada.vn/products/4-lit-loai-dac-biet-nuoc-chung-cat-tinh-chat-trai-nhau-dam-chat-nhau-i2856963872.html")</f>
        <v>https://www.lazada.vn/products/4-lit-loai-dac-biet-nuoc-chung-cat-tinh-chat-trai-nhau-dam-chat-nhau-i2856963872.html</v>
      </c>
      <c r="C1689" s="10" t="s">
        <v>1689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8">
        <v>6544.0</v>
      </c>
      <c r="B1690" s="9" t="str">
        <f>HYPERLINK("https://www.lazada.vn/products/dale-dephne-1-thung-bia-corny-khoa-khilong-ngat-ket-noi-cho-bia-nha-kieu-cornelius-i3013728992.html", "https://www.lazada.vn/products/dale-dephne-1-thung-bia-corny-khoa-khilong-ngat-ket-noi-cho-bia-nha-kieu-cornelius-i3013728992.html")</f>
        <v>https://www.lazada.vn/products/dale-dephne-1-thung-bia-corny-khoa-khilong-ngat-ket-noi-cho-bia-nha-kieu-cornelius-i3013728992.html</v>
      </c>
      <c r="C1690" s="10" t="s">
        <v>1690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8">
        <v>6545.0</v>
      </c>
      <c r="B1691" s="9" t="str">
        <f>HYPERLINK("https://www.lazada.vn/products/set-3con-mam-ca-bac-ma-binh-dinh-ca-size-lon-vip-i3052605213.html", "https://www.lazada.vn/products/set-3con-mam-ca-bac-ma-binh-dinh-ca-size-lon-vip-i3052605213.html")</f>
        <v>https://www.lazada.vn/products/set-3con-mam-ca-bac-ma-binh-dinh-ca-size-lon-vip-i3052605213.html</v>
      </c>
      <c r="C1691" s="10" t="s">
        <v>1691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8">
        <v>6546.0</v>
      </c>
      <c r="B1692" s="9" t="str">
        <f>HYPERLINK("https://www.lazada.vn/products/bia-thu-cong-7-bridges-sunset-tangerine-wheat-330ml-huong-vi-cam-quyt-tuoi-mat-cung-huong-hoa-co-va-gia-vi-i2924442504.html", "https://www.lazada.vn/products/bia-thu-cong-7-bridges-sunset-tangerine-wheat-330ml-huong-vi-cam-quyt-tuoi-mat-cung-huong-hoa-co-va-gia-vi-i2924442504.html")</f>
        <v>https://www.lazada.vn/products/bia-thu-cong-7-bridges-sunset-tangerine-wheat-330ml-huong-vi-cam-quyt-tuoi-mat-cung-huong-hoa-co-va-gia-vi-i2924442504.html</v>
      </c>
      <c r="C1692" s="10" t="s">
        <v>1692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8">
        <v>6547.0</v>
      </c>
      <c r="B1693" s="9" t="str">
        <f>HYPERLINK("https://www.lazada.vn/products/combo-12-goi-mien-phu-huong-58ggoi-i2928260531.html", "https://www.lazada.vn/products/combo-12-goi-mien-phu-huong-58ggoi-i2928260531.html")</f>
        <v>https://www.lazada.vn/products/combo-12-goi-mien-phu-huong-58ggoi-i2928260531.html</v>
      </c>
      <c r="C1693" s="10" t="s">
        <v>1693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8">
        <v>6548.0</v>
      </c>
      <c r="B1694" s="9" t="str">
        <f>HYPERLINK("https://www.lazada.vn/products/tran-chau-o-long-huong-nhai-1kg-i2673973457.html", "https://www.lazada.vn/products/tran-chau-o-long-huong-nhai-1kg-i2673973457.html")</f>
        <v>https://www.lazada.vn/products/tran-chau-o-long-huong-nhai-1kg-i2673973457.html</v>
      </c>
      <c r="C1694" s="10" t="s">
        <v>1694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8">
        <v>6549.0</v>
      </c>
      <c r="B1695" s="9" t="str">
        <f>HYPERLINK("https://www.lazada.vn/products/ruou-vang-do-paul-mas-gres-de-montpellier-chateau-paul-mas-clos-de-savignac-i2795991348.html", "https://www.lazada.vn/products/ruou-vang-do-paul-mas-gres-de-montpellier-chateau-paul-mas-clos-de-savignac-i2795991348.html")</f>
        <v>https://www.lazada.vn/products/ruou-vang-do-paul-mas-gres-de-montpellier-chateau-paul-mas-clos-de-savignac-i2795991348.html</v>
      </c>
      <c r="C1695" s="10" t="s">
        <v>1695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8">
        <v>6550.0</v>
      </c>
      <c r="B1696" s="9" t="str">
        <f>HYPERLINK("https://www.lazada.vn/products/hop-ca-phe-sua-da-tuoi-moi-ong-bau-ob-cafe-hop-240g-min2017-i2786168624.html", "https://www.lazada.vn/products/hop-ca-phe-sua-da-tuoi-moi-ong-bau-ob-cafe-hop-240g-min2017-i2786168624.html")</f>
        <v>https://www.lazada.vn/products/hop-ca-phe-sua-da-tuoi-moi-ong-bau-ob-cafe-hop-240g-min2017-i2786168624.html</v>
      </c>
      <c r="C1696" s="10" t="s">
        <v>1696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8">
        <v>6551.0</v>
      </c>
      <c r="B1697" s="9" t="str">
        <f>HYPERLINK("https://www.lazada.vn/products/combo-6-ong-keo-socola-sua-popit-doreamon-15g-do-an-vat-i2952582419.html", "https://www.lazada.vn/products/combo-6-ong-keo-socola-sua-popit-doreamon-15g-do-an-vat-i2952582419.html")</f>
        <v>https://www.lazada.vn/products/combo-6-ong-keo-socola-sua-popit-doreamon-15g-do-an-vat-i2952582419.html</v>
      </c>
      <c r="C1697" s="10" t="s">
        <v>1697</v>
      </c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8">
        <v>6552.0</v>
      </c>
      <c r="B1698" s="9" t="str">
        <f>HYPERLINK("https://www.lazada.vn/products/bot-vi-khoai-mon-bkb-tui-1kg-pha-tra-sua-khoai-mon-thom-ngon-mau-sac-tu-nhien-i2751120649.html", "https://www.lazada.vn/products/bot-vi-khoai-mon-bkb-tui-1kg-pha-tra-sua-khoai-mon-thom-ngon-mau-sac-tu-nhien-i2751120649.html")</f>
        <v>https://www.lazada.vn/products/bot-vi-khoai-mon-bkb-tui-1kg-pha-tra-sua-khoai-mon-thom-ngon-mau-sac-tu-nhien-i2751120649.html</v>
      </c>
      <c r="C1698" s="10" t="s">
        <v>1698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8">
        <v>6553.0</v>
      </c>
      <c r="B1699" s="9" t="str">
        <f>HYPERLINK("https://www.lazada.vn/products/combo-5-caibanh-mi-cha-bong-sot-singapore-gia-sieu-hot-i2792097361.html", "https://www.lazada.vn/products/combo-5-caibanh-mi-cha-bong-sot-singapore-gia-sieu-hot-i2792097361.html")</f>
        <v>https://www.lazada.vn/products/combo-5-caibanh-mi-cha-bong-sot-singapore-gia-sieu-hot-i2792097361.html</v>
      </c>
      <c r="C1699" s="10" t="s">
        <v>1699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8">
        <v>6554.0</v>
      </c>
      <c r="B1700" s="9" t="str">
        <f>HYPERLINK("https://www.lazada.vn/products/ban-si-day-banh-trang-tron-tay-ninh-10-goi-an-lien-nhieu-vi-thom-ngon-hap-dan-do-an-vat-cong-truong-hot-nhat-i2699091934.html", "https://www.lazada.vn/products/ban-si-day-banh-trang-tron-tay-ninh-10-goi-an-lien-nhieu-vi-thom-ngon-hap-dan-do-an-vat-cong-truong-hot-nhat-i2699091934.html")</f>
        <v>https://www.lazada.vn/products/ban-si-day-banh-trang-tron-tay-ninh-10-goi-an-lien-nhieu-vi-thom-ngon-hap-dan-do-an-vat-cong-truong-hot-nhat-i2699091934.html</v>
      </c>
      <c r="C1700" s="10" t="s">
        <v>1700</v>
      </c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8">
        <v>6555.0</v>
      </c>
      <c r="B1701" s="9" t="str">
        <f>HYPERLINK("https://www.lazada.vn/products/hop-30-goi-tra-dong-trung-tu-vi-tao-do-long-nhan-ky-tu-nam-dong-trung-ha-thao-i2759891330.html", "https://www.lazada.vn/products/hop-30-goi-tra-dong-trung-tu-vi-tao-do-long-nhan-ky-tu-nam-dong-trung-ha-thao-i2759891330.html")</f>
        <v>https://www.lazada.vn/products/hop-30-goi-tra-dong-trung-tu-vi-tao-do-long-nhan-ky-tu-nam-dong-trung-ha-thao-i2759891330.html</v>
      </c>
      <c r="C1701" s="10" t="s">
        <v>1701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8">
        <v>6556.0</v>
      </c>
      <c r="B1702" s="9" t="str">
        <f>HYPERLINK("https://www.lazada.vn/products/haldiram-sev-bhujia-bhujia-bhujia-sev-indian-snack-haldirams-bhujia-sev-200g-i1589720191.html", "https://www.lazada.vn/products/haldiram-sev-bhujia-bhujia-bhujia-sev-indian-snack-haldirams-bhujia-sev-200g-i1589720191.html")</f>
        <v>https://www.lazada.vn/products/haldiram-sev-bhujia-bhujia-bhujia-sev-indian-snack-haldirams-bhujia-sev-200g-i1589720191.html</v>
      </c>
      <c r="C1702" s="10" t="s">
        <v>1702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8">
        <v>6557.0</v>
      </c>
      <c r="B1703" s="9" t="str">
        <f>HYPERLINK("https://www.lazada.vn/products/tra-dong-trung-ngu-vihop-30-goi-mix-dong-trungtao-do-hoa-cuc-ki-tunu-honglong-nhan-i2759884501.html", "https://www.lazada.vn/products/tra-dong-trung-ngu-vihop-30-goi-mix-dong-trungtao-do-hoa-cuc-ki-tunu-honglong-nhan-i2759884501.html")</f>
        <v>https://www.lazada.vn/products/tra-dong-trung-ngu-vihop-30-goi-mix-dong-trungtao-do-hoa-cuc-ki-tunu-honglong-nhan-i2759884501.html</v>
      </c>
      <c r="C1703" s="10" t="s">
        <v>1703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8">
        <v>6558.0</v>
      </c>
      <c r="B1704" s="9" t="str">
        <f>HYPERLINK("https://www.lazada.vn/products/haldiram-all-in-one-indian-mixture-mixture-indian-snack-haldirams-all-in-one-200g-i1589641667.html", "https://www.lazada.vn/products/haldiram-all-in-one-indian-mixture-mixture-indian-snack-haldirams-all-in-one-200g-i1589641667.html")</f>
        <v>https://www.lazada.vn/products/haldiram-all-in-one-indian-mixture-mixture-indian-snack-haldirams-all-in-one-200g-i1589641667.html</v>
      </c>
      <c r="C1704" s="10" t="s">
        <v>1704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8">
        <v>6559.0</v>
      </c>
      <c r="B1705" s="9" t="str">
        <f>HYPERLINK("https://www.lazada.vn/products/keo-ngam-ho-xuyen-boi-ty-ba-nin-jiom-herbal-candy-hong-kong-vi-nguyen-ban-i2857970842.html", "https://www.lazada.vn/products/keo-ngam-ho-xuyen-boi-ty-ba-nin-jiom-herbal-candy-hong-kong-vi-nguyen-ban-i2857970842.html")</f>
        <v>https://www.lazada.vn/products/keo-ngam-ho-xuyen-boi-ty-ba-nin-jiom-herbal-candy-hong-kong-vi-nguyen-ban-i2857970842.html</v>
      </c>
      <c r="C1705" s="10" t="s">
        <v>1705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8">
        <v>6560.0</v>
      </c>
      <c r="B1706" s="9" t="str">
        <f>HYPERLINK("https://www.lazada.vn/products/yen-hu-chung-san-50-soi-set-yen-hu-chung-duong-phen-dong-trung-ha-thao-tao-do-tu-vi-i2096250109.html", "https://www.lazada.vn/products/yen-hu-chung-san-50-soi-set-yen-hu-chung-duong-phen-dong-trung-ha-thao-tao-do-tu-vi-i2096250109.html")</f>
        <v>https://www.lazada.vn/products/yen-hu-chung-san-50-soi-set-yen-hu-chung-duong-phen-dong-trung-ha-thao-tao-do-tu-vi-i2096250109.html</v>
      </c>
      <c r="C1706" s="10" t="s">
        <v>1706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8">
        <v>6561.0</v>
      </c>
      <c r="B1707" s="9" t="str">
        <f>HYPERLINK("https://www.lazada.vn/products/3-goi-thach-rau-cau-dai-500g-bo-sung-calci-long-hai-i2602691067.html", "https://www.lazada.vn/products/3-goi-thach-rau-cau-dai-500g-bo-sung-calci-long-hai-i2602691067.html")</f>
        <v>https://www.lazada.vn/products/3-goi-thach-rau-cau-dai-500g-bo-sung-calci-long-hai-i2602691067.html</v>
      </c>
      <c r="C1707" s="10" t="s">
        <v>1707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8">
        <v>6562.0</v>
      </c>
      <c r="B1708" s="9" t="str">
        <f>HYPERLINK("https://www.lazada.vn/products/combo-2-bich-banh-trung-tuoi-cha-bong-karo-richy-banh-1bich-6-goi-i1173742076.html", "https://www.lazada.vn/products/combo-2-bich-banh-trung-tuoi-cha-bong-karo-richy-banh-1bich-6-goi-i1173742076.html")</f>
        <v>https://www.lazada.vn/products/combo-2-bich-banh-trung-tuoi-cha-bong-karo-richy-banh-1bich-6-goi-i1173742076.html</v>
      </c>
      <c r="C1708" s="10" t="s">
        <v>1708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8">
        <v>6563.0</v>
      </c>
      <c r="B1709" s="9" t="str">
        <f>HYPERLINK("https://www.lazada.vn/products/bun-gao-lut-jimmy-250g-i1038150896.html", "https://www.lazada.vn/products/bun-gao-lut-jimmy-250g-i1038150896.html")</f>
        <v>https://www.lazada.vn/products/bun-gao-lut-jimmy-250g-i1038150896.html</v>
      </c>
      <c r="C1709" s="10" t="s">
        <v>1709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8">
        <v>6564.0</v>
      </c>
      <c r="B1710" s="9" t="str">
        <f>HYPERLINK("https://www.lazada.vn/products/khoai-tay-say-rong-bien-trend-cua-nam-vi-ngon-la-mieng-gion-xop-cay-nhe-an-vat-ngon-re-da-lat-i2874012315.html", "https://www.lazada.vn/products/khoai-tay-say-rong-bien-trend-cua-nam-vi-ngon-la-mieng-gion-xop-cay-nhe-an-vat-ngon-re-da-lat-i2874012315.html")</f>
        <v>https://www.lazada.vn/products/khoai-tay-say-rong-bien-trend-cua-nam-vi-ngon-la-mieng-gion-xop-cay-nhe-an-vat-ngon-re-da-lat-i2874012315.html</v>
      </c>
      <c r="C1710" s="10" t="s">
        <v>1710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8">
        <v>6565.0</v>
      </c>
      <c r="B1711" s="9" t="str">
        <f>HYPERLINK("https://www.lazada.vn/products/khong-ngon-hoan-tien-banh-pia-goi-giay-ngay-xua-thanh-huong-nhan-dau-xanh-mo-hanh-dau-xanh-sau-rieng-i2238781614.html", "https://www.lazada.vn/products/khong-ngon-hoan-tien-banh-pia-goi-giay-ngay-xua-thanh-huong-nhan-dau-xanh-mo-hanh-dau-xanh-sau-rieng-i2238781614.html")</f>
        <v>https://www.lazada.vn/products/khong-ngon-hoan-tien-banh-pia-goi-giay-ngay-xua-thanh-huong-nhan-dau-xanh-mo-hanh-dau-xanh-sau-rieng-i2238781614.html</v>
      </c>
      <c r="C1711" s="10" t="s">
        <v>1711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8">
        <v>6566.0</v>
      </c>
      <c r="B1712" s="9" t="str">
        <f>HYPERLINK("https://www.lazada.vn/products/ruou-vang-trang-rolly-gassmann-riesling-alc-135-750ml-i2255461254.html", "https://www.lazada.vn/products/ruou-vang-trang-rolly-gassmann-riesling-alc-135-750ml-i2255461254.html")</f>
        <v>https://www.lazada.vn/products/ruou-vang-trang-rolly-gassmann-riesling-alc-135-750ml-i2255461254.html</v>
      </c>
      <c r="C1712" s="10" t="s">
        <v>1712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8">
        <v>6567.0</v>
      </c>
      <c r="B1713" s="9" t="str">
        <f>HYPERLINK("https://www.lazada.vn/products/thung-24-chai-nuoc-uong-vi-trai-cay-ice-dao-490mlchai-i2855835574.html", "https://www.lazada.vn/products/thung-24-chai-nuoc-uong-vi-trai-cay-ice-dao-490mlchai-i2855835574.html")</f>
        <v>https://www.lazada.vn/products/thung-24-chai-nuoc-uong-vi-trai-cay-ice-dao-490mlchai-i2855835574.html</v>
      </c>
      <c r="C1713" s="10" t="s">
        <v>1713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8">
        <v>6568.0</v>
      </c>
      <c r="B1714" s="9" t="str">
        <f>HYPERLINK("https://www.lazada.vn/products/date-092025-banh-quy-bourbon-torte-cookies-hop-thiec-60-cai-nhat-ban-310g-i2930650967.html", "https://www.lazada.vn/products/date-092025-banh-quy-bourbon-torte-cookies-hop-thiec-60-cai-nhat-ban-310g-i2930650967.html")</f>
        <v>https://www.lazada.vn/products/date-092025-banh-quy-bourbon-torte-cookies-hop-thiec-60-cai-nhat-ban-310g-i2930650967.html</v>
      </c>
      <c r="C1714" s="10" t="s">
        <v>1714</v>
      </c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8">
        <v>6569.0</v>
      </c>
      <c r="B1715" s="9" t="str">
        <f>HYPERLINK("https://www.lazada.vn/products/chi-giao-hoa-toc-ho-chi-minh-coca-cola-lon-cao-thung-24-lon-330-ml-i2627165896.html", "https://www.lazada.vn/products/chi-giao-hoa-toc-ho-chi-minh-coca-cola-lon-cao-thung-24-lon-330-ml-i2627165896.html")</f>
        <v>https://www.lazada.vn/products/chi-giao-hoa-toc-ho-chi-minh-coca-cola-lon-cao-thung-24-lon-330-ml-i2627165896.html</v>
      </c>
      <c r="C1715" s="10" t="s">
        <v>1715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8">
        <v>6570.0</v>
      </c>
      <c r="B1716" s="9" t="str">
        <f>HYPERLINK("https://www.lazada.vn/products/wuyangmin-1-thung-bia-corny-khoa-khilong-ngat-ket-noi-cho-bia-nha-kieu-cornelius-i3013209196.html", "https://www.lazada.vn/products/wuyangmin-1-thung-bia-corny-khoa-khilong-ngat-ket-noi-cho-bia-nha-kieu-cornelius-i3013209196.html")</f>
        <v>https://www.lazada.vn/products/wuyangmin-1-thung-bia-corny-khoa-khilong-ngat-ket-noi-cho-bia-nha-kieu-cornelius-i3013209196.html</v>
      </c>
      <c r="C1716" s="10" t="s">
        <v>1716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8">
        <v>6571.0</v>
      </c>
      <c r="B1717" s="9" t="str">
        <f>HYPERLINK("https://www.lazada.vn/products/kho-ca-loc-bich-1kg-i3052601324.html", "https://www.lazada.vn/products/kho-ca-loc-bich-1kg-i3052601324.html")</f>
        <v>https://www.lazada.vn/products/kho-ca-loc-bich-1kg-i3052601324.html</v>
      </c>
      <c r="C1717" s="10" t="s">
        <v>1717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8">
        <v>6572.0</v>
      </c>
      <c r="B1718" s="9" t="str">
        <f>HYPERLINK("https://www.lazada.vn/products/bia-thu-cong-7-bridges-dragon-ipa-330ml-huong-vi-trai-cay-nhiet-doi-va-vi-mach-nha-i2924274340.html", "https://www.lazada.vn/products/bia-thu-cong-7-bridges-dragon-ipa-330ml-huong-vi-trai-cay-nhiet-doi-va-vi-mach-nha-i2924274340.html")</f>
        <v>https://www.lazada.vn/products/bia-thu-cong-7-bridges-dragon-ipa-330ml-huong-vi-trai-cay-nhiet-doi-va-vi-mach-nha-i2924274340.html</v>
      </c>
      <c r="C1718" s="10" t="s">
        <v>1718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8">
        <v>6573.0</v>
      </c>
      <c r="B1719" s="9" t="str">
        <f>HYPERLINK("https://www.lazada.vn/products/thung-2040-goi-mi-tron-indomie-79gr-91grgoi-i2928186687.html", "https://www.lazada.vn/products/thung-2040-goi-mi-tron-indomie-79gr-91grgoi-i2928186687.html")</f>
        <v>https://www.lazada.vn/products/thung-2040-goi-mi-tron-indomie-79gr-91grgoi-i2928186687.html</v>
      </c>
      <c r="C1719" s="10" t="s">
        <v>1719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8">
        <v>6574.0</v>
      </c>
      <c r="B1720" s="9" t="str">
        <f>HYPERLINK("https://www.lazada.vn/products/si-ro-pha-che-golden-farm-du-vi-chai-2-lit-i2670504381.html", "https://www.lazada.vn/products/si-ro-pha-che-golden-farm-du-vi-chai-2-lit-i2670504381.html")</f>
        <v>https://www.lazada.vn/products/si-ro-pha-che-golden-farm-du-vi-chai-2-lit-i2670504381.html</v>
      </c>
      <c r="C1720" s="10" t="s">
        <v>1720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8">
        <v>6575.0</v>
      </c>
      <c r="B1721" s="9" t="str">
        <f>HYPERLINK("https://www.lazada.vn/products/ruou-vang-do-chateau-belles-eaux-languedoc-pezenas-vieilles-vignes-i2795991335.html", "https://www.lazada.vn/products/ruou-vang-do-chateau-belles-eaux-languedoc-pezenas-vieilles-vignes-i2795991335.html")</f>
        <v>https://www.lazada.vn/products/ruou-vang-do-chateau-belles-eaux-languedoc-pezenas-vieilles-vignes-i2795991335.html</v>
      </c>
      <c r="C1721" s="10" t="s">
        <v>1721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8">
        <v>6576.0</v>
      </c>
      <c r="B1722" s="9" t="str">
        <f>HYPERLINK("https://www.lazada.vn/products/ca-phe-chon-nau-robusta-500gr-bao-tin-coffee-rang-xay-pha-phin-gu-manh-vi-dam-i2785582122.html", "https://www.lazada.vn/products/ca-phe-chon-nau-robusta-500gr-bao-tin-coffee-rang-xay-pha-phin-gu-manh-vi-dam-i2785582122.html")</f>
        <v>https://www.lazada.vn/products/ca-phe-chon-nau-robusta-500gr-bao-tin-coffee-rang-xay-pha-phin-gu-manh-vi-dam-i2785582122.html</v>
      </c>
      <c r="C1722" s="10" t="s">
        <v>1722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8">
        <v>6577.0</v>
      </c>
      <c r="B1723" s="9" t="str">
        <f>HYPERLINK("https://www.lazada.vn/products/combo-6-ong-keo-co-mo-hinh-doreamon-keo-socola-sua-popit-15g-socola-do-an-vat-i2952540497.html", "https://www.lazada.vn/products/combo-6-ong-keo-co-mo-hinh-doreamon-keo-socola-sua-popit-15g-socola-do-an-vat-i2952540497.html")</f>
        <v>https://www.lazada.vn/products/combo-6-ong-keo-co-mo-hinh-doreamon-keo-socola-sua-popit-15g-socola-do-an-vat-i2952540497.html</v>
      </c>
      <c r="C1723" s="10" t="s">
        <v>1723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8">
        <v>6578.0</v>
      </c>
      <c r="B1724" s="9" t="str">
        <f>HYPERLINK("https://www.lazada.vn/products/bot-sua-dua-hat-chia-yen-mach-tu-nam-kinh-farm-dinh-duong-hoan-hao-cho-bua-an-tien-loi-va-lanh-manh-i2750833979.html", "https://www.lazada.vn/products/bot-sua-dua-hat-chia-yen-mach-tu-nam-kinh-farm-dinh-duong-hoan-hao-cho-bua-an-tien-loi-va-lanh-manh-i2750833979.html")</f>
        <v>https://www.lazada.vn/products/bot-sua-dua-hat-chia-yen-mach-tu-nam-kinh-farm-dinh-duong-hoan-hao-cho-bua-an-tien-loi-va-lanh-manh-i2750833979.html</v>
      </c>
      <c r="C1724" s="10" t="s">
        <v>1724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8">
        <v>6579.0</v>
      </c>
      <c r="B1725" s="9" t="str">
        <f>HYPERLINK("https://www.lazada.vn/products/combo-5c-banh-mi-bo-sua-va-la-dua-sieu-ngon-i2792053613.html", "https://www.lazada.vn/products/combo-5c-banh-mi-bo-sua-va-la-dua-sieu-ngon-i2792053613.html")</f>
        <v>https://www.lazada.vn/products/combo-5c-banh-mi-bo-sua-va-la-dua-sieu-ngon-i2792053613.html</v>
      </c>
      <c r="C1725" s="10" t="s">
        <v>1725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8">
        <v>6580.0</v>
      </c>
      <c r="B1726" s="9" t="str">
        <f>HYPERLINK("https://www.lazada.vn/products/200g-banh-so-vi-hanh-snack-food-gion-i2698222251.html", "https://www.lazada.vn/products/200g-banh-so-vi-hanh-snack-food-gion-i2698222251.html")</f>
        <v>https://www.lazada.vn/products/200g-banh-so-vi-hanh-snack-food-gion-i2698222251.html</v>
      </c>
      <c r="C1726" s="10" t="s">
        <v>1726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8">
        <v>6581.0</v>
      </c>
      <c r="B1727" s="9" t="str">
        <f>HYPERLINK("https://www.lazada.vn/products/sam-bong-cuc-tra-sam-bong-cuc-huynh-gia-mat-gan-thanh-nhiet-set-nau-5-8-lit-i2759821988.html", "https://www.lazada.vn/products/sam-bong-cuc-tra-sam-bong-cuc-huynh-gia-mat-gan-thanh-nhiet-set-nau-5-8-lit-i2759821988.html")</f>
        <v>https://www.lazada.vn/products/sam-bong-cuc-tra-sam-bong-cuc-huynh-gia-mat-gan-thanh-nhiet-set-nau-5-8-lit-i2759821988.html</v>
      </c>
      <c r="C1727" s="10" t="s">
        <v>1727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8">
        <v>6582.0</v>
      </c>
      <c r="B1728" s="9" t="str">
        <f>HYPERLINK("https://www.lazada.vn/products/haldiram-bhelpuri-indian-snack-haldirams-bhelpuri-150g-i1589614496.html", "https://www.lazada.vn/products/haldiram-bhelpuri-indian-snack-haldirams-bhelpuri-150g-i1589614496.html")</f>
        <v>https://www.lazada.vn/products/haldiram-bhelpuri-indian-snack-haldirams-bhelpuri-150g-i1589614496.html</v>
      </c>
      <c r="C1728" s="10" t="s">
        <v>1728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8">
        <v>6583.0</v>
      </c>
      <c r="B1729" s="9" t="str">
        <f>HYPERLINK("https://www.lazada.vn/products/keo-le-an-phe-mat-ong-thanh-nhiet-tieu-dom-mem-deo-i2855424653.html", "https://www.lazada.vn/products/keo-le-an-phe-mat-ong-thanh-nhiet-tieu-dom-mem-deo-i2855424653.html")</f>
        <v>https://www.lazada.vn/products/keo-le-an-phe-mat-ong-thanh-nhiet-tieu-dom-mem-deo-i2855424653.html</v>
      </c>
      <c r="C1729" s="10" t="s">
        <v>1729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8">
        <v>6584.0</v>
      </c>
      <c r="B1730" s="9" t="str">
        <f>HYPERLINK("https://www.lazada.vn/products/trau-rung-den-900ml-i2755959151.html", "https://www.lazada.vn/products/trau-rung-den-900ml-i2755959151.html")</f>
        <v>https://www.lazada.vn/products/trau-rung-den-900ml-i2755959151.html</v>
      </c>
      <c r="C1730" s="10" t="s">
        <v>1730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8">
        <v>6585.0</v>
      </c>
      <c r="B1731" s="9" t="str">
        <f>HYPERLINK("https://www.lazada.vn/products/hcm-banh-tuyet-dai-phuc-vi-tra-xanh-4-cai-binh-vinh-tabio-i1034632170.html", "https://www.lazada.vn/products/hcm-banh-tuyet-dai-phuc-vi-tra-xanh-4-cai-binh-vinh-tabio-i1034632170.html")</f>
        <v>https://www.lazada.vn/products/hcm-banh-tuyet-dai-phuc-vi-tra-xanh-4-cai-binh-vinh-tabio-i1034632170.html</v>
      </c>
      <c r="C1731" s="10" t="s">
        <v>1731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8">
        <v>6586.0</v>
      </c>
      <c r="B1732" s="9" t="str">
        <f>HYPERLINK("https://www.lazada.vn/products/khoai-mon-mo-hanh-say-cong-gion-tan-xop-bui-man-thom-hoi-beo-trend-2024-tiem-an-vat-da-lat-i2873700386.html", "https://www.lazada.vn/products/khoai-mon-mo-hanh-say-cong-gion-tan-xop-bui-man-thom-hoi-beo-trend-2024-tiem-an-vat-da-lat-i2873700386.html")</f>
        <v>https://www.lazada.vn/products/khoai-mon-mo-hanh-say-cong-gion-tan-xop-bui-man-thom-hoi-beo-trend-2024-tiem-an-vat-da-lat-i2873700386.html</v>
      </c>
      <c r="C1732" s="10" t="s">
        <v>1732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8">
        <v>6587.0</v>
      </c>
      <c r="B1733" s="9" t="str">
        <f>HYPERLINK("https://www.lazada.vn/products/banh-pia-chay-dau-xanh-sau-rieng-tan-hue-vien-400g-i2229906310.html", "https://www.lazada.vn/products/banh-pia-chay-dau-xanh-sau-rieng-tan-hue-vien-400g-i2229906310.html")</f>
        <v>https://www.lazada.vn/products/banh-pia-chay-dau-xanh-sau-rieng-tan-hue-vien-400g-i2229906310.html</v>
      </c>
      <c r="C1733" s="10" t="s">
        <v>1733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8">
        <v>6588.0</v>
      </c>
      <c r="B1734" s="9" t="str">
        <f>HYPERLINK("https://www.lazada.vn/products/banh-gao-tokbokki-xot-bo-hanh-yopokki-120g-i2095291935.html", "https://www.lazada.vn/products/banh-gao-tokbokki-xot-bo-hanh-yopokki-120g-i2095291935.html")</f>
        <v>https://www.lazada.vn/products/banh-gao-tokbokki-xot-bo-hanh-yopokki-120g-i2095291935.html</v>
      </c>
      <c r="C1734" s="10" t="s">
        <v>1734</v>
      </c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8">
        <v>6589.0</v>
      </c>
      <c r="B1735" s="9" t="str">
        <f>HYPERLINK("https://www.lazada.vn/products/nuoc-cot-ham-xuong-hiroshi-nhat-ban-hu-05kg-1kg-gia-dinh-dong-nguoi-dung-1-thang-i2094951753.html", "https://www.lazada.vn/products/nuoc-cot-ham-xuong-hiroshi-nhat-ban-hu-05kg-1kg-gia-dinh-dong-nguoi-dung-1-thang-i2094951753.html")</f>
        <v>https://www.lazada.vn/products/nuoc-cot-ham-xuong-hiroshi-nhat-ban-hu-05kg-1kg-gia-dinh-dong-nguoi-dung-1-thang-i2094951753.html</v>
      </c>
      <c r="C1735" s="10" t="s">
        <v>1735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8">
        <v>6590.0</v>
      </c>
      <c r="B1736" s="9" t="str">
        <f>HYPERLINK("https://www.lazada.vn/products/banh-pia-dau-xanh-sau-rieng-4-sao-tan-hue-vien-540gr-i2229771887.html", "https://www.lazada.vn/products/banh-pia-dau-xanh-sau-rieng-4-sao-tan-hue-vien-540gr-i2229771887.html")</f>
        <v>https://www.lazada.vn/products/banh-pia-dau-xanh-sau-rieng-4-sao-tan-hue-vien-540gr-i2229771887.html</v>
      </c>
      <c r="C1736" s="10" t="s">
        <v>1736</v>
      </c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8">
        <v>6591.0</v>
      </c>
      <c r="B1737" s="9" t="str">
        <f>HYPERLINK("https://www.lazada.vn/products/banh-quy-nhan-kem-mix-vi-banh-gau-nhan-kem-choco-bear-noi-dia-le-1-goi-i2930299186.html", "https://www.lazada.vn/products/banh-quy-nhan-kem-mix-vi-banh-gau-nhan-kem-choco-bear-noi-dia-le-1-goi-i2930299186.html")</f>
        <v>https://www.lazada.vn/products/banh-quy-nhan-kem-mix-vi-banh-gau-nhan-kem-choco-bear-noi-dia-le-1-goi-i2930299186.html</v>
      </c>
      <c r="C1737" s="10" t="s">
        <v>1737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8">
        <v>6592.0</v>
      </c>
      <c r="B1738" s="9" t="str">
        <f>HYPERLINK("https://www.lazada.vn/products/combo-3-goi-thach-kimiko-prebiotics-500g-i2602562554.html", "https://www.lazada.vn/products/combo-3-goi-thach-kimiko-prebiotics-500g-i2602562554.html")</f>
        <v>https://www.lazada.vn/products/combo-3-goi-thach-kimiko-prebiotics-500g-i2602562554.html</v>
      </c>
      <c r="C1738" s="10" t="s">
        <v>1738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8">
        <v>6593.0</v>
      </c>
      <c r="B1739" s="9" t="str">
        <f>HYPERLINK("https://www.lazada.vn/products/ruou-vang-trang-moillard-bourgogne-chardonnay-alc-125-750ml-i2255427427.html", "https://www.lazada.vn/products/ruou-vang-trang-moillard-bourgogne-chardonnay-alc-125-750ml-i2255427427.html")</f>
        <v>https://www.lazada.vn/products/ruou-vang-trang-moillard-bourgogne-chardonnay-alc-125-750ml-i2255427427.html</v>
      </c>
      <c r="C1739" s="10" t="s">
        <v>1739</v>
      </c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8">
        <v>6594.0</v>
      </c>
      <c r="B1740" s="9" t="str">
        <f>HYPERLINK("https://www.lazada.vn/products/nuoc-uong-trai-cay-danh-cho-tre-em-pororo-chai-235ml-i2850127524.html", "https://www.lazada.vn/products/nuoc-uong-trai-cay-danh-cho-tre-em-pororo-chai-235ml-i2850127524.html")</f>
        <v>https://www.lazada.vn/products/nuoc-uong-trai-cay-danh-cho-tre-em-pororo-chai-235ml-i2850127524.html</v>
      </c>
      <c r="C1740" s="10" t="s">
        <v>1740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8">
        <v>6595.0</v>
      </c>
      <c r="B1741" s="9" t="str">
        <f>HYPERLINK("https://www.lazada.vn/products/nuoc-ngot-co-ga-vi-luu-viet-quat-buoi-le-vang-moi-loai-6-lon-350ml-i2618751110.html", "https://www.lazada.vn/products/nuoc-ngot-co-ga-vi-luu-viet-quat-buoi-le-vang-moi-loai-6-lon-350ml-i2618751110.html")</f>
        <v>https://www.lazada.vn/products/nuoc-ngot-co-ga-vi-luu-viet-quat-buoi-le-vang-moi-loai-6-lon-350ml-i2618751110.html</v>
      </c>
      <c r="C1741" s="10" t="s">
        <v>1741</v>
      </c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8">
        <v>6596.0</v>
      </c>
      <c r="B1742" s="9" t="str">
        <f>HYPERLINK("https://www.lazada.vn/products/jiaoxing-1-thung-bia-corny-khoa-khilong-ngat-ket-noi-cho-bia-nha-kieu-cornelius-i3013076636.html", "https://www.lazada.vn/products/jiaoxing-1-thung-bia-corny-khoa-khilong-ngat-ket-noi-cho-bia-nha-kieu-cornelius-i3013076636.html")</f>
        <v>https://www.lazada.vn/products/jiaoxing-1-thung-bia-corny-khoa-khilong-ngat-ket-noi-cho-bia-nha-kieu-cornelius-i3013076636.html</v>
      </c>
      <c r="C1742" s="10" t="s">
        <v>1742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8">
        <v>6597.0</v>
      </c>
      <c r="B1743" s="9" t="str">
        <f>HYPERLINK("https://www.lazada.vn/products/thit-thuan-chay-dang-vien-nuggget-protein-tu-dau-ha-lan-huu-co-dragon-an-chay-an-kieng-an-thuc-duong-bio-garden-i3052451180.html", "https://www.lazada.vn/products/thit-thuan-chay-dang-vien-nuggget-protein-tu-dau-ha-lan-huu-co-dragon-an-chay-an-kieng-an-thuc-duong-bio-garden-i3052451180.html")</f>
        <v>https://www.lazada.vn/products/thit-thuan-chay-dang-vien-nuggget-protein-tu-dau-ha-lan-huu-co-dragon-an-chay-an-kieng-an-thuc-duong-bio-garden-i3052451180.html</v>
      </c>
      <c r="C1743" s="10" t="s">
        <v>1743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8">
        <v>6598.0</v>
      </c>
      <c r="B1744" s="9" t="str">
        <f>HYPERLINK("https://www.lazada.vn/products/thung-bia-24-lon-tsingtao-1903-330ml-bia-thanh-dao-nhap-khau-chinh-hang-100-i2918577082.html", "https://www.lazada.vn/products/thung-bia-24-lon-tsingtao-1903-330ml-bia-thanh-dao-nhap-khau-chinh-hang-100-i2918577082.html")</f>
        <v>https://www.lazada.vn/products/thung-bia-24-lon-tsingtao-1903-330ml-bia-thanh-dao-nhap-khau-chinh-hang-100-i2918577082.html</v>
      </c>
      <c r="C1744" s="10" t="s">
        <v>1744</v>
      </c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8">
        <v>6599.0</v>
      </c>
      <c r="B1745" s="9" t="str">
        <f>HYPERLINK("https://www.lazada.vn/products/200g-cha-don-nam-meo-chay-an-tue-hang-lanh-chi-ship-tphcm-i2925168297.html", "https://www.lazada.vn/products/200g-cha-don-nam-meo-chay-an-tue-hang-lanh-chi-ship-tphcm-i2925168297.html")</f>
        <v>https://www.lazada.vn/products/200g-cha-don-nam-meo-chay-an-tue-hang-lanh-chi-ship-tphcm-i2925168297.html</v>
      </c>
      <c r="C1745" s="10" t="s">
        <v>1745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8">
        <v>6600.0</v>
      </c>
      <c r="B1746" s="9" t="str">
        <f>HYPERLINK("https://www.lazada.vn/products/ruou-vang-my-wente-southern-hills-cabernet-sauvigon-i2795979302.html", "https://www.lazada.vn/products/ruou-vang-my-wente-southern-hills-cabernet-sauvigon-i2795979302.html")</f>
        <v>https://www.lazada.vn/products/ruou-vang-my-wente-southern-hills-cabernet-sauvigon-i2795979302.html</v>
      </c>
      <c r="C1746" s="10" t="s">
        <v>1746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8">
        <v>6601.0</v>
      </c>
      <c r="B1747" s="9" t="str">
        <f>HYPERLINK("https://www.lazada.vn/products/mao-dai-ha-tho-lau-nam-mao-dai-1935-thom-500ml-i2669463011.html", "https://www.lazada.vn/products/mao-dai-ha-tho-lau-nam-mao-dai-1935-thom-500ml-i2669463011.html")</f>
        <v>https://www.lazada.vn/products/mao-dai-ha-tho-lau-nam-mao-dai-1935-thom-500ml-i2669463011.html</v>
      </c>
      <c r="C1747" s="10" t="s">
        <v>1747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8">
        <v>6602.0</v>
      </c>
      <c r="B1748" s="9" t="str">
        <f>HYPERLINK("https://www.lazada.vn/products/vien-nen-capsule-cafe-nespresso-chinh-hang-i2782061255.html", "https://www.lazada.vn/products/vien-nen-capsule-cafe-nespresso-chinh-hang-i2782061255.html")</f>
        <v>https://www.lazada.vn/products/vien-nen-capsule-cafe-nespresso-chinh-hang-i2782061255.html</v>
      </c>
      <c r="C1748" s="10" t="s">
        <v>1748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8">
        <v>6603.0</v>
      </c>
      <c r="B1749" s="9" t="str">
        <f>HYPERLINK("https://www.lazada.vn/products/combo-3-ong-keo-co-mo-hinh-doreamon-keo-socola-sua-popit-15g-socola-do-an-vat-i2952535533.html", "https://www.lazada.vn/products/combo-3-ong-keo-co-mo-hinh-doreamon-keo-socola-sua-popit-15g-socola-do-an-vat-i2952535533.html")</f>
        <v>https://www.lazada.vn/products/combo-3-ong-keo-co-mo-hinh-doreamon-keo-socola-sua-popit-15g-socola-do-an-vat-i2952535533.html</v>
      </c>
      <c r="C1749" s="10" t="s">
        <v>1749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8">
        <v>6604.0</v>
      </c>
      <c r="B1750" s="9" t="str">
        <f>HYPERLINK("https://www.lazada.vn/products/organic-tinh-bot-chuoi-tieu-xanh-bnt-farm-tinh-bot-khang-cao-giam-can-ngan-ngua-tao-bon-ruot-kich-thichtieu-duong-i2745315437.html", "https://www.lazada.vn/products/organic-tinh-bot-chuoi-tieu-xanh-bnt-farm-tinh-bot-khang-cao-giam-can-ngan-ngua-tao-bon-ruot-kich-thichtieu-duong-i2745315437.html")</f>
        <v>https://www.lazada.vn/products/organic-tinh-bot-chuoi-tieu-xanh-bnt-farm-tinh-bot-khang-cao-giam-can-ngan-ngua-tao-bon-ruot-kich-thichtieu-duong-i2745315437.html</v>
      </c>
      <c r="C1750" s="10" t="s">
        <v>1750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8">
        <v>6605.0</v>
      </c>
      <c r="B1751" s="9" t="str">
        <f>HYPERLINK("https://www.lazada.vn/products/banh-mi-cuon-vo-trung-cha-bong-sot-kem-xingera-mon-diem-tam-moi-day-dinh-duong-cho-moi-nha-snack-an-vat-food-thuc-an-cake-an-vat-ngon-re-food-i2790401584.html", "https://www.lazada.vn/products/banh-mi-cuon-vo-trung-cha-bong-sot-kem-xingera-mon-diem-tam-moi-day-dinh-duong-cho-moi-nha-snack-an-vat-food-thuc-an-cake-an-vat-ngon-re-food-i2790401584.html")</f>
        <v>https://www.lazada.vn/products/banh-mi-cuon-vo-trung-cha-bong-sot-kem-xingera-mon-diem-tam-moi-day-dinh-duong-cho-moi-nha-snack-an-vat-food-thuc-an-cake-an-vat-ngon-re-food-i2790401584.html</v>
      </c>
      <c r="C1751" s="10" t="s">
        <v>1751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8">
        <v>6606.0</v>
      </c>
      <c r="B1752" s="9" t="str">
        <f>HYPERLINK("https://www.lazada.vn/products/100g-banh-so-vi-hanh-man-man-i2698177558.html", "https://www.lazada.vn/products/100g-banh-so-vi-hanh-man-man-i2698177558.html")</f>
        <v>https://www.lazada.vn/products/100g-banh-so-vi-hanh-man-man-i2698177558.html</v>
      </c>
      <c r="C1752" s="10" t="s">
        <v>1752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8">
        <v>6607.0</v>
      </c>
      <c r="B1753" s="9" t="str">
        <f>HYPERLINK("https://www.lazada.vn/products/keo-my-chinh-hang-thom-ngon-bo-duong-10-cai-i2854709983.html", "https://www.lazada.vn/products/keo-my-chinh-hang-thom-ngon-bo-duong-10-cai-i2854709983.html")</f>
        <v>https://www.lazada.vn/products/keo-my-chinh-hang-thom-ngon-bo-duong-10-cai-i2854709983.html</v>
      </c>
      <c r="C1753" s="10" t="s">
        <v>1753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8">
        <v>6608.0</v>
      </c>
      <c r="B1754" s="9" t="str">
        <f>HYPERLINK("https://www.lazada.vn/products/haldiram-bhujia-plain-bhujia-indian-snack-haldirams-bhujia-plain-150g-i1589610402.html", "https://www.lazada.vn/products/haldiram-bhujia-plain-bhujia-indian-snack-haldirams-bhujia-plain-150g-i1589610402.html")</f>
        <v>https://www.lazada.vn/products/haldiram-bhujia-plain-bhujia-indian-snack-haldirams-bhujia-plain-150g-i1589610402.html</v>
      </c>
      <c r="C1754" s="10" t="s">
        <v>1754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8">
        <v>6609.0</v>
      </c>
      <c r="B1755" s="9" t="str">
        <f>HYPERLINK("https://www.lazada.vn/products/hcm-banh-tuyet-dai-phuc-vi-socola-4-cai-binh-vinh-tabio-i1034604652.html", "https://www.lazada.vn/products/hcm-banh-tuyet-dai-phuc-vi-socola-4-cai-binh-vinh-tabio-i1034604652.html")</f>
        <v>https://www.lazada.vn/products/hcm-banh-tuyet-dai-phuc-vi-socola-4-cai-binh-vinh-tabio-i1034604652.html</v>
      </c>
      <c r="C1755" s="10" t="s">
        <v>1755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8">
        <v>6610.0</v>
      </c>
      <c r="B1756" s="9" t="str">
        <f>HYPERLINK("https://www.lazada.vn/products/keo-chanh-muoi-malaysia-120g-i2853446485.html", "https://www.lazada.vn/products/keo-chanh-muoi-malaysia-120g-i2853446485.html")</f>
        <v>https://www.lazada.vn/products/keo-chanh-muoi-malaysia-120g-i2853446485.html</v>
      </c>
      <c r="C1756" s="10" t="s">
        <v>1756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8">
        <v>6611.0</v>
      </c>
      <c r="B1757" s="9" t="str">
        <f>HYPERLINK("https://www.lazada.vn/products/papad-appalam-south-indian-papad-rice-papad-banh-chien-malika-appalam-120g-i1589594839.html", "https://www.lazada.vn/products/papad-appalam-south-indian-papad-rice-papad-banh-chien-malika-appalam-120g-i1589594839.html")</f>
        <v>https://www.lazada.vn/products/papad-appalam-south-indian-papad-rice-papad-banh-chien-malika-appalam-120g-i1589594839.html</v>
      </c>
      <c r="C1757" s="10" t="s">
        <v>1757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8">
        <v>6612.0</v>
      </c>
      <c r="B1758" s="9" t="str">
        <f>HYPERLINK("https://www.lazada.vn/products/hcm-banh-non-10-cai-230g-binh-vinh-tabio-i1034562214.html", "https://www.lazada.vn/products/hcm-banh-non-10-cai-230g-binh-vinh-tabio-i1034562214.html")</f>
        <v>https://www.lazada.vn/products/hcm-banh-non-10-cai-230g-binh-vinh-tabio-i1034562214.html</v>
      </c>
      <c r="C1758" s="10" t="s">
        <v>1758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8">
        <v>6613.0</v>
      </c>
      <c r="B1759" s="9" t="str">
        <f>HYPERLINK("https://www.lazada.vn/products/hoanganhvil-50sc-mekongvil-anvil-sua-vua-nam-benh-1000ml-i2748821552.html", "https://www.lazada.vn/products/hoanganhvil-50sc-mekongvil-anvil-sua-vua-nam-benh-1000ml-i2748821552.html")</f>
        <v>https://www.lazada.vn/products/hoanganhvil-50sc-mekongvil-anvil-sua-vua-nam-benh-1000ml-i2748821552.html</v>
      </c>
      <c r="C1759" s="10" t="s">
        <v>1759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8">
        <v>6614.0</v>
      </c>
      <c r="B1760" s="9" t="str">
        <f>HYPERLINK("https://www.lazada.vn/products/snack-khoai-tay-pringles-nhieu-vi-i2867051092.html", "https://www.lazada.vn/products/snack-khoai-tay-pringles-nhieu-vi-i2867051092.html")</f>
        <v>https://www.lazada.vn/products/snack-khoai-tay-pringles-nhieu-vi-i2867051092.html</v>
      </c>
      <c r="C1760" s="10" t="s">
        <v>1760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8">
        <v>6615.0</v>
      </c>
      <c r="B1761" s="9" t="str">
        <f>HYPERLINK("https://www.lazada.vn/products/freeship-maxbanh-duong-sau-rieng-500gr-shop-tho-bui-85-i2220952479.html", "https://www.lazada.vn/products/freeship-maxbanh-duong-sau-rieng-500gr-shop-tho-bui-85-i2220952479.html")</f>
        <v>https://www.lazada.vn/products/freeship-maxbanh-duong-sau-rieng-500gr-shop-tho-bui-85-i2220952479.html</v>
      </c>
      <c r="C1761" s="10" t="s">
        <v>1761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8">
        <v>6616.0</v>
      </c>
      <c r="B1762" s="9" t="str">
        <f>HYPERLINK("https://www.lazada.vn/products/muc-xe-tam-gia-vi-hu-1kg-i2094933330.html", "https://www.lazada.vn/products/muc-xe-tam-gia-vi-hu-1kg-i2094933330.html")</f>
        <v>https://www.lazada.vn/products/muc-xe-tam-gia-vi-hu-1kg-i2094933330.html</v>
      </c>
      <c r="C1762" s="10" t="s">
        <v>1762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8">
        <v>6617.0</v>
      </c>
      <c r="B1763" s="9" t="str">
        <f>HYPERLINK("https://www.lazada.vn/products/thach-rau-cau-ca-heo-dai-long-hop-235g-i2598792972.html", "https://www.lazada.vn/products/thach-rau-cau-ca-heo-dai-long-hop-235g-i2598792972.html")</f>
        <v>https://www.lazada.vn/products/thach-rau-cau-ca-heo-dai-long-hop-235g-i2598792972.html</v>
      </c>
      <c r="C1763" s="10" t="s">
        <v>1763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8">
        <v>6618.0</v>
      </c>
      <c r="B1764" s="9" t="str">
        <f>HYPERLINK("https://www.lazada.vn/products/thung-nuoc-ngot-co-gas-7up-vi-chanh-24-lon-320ml-i2616807916.html", "https://www.lazada.vn/products/thung-nuoc-ngot-co-gas-7up-vi-chanh-24-lon-320ml-i2616807916.html")</f>
        <v>https://www.lazada.vn/products/thung-nuoc-ngot-co-gas-7up-vi-chanh-24-lon-320ml-i2616807916.html</v>
      </c>
      <c r="C1764" s="10" t="s">
        <v>1764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8">
        <v>6619.0</v>
      </c>
      <c r="B1765" s="9" t="str">
        <f>HYPERLINK("https://www.lazada.vn/products/ruou-vang-trang-moillard-bourgogne-chardonnay-alc-125-750ml-i2255341939.html", "https://www.lazada.vn/products/ruou-vang-trang-moillard-bourgogne-chardonnay-alc-125-750ml-i2255341939.html")</f>
        <v>https://www.lazada.vn/products/ruou-vang-trang-moillard-bourgogne-chardonnay-alc-125-750ml-i2255341939.html</v>
      </c>
      <c r="C1765" s="10" t="s">
        <v>1765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8">
        <v>6620.0</v>
      </c>
      <c r="B1766" s="9" t="str">
        <f>HYPERLINK("https://www.lazada.vn/products/nuoc-trai-cay-len-men-vivazz-sangria-light-4-750-ml-i2848846835.html", "https://www.lazada.vn/products/nuoc-trai-cay-len-men-vivazz-sangria-light-4-750-ml-i2848846835.html")</f>
        <v>https://www.lazada.vn/products/nuoc-trai-cay-len-men-vivazz-sangria-light-4-750-ml-i2848846835.html</v>
      </c>
      <c r="C1766" s="10" t="s">
        <v>1766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8">
        <v>6621.0</v>
      </c>
      <c r="B1767" s="9" t="str">
        <f>HYPERLINK("https://www.lazada.vn/products/banh-quy-trai-cay-mix-socola-chip-nhan-sua-chua-deo-goi-300gr-co-10-bich-banh-nho-i2930159781.html", "https://www.lazada.vn/products/banh-quy-trai-cay-mix-socola-chip-nhan-sua-chua-deo-goi-300gr-co-10-bich-banh-nho-i2930159781.html")</f>
        <v>https://www.lazada.vn/products/banh-quy-trai-cay-mix-socola-chip-nhan-sua-chua-deo-goi-300gr-co-10-bich-banh-nho-i2930159781.html</v>
      </c>
      <c r="C1767" s="10" t="s">
        <v>1767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8">
        <v>6622.0</v>
      </c>
      <c r="B1768" s="9" t="str">
        <f>HYPERLINK("https://www.lazada.vn/products/hanshi-2023-new-hot-fashion-1-thung-bia-corny-khoa-khilong-ngat-ket-noi-cho-bia-nha-kieu-cornelius-i3012968705.html", "https://www.lazada.vn/products/hanshi-2023-new-hot-fashion-1-thung-bia-corny-khoa-khilong-ngat-ket-noi-cho-bia-nha-kieu-cornelius-i3012968705.html")</f>
        <v>https://www.lazada.vn/products/hanshi-2023-new-hot-fashion-1-thung-bia-corny-khoa-khilong-ngat-ket-noi-cho-bia-nha-kieu-cornelius-i3012968705.html</v>
      </c>
      <c r="C1768" s="10" t="s">
        <v>1768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8">
        <v>6623.0</v>
      </c>
      <c r="B1769" s="9" t="str">
        <f>HYPERLINK("https://www.lazada.vn/products/thit-thuan-chay-dang-vun-minced-tu-dau-ha-lan-huu-co-200gr-dragon-an-chay-an-kieng-an-thuc-duong-bio-garden-i3052361540.html", "https://www.lazada.vn/products/thit-thuan-chay-dang-vun-minced-tu-dau-ha-lan-huu-co-200gr-dragon-an-chay-an-kieng-an-thuc-duong-bio-garden-i3052361540.html")</f>
        <v>https://www.lazada.vn/products/thit-thuan-chay-dang-vun-minced-tu-dau-ha-lan-huu-co-200gr-dragon-an-chay-an-kieng-an-thuc-duong-bio-garden-i3052361540.html</v>
      </c>
      <c r="C1769" s="10" t="s">
        <v>1769</v>
      </c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8">
        <v>6624.0</v>
      </c>
      <c r="B1770" s="9" t="str">
        <f>HYPERLINK("https://www.lazada.vn/products/bia-reeper-b-weissbier-nhap-khau-duc-1-thung-24-lon-500ml-i2917761299.html", "https://www.lazada.vn/products/bia-reeper-b-weissbier-nhap-khau-duc-1-thung-24-lon-500ml-i2917761299.html")</f>
        <v>https://www.lazada.vn/products/bia-reeper-b-weissbier-nhap-khau-duc-1-thung-24-lon-500ml-i2917761299.html</v>
      </c>
      <c r="C1770" s="10" t="s">
        <v>1770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8">
        <v>6625.0</v>
      </c>
      <c r="B1771" s="9" t="str">
        <f>HYPERLINK("https://www.lazada.vn/products/mi-tron-an-lien-sedaap-sieu-ca-sieu-ngon-i2924814436.html", "https://www.lazada.vn/products/mi-tron-an-lien-sedaap-sieu-ca-sieu-ngon-i2924814436.html")</f>
        <v>https://www.lazada.vn/products/mi-tron-an-lien-sedaap-sieu-ca-sieu-ngon-i2924814436.html</v>
      </c>
      <c r="C1771" s="10" t="s">
        <v>1771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8">
        <v>6626.0</v>
      </c>
      <c r="B1772" s="9" t="str">
        <f>HYPERLINK("https://www.lazada.vn/products/combo-snack-cu-sen-muoi-hong-60ggoi-i3056989453.html", "https://www.lazada.vn/products/combo-snack-cu-sen-muoi-hong-60ggoi-i3056989453.html")</f>
        <v>https://www.lazada.vn/products/combo-snack-cu-sen-muoi-hong-60ggoi-i3056989453.html</v>
      </c>
      <c r="C1772" s="10" t="s">
        <v>1772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8">
        <v>6627.0</v>
      </c>
      <c r="B1773" s="9" t="str">
        <f>HYPERLINK("https://www.lazada.vn/products/siro-trinh-chai-600ml-dua-luoi-kiwi-i2669154272.html", "https://www.lazada.vn/products/siro-trinh-chai-600ml-dua-luoi-kiwi-i2669154272.html")</f>
        <v>https://www.lazada.vn/products/siro-trinh-chai-600ml-dua-luoi-kiwi-i2669154272.html</v>
      </c>
      <c r="C1773" s="10" t="s">
        <v>1773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8">
        <v>6628.0</v>
      </c>
      <c r="B1774" s="9" t="str">
        <f>HYPERLINK("https://www.lazada.vn/products/ruou-vang-do-zenato-ripassa-valpolicella-ripasso-superiore-i2795820587.html", "https://www.lazada.vn/products/ruou-vang-do-zenato-ripassa-valpolicella-ripasso-superiore-i2795820587.html")</f>
        <v>https://www.lazada.vn/products/ruou-vang-do-zenato-ripassa-valpolicella-ripasso-superiore-i2795820587.html</v>
      </c>
      <c r="C1774" s="10" t="s">
        <v>1774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8">
        <v>6629.0</v>
      </c>
      <c r="B1775" s="9" t="str">
        <f>HYPERLINK("https://www.lazada.vn/products/ca-phe-sua-vinacafe-gold-original-bich-lon-800g-gom-40-goi-i2781597089.html", "https://www.lazada.vn/products/ca-phe-sua-vinacafe-gold-original-bich-lon-800g-gom-40-goi-i2781597089.html")</f>
        <v>https://www.lazada.vn/products/ca-phe-sua-vinacafe-gold-original-bich-lon-800g-gom-40-goi-i2781597089.html</v>
      </c>
      <c r="C1775" s="10" t="s">
        <v>1775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8">
        <v>6630.0</v>
      </c>
      <c r="B1776" s="9" t="str">
        <f>HYPERLINK("https://www.lazada.vn/products/combo-2-tui-keo-socola-sua-popit-doraemon-212gr-socola-do-an-vat-i2952506772.html", "https://www.lazada.vn/products/combo-2-tui-keo-socola-sua-popit-doraemon-212gr-socola-do-an-vat-i2952506772.html")</f>
        <v>https://www.lazada.vn/products/combo-2-tui-keo-socola-sua-popit-doraemon-212gr-socola-do-an-vat-i2952506772.html</v>
      </c>
      <c r="C1776" s="10" t="s">
        <v>1776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8">
        <v>6631.0</v>
      </c>
      <c r="B1777" s="9" t="str">
        <f>HYPERLINK("https://www.lazada.vn/products/bot-sua-nhan-sam-do-nam-kinh-tongrentang-de-tang-cuong-kha-nang-mien-dich-i2744810658.html", "https://www.lazada.vn/products/bot-sua-nhan-sam-do-nam-kinh-tongrentang-de-tang-cuong-kha-nang-mien-dich-i2744810658.html")</f>
        <v>https://www.lazada.vn/products/bot-sua-nhan-sam-do-nam-kinh-tongrentang-de-tang-cuong-kha-nang-mien-dich-i2744810658.html</v>
      </c>
      <c r="C1777" s="10" t="s">
        <v>1777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8">
        <v>6632.0</v>
      </c>
      <c r="B1778" s="9" t="str">
        <f>HYPERLINK("https://www.lazada.vn/products/suon-non-chay-say-sa-ot-hang-seal-hu-gion-ngon-i3037417676.html", "https://www.lazada.vn/products/suon-non-chay-say-sa-ot-hang-seal-hu-gion-ngon-i3037417676.html")</f>
        <v>https://www.lazada.vn/products/suon-non-chay-say-sa-ot-hang-seal-hu-gion-ngon-i3037417676.html</v>
      </c>
      <c r="C1778" s="10" t="s">
        <v>1778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8">
        <v>6633.0</v>
      </c>
      <c r="B1779" s="9" t="str">
        <f>HYPERLINK("https://www.lazada.vn/products/combo-2-bich-sieu-pham-banh-moi-karo-gau-pho-mai-cha-bong-2x-48g-4-cai-i2789690161.html", "https://www.lazada.vn/products/combo-2-bich-sieu-pham-banh-moi-karo-gau-pho-mai-cha-bong-2x-48g-4-cai-i2789690161.html")</f>
        <v>https://www.lazada.vn/products/combo-2-bich-sieu-pham-banh-moi-karo-gau-pho-mai-cha-bong-2x-48g-4-cai-i2789690161.html</v>
      </c>
      <c r="C1779" s="10" t="s">
        <v>1779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8">
        <v>6634.0</v>
      </c>
      <c r="B1780" s="9" t="str">
        <f>HYPERLINK("https://www.lazada.vn/products/1kg-banh-snack-vi-hanh-hinh-con-so-i2697857049.html", "https://www.lazada.vn/products/1kg-banh-snack-vi-hanh-hinh-con-so-i2697857049.html")</f>
        <v>https://www.lazada.vn/products/1kg-banh-snack-vi-hanh-hinh-con-so-i2697857049.html</v>
      </c>
      <c r="C1780" s="10" t="s">
        <v>1780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8">
        <v>6635.0</v>
      </c>
      <c r="B1781" s="9" t="str">
        <f>HYPERLINK("https://www.lazada.vn/products/keo-tao-do-kep-sua-lac-da-mix-hat-dieu-an-sieu-ngon-tui-500g-i2849197165.html", "https://www.lazada.vn/products/keo-tao-do-kep-sua-lac-da-mix-hat-dieu-an-sieu-ngon-tui-500g-i2849197165.html")</f>
        <v>https://www.lazada.vn/products/keo-tao-do-kep-sua-lac-da-mix-hat-dieu-an-sieu-ngon-tui-500g-i2849197165.html</v>
      </c>
      <c r="C1781" s="10" t="s">
        <v>1781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8">
        <v>6636.0</v>
      </c>
      <c r="B1782" s="9" t="str">
        <f>HYPERLINK("https://www.lazada.vn/products/haldiram-moong-dal-indian-snack-haldirams-moong-daal-150g-i1589594634.html", "https://www.lazada.vn/products/haldiram-moong-dal-indian-snack-haldirams-moong-daal-150g-i1589594634.html")</f>
        <v>https://www.lazada.vn/products/haldiram-moong-dal-indian-snack-haldirams-moong-daal-150g-i1589594634.html</v>
      </c>
      <c r="C1782" s="10" t="s">
        <v>1782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8">
        <v>6637.0</v>
      </c>
      <c r="B1783" s="9" t="str">
        <f>HYPERLINK("https://www.lazada.vn/products/keo-deo-chupa-chups-sour-ong-tubes-i2847886406.html", "https://www.lazada.vn/products/keo-deo-chupa-chups-sour-ong-tubes-i2847886406.html")</f>
        <v>https://www.lazada.vn/products/keo-deo-chupa-chups-sour-ong-tubes-i2847886406.html</v>
      </c>
      <c r="C1783" s="10" t="s">
        <v>1783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8">
        <v>6638.0</v>
      </c>
      <c r="B1784" s="9" t="str">
        <f>HYPERLINK("https://www.lazada.vn/products/papad-banh-nuong-tu-bot-dau-swad-sada-plain-papad-200g-i1589482393.html", "https://www.lazada.vn/products/papad-banh-nuong-tu-bot-dau-swad-sada-plain-papad-200g-i1589482393.html")</f>
        <v>https://www.lazada.vn/products/papad-banh-nuong-tu-bot-dau-swad-sada-plain-papad-200g-i1589482393.html</v>
      </c>
      <c r="C1784" s="10" t="s">
        <v>1784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8">
        <v>6639.0</v>
      </c>
      <c r="B1785" s="9" t="str">
        <f>HYPERLINK("https://www.lazada.vn/products/papad-masala-papad-banh-nuong-tu-bot-dau-swad-masala-pepper-papad-200g-i1589435870.html", "https://www.lazada.vn/products/papad-masala-papad-banh-nuong-tu-bot-dau-swad-masala-pepper-papad-200g-i1589435870.html")</f>
        <v>https://www.lazada.vn/products/papad-masala-papad-banh-nuong-tu-bot-dau-swad-masala-pepper-papad-200g-i1589435870.html</v>
      </c>
      <c r="C1785" s="10" t="s">
        <v>1785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8">
        <v>6640.0</v>
      </c>
      <c r="B1786" s="9" t="str">
        <f>HYPERLINK("https://www.lazada.vn/products/hcm-banh-tuyet-thien-su-vi-thom-10-cai-binh-vinh-tabio-i1021166100.html", "https://www.lazada.vn/products/hcm-banh-tuyet-thien-su-vi-thom-10-cai-binh-vinh-tabio-i1021166100.html")</f>
        <v>https://www.lazada.vn/products/hcm-banh-tuyet-thien-su-vi-thom-10-cai-binh-vinh-tabio-i1021166100.html</v>
      </c>
      <c r="C1786" s="10" t="s">
        <v>1786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8">
        <v>6641.0</v>
      </c>
      <c r="B1787" s="9" t="str">
        <f>HYPERLINK("https://www.lazada.vn/products/goi-lon-200g-sieu-re-banh-snack-muc-thai-lan-talaethong-vi-cay-ngot-gion-tan-dam-vi-an-la-ghien-nem-la-thich-i2216785212.html", "https://www.lazada.vn/products/goi-lon-200g-sieu-re-banh-snack-muc-thai-lan-talaethong-vi-cay-ngot-gion-tan-dam-vi-an-la-ghien-nem-la-thich-i2216785212.html")</f>
        <v>https://www.lazada.vn/products/goi-lon-200g-sieu-re-banh-snack-muc-thai-lan-talaethong-vi-cay-ngot-gion-tan-dam-vi-an-la-ghien-nem-la-thich-i2216785212.html</v>
      </c>
      <c r="C1787" s="10" t="s">
        <v>1787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8">
        <v>6642.0</v>
      </c>
      <c r="B1788" s="9" t="str">
        <f>HYPERLINK("https://www.lazada.vn/products/snack-giai-tri-lao-dong-mua-xuan-ma-yu-shuang-xuan-thu-hat-dau-to-nuoc-da-lon-chat-dinh-duong-100g-thuong-hieu-wolong-i2866772195.html", "https://www.lazada.vn/products/snack-giai-tri-lao-dong-mua-xuan-ma-yu-shuang-xuan-thu-hat-dau-to-nuoc-da-lon-chat-dinh-duong-100g-thuong-hieu-wolong-i2866772195.html")</f>
        <v>https://www.lazada.vn/products/snack-giai-tri-lao-dong-mua-xuan-ma-yu-shuang-xuan-thu-hat-dau-to-nuoc-da-lon-chat-dinh-duong-100g-thuong-hieu-wolong-i2866772195.html</v>
      </c>
      <c r="C1788" s="10" t="s">
        <v>1788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8">
        <v>6643.0</v>
      </c>
      <c r="B1789" s="9" t="str">
        <f>HYPERLINK("https://www.lazada.vn/products/kich-phat-to-hq101-1000ml-i2748691010.html", "https://www.lazada.vn/products/kich-phat-to-hq101-1000ml-i2748691010.html")</f>
        <v>https://www.lazada.vn/products/kich-phat-to-hq101-1000ml-i2748691010.html</v>
      </c>
      <c r="C1789" s="10" t="s">
        <v>1789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8">
        <v>6644.0</v>
      </c>
      <c r="B1790" s="9" t="str">
        <f>HYPERLINK("https://www.lazada.vn/products/banh-tipo-trung-sau-rieng-220g-i2208426671.html", "https://www.lazada.vn/products/banh-tipo-trung-sau-rieng-220g-i2208426671.html")</f>
        <v>https://www.lazada.vn/products/banh-tipo-trung-sau-rieng-220g-i2208426671.html</v>
      </c>
      <c r="C1790" s="10" t="s">
        <v>1790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8">
        <v>6645.0</v>
      </c>
      <c r="B1791" s="9" t="str">
        <f>HYPERLINK("https://www.lazada.vn/products/bim-bim-que-mix-thai-lan-vfoods-goi-to-60gr-i2863715704.html", "https://www.lazada.vn/products/bim-bim-que-mix-thai-lan-vfoods-goi-to-60gr-i2863715704.html")</f>
        <v>https://www.lazada.vn/products/bim-bim-que-mix-thai-lan-vfoods-goi-to-60gr-i2863715704.html</v>
      </c>
      <c r="C1791" s="10" t="s">
        <v>1791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8">
        <v>6646.0</v>
      </c>
      <c r="B1792" s="9" t="str">
        <f>HYPERLINK("https://www.lazada.vn/products/hcm-banh-tuyet-thien-su-vi-khoai-mon-10-cai-binh-vinh-tabio-i1021162401.html", "https://www.lazada.vn/products/hcm-banh-tuyet-thien-su-vi-khoai-mon-10-cai-binh-vinh-tabio-i1021162401.html")</f>
        <v>https://www.lazada.vn/products/hcm-banh-tuyet-thien-su-vi-khoai-mon-10-cai-binh-vinh-tabio-i1021162401.html</v>
      </c>
      <c r="C1792" s="10" t="s">
        <v>1792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8">
        <v>6647.0</v>
      </c>
      <c r="B1793" s="9" t="str">
        <f>HYPERLINK("https://www.lazada.vn/products/mancozeb-800wp-1kg-bot-xanh-vang-tan-nhanh-i2748198002.html", "https://www.lazada.vn/products/mancozeb-800wp-1kg-bot-xanh-vang-tan-nhanh-i2748198002.html")</f>
        <v>https://www.lazada.vn/products/mancozeb-800wp-1kg-bot-xanh-vang-tan-nhanh-i2748198002.html</v>
      </c>
      <c r="C1793" s="10" t="s">
        <v>1793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8">
        <v>6648.0</v>
      </c>
      <c r="B1794" s="9" t="str">
        <f>HYPERLINK("https://www.lazada.vn/products/cham-cheo-chuan-vi-tay-bac-cham-thit-ca-hoa-qua-dam-da-kho-cuonghang-loai-1-luon-dam-bao-chat-luong-i2094332786.html", "https://www.lazada.vn/products/cham-cheo-chuan-vi-tay-bac-cham-thit-ca-hoa-qua-dam-da-kho-cuonghang-loai-1-luon-dam-bao-chat-luong-i2094332786.html")</f>
        <v>https://www.lazada.vn/products/cham-cheo-chuan-vi-tay-bac-cham-thit-ca-hoa-qua-dam-da-kho-cuonghang-loai-1-luon-dam-bao-chat-luong-i2094332786.html</v>
      </c>
      <c r="C1794" s="10" t="s">
        <v>1794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8">
        <v>6649.0</v>
      </c>
      <c r="B1795" s="9" t="str">
        <f>HYPERLINK("https://www.lazada.vn/products/ruou-vang-chile-santo-molina-vang-trang-13-chai-i2215112234.html", "https://www.lazada.vn/products/ruou-vang-chile-santo-molina-vang-trang-13-chai-i2215112234.html")</f>
        <v>https://www.lazada.vn/products/ruou-vang-chile-santo-molina-vang-trang-13-chai-i2215112234.html</v>
      </c>
      <c r="C1795" s="10" t="s">
        <v>1795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8">
        <v>6650.0</v>
      </c>
      <c r="B1796" s="9" t="str">
        <f>HYPERLINK("https://www.lazada.vn/products/banh-gao-yappy-senbi-vi-ngot-man-800g-i2930032927.html", "https://www.lazada.vn/products/banh-gao-yappy-senbi-vi-ngot-man-800g-i2930032927.html")</f>
        <v>https://www.lazada.vn/products/banh-gao-yappy-senbi-vi-ngot-man-800g-i2930032927.html</v>
      </c>
      <c r="C1796" s="10" t="s">
        <v>1796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8">
        <v>6651.0</v>
      </c>
      <c r="B1797" s="9" t="str">
        <f>HYPERLINK("https://www.lazada.vn/products/bot-thach-pudding-vai-500g-lam-pudding-topping-tra-sua-vi-vai-thuong-hieu-calay-i2593727039.html", "https://www.lazada.vn/products/bot-thach-pudding-vai-500g-lam-pudding-topping-tra-sua-vi-vai-thuong-hieu-calay-i2593727039.html")</f>
        <v>https://www.lazada.vn/products/bot-thach-pudding-vai-500g-lam-pudding-topping-tra-sua-vi-vai-thuong-hieu-calay-i2593727039.html</v>
      </c>
      <c r="C1797" s="10" t="s">
        <v>1797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8">
        <v>6652.0</v>
      </c>
      <c r="B1798" s="9" t="str">
        <f>HYPERLINK("https://www.lazada.vn/products/thungloc-24-lon-nuoc-ngot-giai-khat-coca-cola-vi-nguyen-ban-original-320mlon-sale-1212-supercheap-chinh-hang-i2616106301.html", "https://www.lazada.vn/products/thungloc-24-lon-nuoc-ngot-giai-khat-coca-cola-vi-nguyen-ban-original-320mlon-sale-1212-supercheap-chinh-hang-i2616106301.html")</f>
        <v>https://www.lazada.vn/products/thungloc-24-lon-nuoc-ngot-giai-khat-coca-cola-vi-nguyen-ban-original-320mlon-sale-1212-supercheap-chinh-hang-i2616106301.html</v>
      </c>
      <c r="C1798" s="10" t="s">
        <v>1798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8">
        <v>6653.0</v>
      </c>
      <c r="B1799" s="9" t="str">
        <f>HYPERLINK("https://www.lazada.vn/products/nuoc-dung-dashi-kombu-yamasa-500ml-thenewlife0909-i2848316130.html", "https://www.lazada.vn/products/nuoc-dung-dashi-kombu-yamasa-500ml-thenewlife0909-i2848316130.html")</f>
        <v>https://www.lazada.vn/products/nuoc-dung-dashi-kombu-yamasa-500ml-thenewlife0909-i2848316130.html</v>
      </c>
      <c r="C1799" s="10" t="s">
        <v>1799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8">
        <v>6654.0</v>
      </c>
      <c r="B1800" s="9" t="str">
        <f>HYPERLINK("https://www.lazada.vn/products/alaza-bia-sach-3-vong-bieu-tuong-hoa-binh-hippie-bia-hoa-bia-tron-giu-duoc-bia-sach-15-inch-bia-sach-nang-cho-do-dung-hoc-tap-va-van-phong-1-goi-i3012934726.html", "https://www.lazada.vn/products/alaza-bia-sach-3-vong-bieu-tuong-hoa-binh-hippie-bia-hoa-bia-tron-giu-duoc-bia-sach-15-inch-bia-sach-nang-cho-do-dung-hoc-tap-va-van-phong-1-goi-i3012934726.html")</f>
        <v>https://www.lazada.vn/products/alaza-bia-sach-3-vong-bieu-tuong-hoa-binh-hippie-bia-hoa-bia-tron-giu-duoc-bia-sach-15-inch-bia-sach-nang-cho-do-dung-hoc-tap-va-van-phong-1-goi-i3012934726.html</v>
      </c>
      <c r="C1800" s="10" t="s">
        <v>1800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8">
        <v>6655.0</v>
      </c>
      <c r="B1801" s="9" t="str">
        <f>HYPERLINK("https://www.lazada.vn/products/heinz-lon-big-soup-400g-sup-rau-cu-va-bo-beef-vegetable-soup-i3052353220.html", "https://www.lazada.vn/products/heinz-lon-big-soup-400g-sup-rau-cu-va-bo-beef-vegetable-soup-i3052353220.html")</f>
        <v>https://www.lazada.vn/products/heinz-lon-big-soup-400g-sup-rau-cu-va-bo-beef-vegetable-soup-i3052353220.html</v>
      </c>
      <c r="C1801" s="10" t="s">
        <v>1801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8">
        <v>6656.0</v>
      </c>
      <c r="B1802" s="9" t="str">
        <f>HYPERLINK("https://www.lazada.vn/products/bia-1689-beckent-bauer-craft-lager-thung-24-chai-330ml-ship-hoa-toc-i2917498892.html", "https://www.lazada.vn/products/bia-1689-beckent-bauer-craft-lager-thung-24-chai-330ml-ship-hoa-toc-i2917498892.html")</f>
        <v>https://www.lazada.vn/products/bia-1689-beckent-bauer-craft-lager-thung-24-chai-330ml-ship-hoa-toc-i2917498892.html</v>
      </c>
      <c r="C1802" s="10" t="s">
        <v>1802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8">
        <v>6657.0</v>
      </c>
      <c r="B1803" s="9" t="str">
        <f>HYPERLINK("https://www.lazada.vn/products/gio-heo-gia-cay-1kg-giao-hoa-toc-tphcm-i2923039896.html", "https://www.lazada.vn/products/gio-heo-gia-cay-1kg-giao-hoa-toc-tphcm-i2923039896.html")</f>
        <v>https://www.lazada.vn/products/gio-heo-gia-cay-1kg-giao-hoa-toc-tphcm-i2923039896.html</v>
      </c>
      <c r="C1803" s="10" t="s">
        <v>1803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8">
        <v>6658.0</v>
      </c>
      <c r="B1804" s="9" t="str">
        <f>HYPERLINK("https://www.lazada.vn/products/hop-santa-loreto-cabernet-sauvignon-3l-3l-13-i2790310307.html", "https://www.lazada.vn/products/hop-santa-loreto-cabernet-sauvignon-3l-3l-13-i2790310307.html")</f>
        <v>https://www.lazada.vn/products/hop-santa-loreto-cabernet-sauvignon-3l-3l-13-i2790310307.html</v>
      </c>
      <c r="C1804" s="10" t="s">
        <v>1804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8">
        <v>6659.0</v>
      </c>
      <c r="B1805" s="9" t="str">
        <f>HYPERLINK("https://www.lazada.vn/products/siro-lam-sua-chua-tui-mut-trai-cay-sinh-to-nhieu-vi-pha-che-i2669088149.html", "https://www.lazada.vn/products/siro-lam-sua-chua-tui-mut-trai-cay-sinh-to-nhieu-vi-pha-che-i2669088149.html")</f>
        <v>https://www.lazada.vn/products/siro-lam-sua-chua-tui-mut-trai-cay-sinh-to-nhieu-vi-pha-che-i2669088149.html</v>
      </c>
      <c r="C1805" s="10" t="s">
        <v>1805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8">
        <v>6660.0</v>
      </c>
      <c r="B1806" s="9" t="str">
        <f>HYPERLINK("https://www.lazada.vn/products/ca-phe-sua-da-maccoffee-cafe-pho-720g-i2781434902.html", "https://www.lazada.vn/products/ca-phe-sua-da-maccoffee-cafe-pho-720g-i2781434902.html")</f>
        <v>https://www.lazada.vn/products/ca-phe-sua-da-maccoffee-cafe-pho-720g-i2781434902.html</v>
      </c>
      <c r="C1806" s="10" t="s">
        <v>1806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8">
        <v>6661.0</v>
      </c>
      <c r="B1807" s="9" t="str">
        <f>HYPERLINK("https://www.lazada.vn/products/keo-socola-sua-popit-doraemon-212gr-socola-do-an-vat-i2952502804.html", "https://www.lazada.vn/products/keo-socola-sua-popit-doraemon-212gr-socola-do-an-vat-i2952502804.html")</f>
        <v>https://www.lazada.vn/products/keo-socola-sua-popit-doraemon-212gr-socola-do-an-vat-i2952502804.html</v>
      </c>
      <c r="C1807" s="10" t="s">
        <v>1807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8">
        <v>6662.0</v>
      </c>
      <c r="B1808" s="9" t="str">
        <f>HYPERLINK("https://www.lazada.vn/products/bot-rau-cu-say-lanh-nuris-japan-ho-tro-giam-can-detox-giai-doc-gan-bo-sung-chat-xo-30-goi-i2742731645.html", "https://www.lazada.vn/products/bot-rau-cu-say-lanh-nuris-japan-ho-tro-giam-can-detox-giai-doc-gan-bo-sung-chat-xo-30-goi-i2742731645.html")</f>
        <v>https://www.lazada.vn/products/bot-rau-cu-say-lanh-nuris-japan-ho-tro-giam-can-detox-giai-doc-gan-bo-sung-chat-xo-30-goi-i2742731645.html</v>
      </c>
      <c r="C1808" s="10" t="s">
        <v>1808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8">
        <v>6663.0</v>
      </c>
      <c r="B1809" s="9" t="str">
        <f>HYPERLINK("https://www.lazada.vn/products/quat-tran-bi-hop-250g-pt-green-i3005878117.html", "https://www.lazada.vn/products/quat-tran-bi-hop-250g-pt-green-i3005878117.html")</f>
        <v>https://www.lazada.vn/products/quat-tran-bi-hop-250g-pt-green-i3005878117.html</v>
      </c>
      <c r="C1809" s="10" t="s">
        <v>1809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8">
        <v>6664.0</v>
      </c>
      <c r="B1810" s="9" t="str">
        <f>HYPERLINK("https://www.lazada.vn/products/banh-trang-rong-bien-4-vi-thom-ngon-i2684232066.html", "https://www.lazada.vn/products/banh-trang-rong-bien-4-vi-thom-ngon-i2684232066.html")</f>
        <v>https://www.lazada.vn/products/banh-trang-rong-bien-4-vi-thom-ngon-i2684232066.html</v>
      </c>
      <c r="C1810" s="10" t="s">
        <v>1810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8">
        <v>6665.0</v>
      </c>
      <c r="B1811" s="9" t="str">
        <f>HYPERLINK("https://www.lazada.vn/products/banh-bong-lan-tuoi-ovaltine-hinh-tam-giac-vi-socola-100g-i2788658452.html", "https://www.lazada.vn/products/banh-bong-lan-tuoi-ovaltine-hinh-tam-giac-vi-socola-100g-i2788658452.html")</f>
        <v>https://www.lazada.vn/products/banh-bong-lan-tuoi-ovaltine-hinh-tam-giac-vi-socola-100g-i2788658452.html</v>
      </c>
      <c r="C1811" s="10" t="s">
        <v>1811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8">
        <v>6666.0</v>
      </c>
      <c r="B1812" s="9" t="str">
        <f>HYPERLINK("https://www.lazada.vn/products/hop-lon-30-vien-keo-xam-xtreme-chinh-hang-giao-hang-che-ten-i2847436029.html", "https://www.lazada.vn/products/hop-lon-30-vien-keo-xam-xtreme-chinh-hang-giao-hang-che-ten-i2847436029.html")</f>
        <v>https://www.lazada.vn/products/hop-lon-30-vien-keo-xam-xtreme-chinh-hang-giao-hang-che-ten-i2847436029.html</v>
      </c>
      <c r="C1812" s="10" t="s">
        <v>1812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8">
        <v>6667.0</v>
      </c>
      <c r="B1813" s="9" t="str">
        <f>HYPERLINK("https://www.lazada.vn/products/hu-30-que-keo-mach-nha-tuoi-tho-keo-soi-nhieu-mau-i2846426253.html", "https://www.lazada.vn/products/hu-30-que-keo-mach-nha-tuoi-tho-keo-soi-nhieu-mau-i2846426253.html")</f>
        <v>https://www.lazada.vn/products/hu-30-que-keo-mach-nha-tuoi-tho-keo-soi-nhieu-mau-i2846426253.html</v>
      </c>
      <c r="C1813" s="10" t="s">
        <v>1813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8">
        <v>6668.0</v>
      </c>
      <c r="B1814" s="9" t="str">
        <f>HYPERLINK("https://www.lazada.vn/products/hcm-banh-dua-tuyet-10-cai-binh-vinh-tabio-i1021156764.html", "https://www.lazada.vn/products/hcm-banh-dua-tuyet-10-cai-binh-vinh-tabio-i1021156764.html")</f>
        <v>https://www.lazada.vn/products/hcm-banh-dua-tuyet-10-cai-binh-vinh-tabio-i1021156764.html</v>
      </c>
      <c r="C1814" s="10" t="s">
        <v>1814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8">
        <v>6669.0</v>
      </c>
      <c r="B1815" s="9" t="str">
        <f>HYPERLINK("https://www.lazada.vn/products/keo-thach-sua-chua-newjoy-920g-an-toan-cho-be-i2208171140.html", "https://www.lazada.vn/products/keo-thach-sua-chua-newjoy-920g-an-toan-cho-be-i2208171140.html")</f>
        <v>https://www.lazada.vn/products/keo-thach-sua-chua-newjoy-920g-an-toan-cho-be-i2208171140.html</v>
      </c>
      <c r="C1815" s="10" t="s">
        <v>1815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8">
        <v>6670.0</v>
      </c>
      <c r="B1816" s="9" t="str">
        <f>HYPERLINK("https://www.lazada.vn/products/sieu-re-banh-ca-catnip-cho-meo-goi-100g-giup-sach-rang-tieu-bui-long-i2857770473.html", "https://www.lazada.vn/products/sieu-re-banh-ca-catnip-cho-meo-goi-100g-giup-sach-rang-tieu-bui-long-i2857770473.html")</f>
        <v>https://www.lazada.vn/products/sieu-re-banh-ca-catnip-cho-meo-goi-100g-giup-sach-rang-tieu-bui-long-i2857770473.html</v>
      </c>
      <c r="C1816" s="10" t="s">
        <v>1816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8">
        <v>6671.0</v>
      </c>
      <c r="B1817" s="9" t="str">
        <f>HYPERLINK("https://www.lazada.vn/products/haldiram-khatta-meetha-indian-snack-mixture-indian-mixture-haldirams-khatta-meetha-200g-i1589378934.html", "https://www.lazada.vn/products/haldiram-khatta-meetha-indian-snack-mixture-indian-mixture-haldirams-khatta-meetha-200g-i1589378934.html")</f>
        <v>https://www.lazada.vn/products/haldiram-khatta-meetha-indian-snack-mixture-indian-mixture-haldirams-khatta-meetha-200g-i1589378934.html</v>
      </c>
      <c r="C1817" s="10" t="s">
        <v>1817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8">
        <v>6672.0</v>
      </c>
      <c r="B1818" s="9" t="str">
        <f>HYPERLINK("https://www.lazada.vn/products/1kg-thach-san-day-loai-hat-nho-nau-tra-sua-i2747837096.html", "https://www.lazada.vn/products/1kg-thach-san-day-loai-hat-nho-nau-tra-sua-i2747837096.html")</f>
        <v>https://www.lazada.vn/products/1kg-thach-san-day-loai-hat-nho-nau-tra-sua-i2747837096.html</v>
      </c>
      <c r="C1818" s="10" t="s">
        <v>1818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8">
        <v>6673.0</v>
      </c>
      <c r="B1819" s="9" t="str">
        <f>HYPERLINK("https://www.lazada.vn/products/combo-2-khay-ga-u-muoi-hoa-tieu-450g-500g-khay-khong-ship-mien-bac-va-mien-trung-vi-shop-o-sai-gon-a-i2093434232.html", "https://www.lazada.vn/products/combo-2-khay-ga-u-muoi-hoa-tieu-450g-500g-khay-khong-ship-mien-bac-va-mien-trung-vi-shop-o-sai-gon-a-i2093434232.html")</f>
        <v>https://www.lazada.vn/products/combo-2-khay-ga-u-muoi-hoa-tieu-450g-500g-khay-khong-ship-mien-bac-va-mien-trung-vi-shop-o-sai-gon-a-i2093434232.html</v>
      </c>
      <c r="C1819" s="10" t="s">
        <v>1819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8">
        <v>6674.0</v>
      </c>
      <c r="B1820" s="9" t="str">
        <f>HYPERLINK("https://www.lazada.vn/products/bot-khuc-bach-dao-chua-tu-phan-tang-200g-lam-khuc-bach-topping-tra-sua-vi-dao-chua-2-tang-i2592765389.html", "https://www.lazada.vn/products/bot-khuc-bach-dao-chua-tu-phan-tang-200g-lam-khuc-bach-topping-tra-sua-vi-dao-chua-2-tang-i2592765389.html")</f>
        <v>https://www.lazada.vn/products/bot-khuc-bach-dao-chua-tu-phan-tang-200g-lam-khuc-bach-topping-tra-sua-vi-dao-chua-2-tang-i2592765389.html</v>
      </c>
      <c r="C1820" s="10" t="s">
        <v>1820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8">
        <v>6675.0</v>
      </c>
      <c r="B1821" s="9" t="str">
        <f>HYPERLINK("https://www.lazada.vn/products/ruou-la-sam-ngoc-linh-_-chai-500-ml-ruou-la-cao-cap-i2847747349.html", "https://www.lazada.vn/products/ruou-la-sam-ngoc-linh-_-chai-500-ml-ruou-la-cao-cap-i2847747349.html")</f>
        <v>https://www.lazada.vn/products/ruou-la-sam-ngoc-linh-_-chai-500-ml-ruou-la-cao-cap-i2847747349.html</v>
      </c>
      <c r="C1821" s="10" t="s">
        <v>1821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8">
        <v>6676.0</v>
      </c>
      <c r="B1822" s="9" t="str">
        <f>HYPERLINK("https://www.lazada.vn/products/ruou-vang-chile-santa-lorenro-chardonnay-chai-i2214431268.html", "https://www.lazada.vn/products/ruou-vang-chile-santa-lorenro-chardonnay-chai-i2214431268.html")</f>
        <v>https://www.lazada.vn/products/ruou-vang-chile-santa-lorenro-chardonnay-chai-i2214431268.html</v>
      </c>
      <c r="C1822" s="10" t="s">
        <v>1822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8">
        <v>6677.0</v>
      </c>
      <c r="B1823" s="9" t="str">
        <f>HYPERLINK("https://www.lazada.vn/products/nuoc-ngot-xa-xi-muoi-heysong-330g-i2614293926.html", "https://www.lazada.vn/products/nuoc-ngot-xa-xi-muoi-heysong-330g-i2614293926.html")</f>
        <v>https://www.lazada.vn/products/nuoc-ngot-xa-xi-muoi-heysong-330g-i2614293926.html</v>
      </c>
      <c r="C1823" s="10" t="s">
        <v>1823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8">
        <v>6678.0</v>
      </c>
      <c r="B1824" s="9" t="str">
        <f>HYPERLINK("https://www.lazada.vn/products/banh-quy-bo-cacao-sua-banh-danisa-abbra-hop-giay-huong-vi-dan-mach-hao-hang-cao-cap-168g-happy-life-4kid-i2929693031.html", "https://www.lazada.vn/products/banh-quy-bo-cacao-sua-banh-danisa-abbra-hop-giay-huong-vi-dan-mach-hao-hang-cao-cap-168g-happy-life-4kid-i2929693031.html")</f>
        <v>https://www.lazada.vn/products/banh-quy-bo-cacao-sua-banh-danisa-abbra-hop-giay-huong-vi-dan-mach-hao-hang-cao-cap-168g-happy-life-4kid-i2929693031.html</v>
      </c>
      <c r="C1824" s="10" t="s">
        <v>1824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8">
        <v>6679.0</v>
      </c>
      <c r="B1825" s="9" t="str">
        <f>HYPERLINK("https://www.lazada.vn/products/bo-ba-dinh-chop-dao-tuoi-cat-mieng-nho-thot-not-gion-ngam-duong-nhan-ngam-mong-tuoi-hieu-ohla-hop-950gr-i3052345431.html", "https://www.lazada.vn/products/bo-ba-dinh-chop-dao-tuoi-cat-mieng-nho-thot-not-gion-ngam-duong-nhan-ngam-mong-tuoi-hieu-ohla-hop-950gr-i3052345431.html")</f>
        <v>https://www.lazada.vn/products/bo-ba-dinh-chop-dao-tuoi-cat-mieng-nho-thot-not-gion-ngam-duong-nhan-ngam-mong-tuoi-hieu-ohla-hop-950gr-i3052345431.html</v>
      </c>
      <c r="C1825" s="10" t="s">
        <v>1825</v>
      </c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8">
        <v>6680.0</v>
      </c>
      <c r="B1826" s="9" t="str">
        <f>HYPERLINK("https://www.lazada.vn/products/yongda-1-thung-bia-corny-khoa-khilong-ngat-ket-noi-cho-bia-nha-kieu-cornelius-i3012929385.html", "https://www.lazada.vn/products/yongda-1-thung-bia-corny-khoa-khilong-ngat-ket-noi-cho-bia-nha-kieu-cornelius-i3012929385.html")</f>
        <v>https://www.lazada.vn/products/yongda-1-thung-bia-corny-khoa-khilong-ngat-ket-noi-cho-bia-nha-kieu-cornelius-i3012929385.html</v>
      </c>
      <c r="C1826" s="10" t="s">
        <v>1826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8">
        <v>6681.0</v>
      </c>
      <c r="B1827" s="9" t="str">
        <f>HYPERLINK("https://www.lazada.vn/products/bia-rong-may-man-i2904052677.html", "https://www.lazada.vn/products/bia-rong-may-man-i2904052677.html")</f>
        <v>https://www.lazada.vn/products/bia-rong-may-man-i2904052677.html</v>
      </c>
      <c r="C1827" s="10" t="s">
        <v>1827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8">
        <v>6682.0</v>
      </c>
      <c r="B1828" s="9" t="str">
        <f>HYPERLINK("https://www.lazada.vn/products/chao-ngu-coc-dinh-duong-7-vi-thom-ngon-bo-duong-day-du-duong-chat-cho-ca-nha-i2916859297.html", "https://www.lazada.vn/products/chao-ngu-coc-dinh-duong-7-vi-thom-ngon-bo-duong-day-du-duong-chat-cho-ca-nha-i2916859297.html")</f>
        <v>https://www.lazada.vn/products/chao-ngu-coc-dinh-duong-7-vi-thom-ngon-bo-duong-day-du-duong-chat-cho-ca-nha-i2916859297.html</v>
      </c>
      <c r="C1828" s="10" t="s">
        <v>1828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8">
        <v>6683.0</v>
      </c>
      <c r="B1829" s="9" t="str">
        <f>HYPERLINK("https://www.lazada.vn/products/siro-syrup-duong-den-douxian-huy-hang-huy-dou-xian-can-25kg-i2669085128.html", "https://www.lazada.vn/products/siro-syrup-duong-den-douxian-huy-hang-huy-dou-xian-can-25kg-i2669085128.html")</f>
        <v>https://www.lazada.vn/products/siro-syrup-duong-den-douxian-huy-hang-huy-dou-xian-can-25kg-i2669085128.html</v>
      </c>
      <c r="C1829" s="10" t="s">
        <v>1829</v>
      </c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8">
        <v>6684.0</v>
      </c>
      <c r="B1830" s="9" t="str">
        <f>HYPERLINK("https://www.lazada.vn/products/vang-da-lat-chateau-classic-12-750ml-i2744288655.html", "https://www.lazada.vn/products/vang-da-lat-chateau-classic-12-750ml-i2744288655.html")</f>
        <v>https://www.lazada.vn/products/vang-da-lat-chateau-classic-12-750ml-i2744288655.html</v>
      </c>
      <c r="C1830" s="10" t="s">
        <v>1830</v>
      </c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8">
        <v>6685.0</v>
      </c>
      <c r="B1831" s="9" t="str">
        <f>HYPERLINK("https://www.lazada.vn/products/ca-phe-sua-da-maccoffee-cafe-pho-240g-i2781399954.html", "https://www.lazada.vn/products/ca-phe-sua-da-maccoffee-cafe-pho-240g-i2781399954.html")</f>
        <v>https://www.lazada.vn/products/ca-phe-sua-da-maccoffee-cafe-pho-240g-i2781399954.html</v>
      </c>
      <c r="C1831" s="10" t="s">
        <v>1831</v>
      </c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8">
        <v>6686.0</v>
      </c>
      <c r="B1832" s="9" t="str">
        <f>HYPERLINK("https://www.lazada.vn/products/giai-nhiet-combo-1000g-bot-man-chuabot-pha-nuoc-man-chua-ngotbot-man-den-bot-o-mai-pha-tra-chanh-thom-ngon-sieu-nghien-i2741942011.html", "https://www.lazada.vn/products/giai-nhiet-combo-1000g-bot-man-chuabot-pha-nuoc-man-chua-ngotbot-man-den-bot-o-mai-pha-tra-chanh-thom-ngon-sieu-nghien-i2741942011.html")</f>
        <v>https://www.lazada.vn/products/giai-nhiet-combo-1000g-bot-man-chuabot-pha-nuoc-man-chua-ngotbot-man-den-bot-o-mai-pha-tra-chanh-thom-ngon-sieu-nghien-i2741942011.html</v>
      </c>
      <c r="C1832" s="10" t="s">
        <v>1832</v>
      </c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8">
        <v>6687.0</v>
      </c>
      <c r="B1833" s="9" t="str">
        <f>HYPERLINK("https://www.lazada.vn/products/banh-keo-si-combo-10-tui-keo-socola-sua-popit-doraemon-212gr-do-an-vat-i2952494866.html", "https://www.lazada.vn/products/banh-keo-si-combo-10-tui-keo-socola-sua-popit-doraemon-212gr-do-an-vat-i2952494866.html")</f>
        <v>https://www.lazada.vn/products/banh-keo-si-combo-10-tui-keo-socola-sua-popit-doraemon-212gr-do-an-vat-i2952494866.html</v>
      </c>
      <c r="C1833" s="10" t="s">
        <v>1833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8">
        <v>6688.0</v>
      </c>
      <c r="B1834" s="9" t="str">
        <f>HYPERLINK("https://www.lazada.vn/products/tall-fescue-grass-seed-1000g-bag-festuca-arundinac-non-gmo-certified-grass-seed-for-lawn-and-pasture-fertilizing-i2997600447.html", "https://www.lazada.vn/products/tall-fescue-grass-seed-1000g-bag-festuca-arundinac-non-gmo-certified-grass-seed-for-lawn-and-pasture-fertilizing-i2997600447.html")</f>
        <v>https://www.lazada.vn/products/tall-fescue-grass-seed-1000g-bag-festuca-arundinac-non-gmo-certified-grass-seed-for-lawn-and-pasture-fertilizing-i2997600447.html</v>
      </c>
      <c r="C1834" s="10" t="s">
        <v>1834</v>
      </c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8">
        <v>6689.0</v>
      </c>
      <c r="B1835" s="9" t="str">
        <f>HYPERLINK("https://www.lazada.vn/products/banh-phong-sua-nhon-hoang-banh-trang-sua-vi-sau-rieng-la-dua-cot-dua-thom-ngon-savifood-i2682586197.html", "https://www.lazada.vn/products/banh-phong-sua-nhon-hoang-banh-trang-sua-vi-sau-rieng-la-dua-cot-dua-thom-ngon-savifood-i2682586197.html")</f>
        <v>https://www.lazada.vn/products/banh-phong-sua-nhon-hoang-banh-trang-sua-vi-sau-rieng-la-dua-cot-dua-thom-ngon-savifood-i2682586197.html</v>
      </c>
      <c r="C1835" s="10" t="s">
        <v>1835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8">
        <v>6690.0</v>
      </c>
      <c r="B1836" s="9" t="str">
        <f>HYPERLINK("https://www.lazada.vn/products/banh-trung-cuon-ruoc-kem-calleton-banh-mi-da-trung-cha-bong-sieu-hot-i2784054995.html", "https://www.lazada.vn/products/banh-trung-cuon-ruoc-kem-calleton-banh-mi-da-trung-cha-bong-sieu-hot-i2784054995.html")</f>
        <v>https://www.lazada.vn/products/banh-trung-cuon-ruoc-kem-calleton-banh-mi-da-trung-cha-bong-sieu-hot-i2784054995.html</v>
      </c>
      <c r="C1836" s="10" t="s">
        <v>1836</v>
      </c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8">
        <v>6691.0</v>
      </c>
      <c r="B1837" s="9" t="str">
        <f>HYPERLINK("https://www.lazada.vn/products/keo-tao-do-kep-sua-lac-da-va-nhan-hat-dieu-de-an-thom-ngon-an-vat-denfood-i2845387794.html", "https://www.lazada.vn/products/keo-tao-do-kep-sua-lac-da-va-nhan-hat-dieu-de-an-thom-ngon-an-vat-denfood-i2845387794.html")</f>
        <v>https://www.lazada.vn/products/keo-tao-do-kep-sua-lac-da-va-nhan-hat-dieu-de-an-thom-ngon-an-vat-denfood-i2845387794.html</v>
      </c>
      <c r="C1837" s="10" t="s">
        <v>1837</v>
      </c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8">
        <v>6692.0</v>
      </c>
      <c r="B1838" s="9" t="str">
        <f>HYPERLINK("https://www.lazada.vn/products/keo-chuoi-me-vung-thom-ngot-tu-chuoi-nha-que-lam-thu-cong-i2842929760.html", "https://www.lazada.vn/products/keo-chuoi-me-vung-thom-ngot-tu-chuoi-nha-que-lam-thu-cong-i2842929760.html")</f>
        <v>https://www.lazada.vn/products/keo-chuoi-me-vung-thom-ngot-tu-chuoi-nha-que-lam-thu-cong-i2842929760.html</v>
      </c>
      <c r="C1838" s="10" t="s">
        <v>1838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8">
        <v>6693.0</v>
      </c>
      <c r="B1839" s="9" t="str">
        <f>HYPERLINK("https://www.lazada.vn/products/hcm-banh-tuyet-thien-su-vi-dua-10-cai-binh-vinh-tabio-i1021136540.html", "https://www.lazada.vn/products/hcm-banh-tuyet-thien-su-vi-dua-10-cai-binh-vinh-tabio-i1021136540.html")</f>
        <v>https://www.lazada.vn/products/hcm-banh-tuyet-thien-su-vi-dua-10-cai-binh-vinh-tabio-i1021136540.html</v>
      </c>
      <c r="C1839" s="10" t="s">
        <v>1839</v>
      </c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8">
        <v>6694.0</v>
      </c>
      <c r="B1840" s="9" t="str">
        <f>HYPERLINK("https://www.lazada.vn/products/chinh-hang-biscuits-banh-thuong-catnip-cho-meo-an-vat-catnip-biscuits-goi-40g-banh-ca-tieu-bui-long-cho-meo-i2857711671.html", "https://www.lazada.vn/products/chinh-hang-biscuits-banh-thuong-catnip-cho-meo-an-vat-catnip-biscuits-goi-40g-banh-ca-tieu-bui-long-cho-meo-i2857711671.html")</f>
        <v>https://www.lazada.vn/products/chinh-hang-biscuits-banh-thuong-catnip-cho-meo-an-vat-catnip-biscuits-goi-40g-banh-ca-tieu-bui-long-cho-meo-i2857711671.html</v>
      </c>
      <c r="C1840" s="10" t="s">
        <v>1840</v>
      </c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8">
        <v>6695.0</v>
      </c>
      <c r="B1841" s="9" t="str">
        <f>HYPERLINK("https://www.lazada.vn/products/banh-mem-opera-orion-vi-socola-phan-tang-opera-banh-mem-kieu-au-mem-tuoi-nhu-banh-tiem-i2206946931.html", "https://www.lazada.vn/products/banh-mem-opera-orion-vi-socola-phan-tang-opera-banh-mem-kieu-au-mem-tuoi-nhu-banh-tiem-i2206946931.html")</f>
        <v>https://www.lazada.vn/products/banh-mem-opera-orion-vi-socola-phan-tang-opera-banh-mem-kieu-au-mem-tuoi-nhu-banh-tiem-i2206946931.html</v>
      </c>
      <c r="C1841" s="10" t="s">
        <v>1841</v>
      </c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8">
        <v>6696.0</v>
      </c>
      <c r="B1842" s="9" t="str">
        <f>HYPERLINK("https://www.lazada.vn/products/1kg-thach-san-day-vien-vuong-nau-che-tra-sua-tang-them-la-dua-i2747780328.html", "https://www.lazada.vn/products/1kg-thach-san-day-vien-vuong-nau-che-tra-sua-tang-them-la-dua-i2747780328.html")</f>
        <v>https://www.lazada.vn/products/1kg-thach-san-day-vien-vuong-nau-che-tra-sua-tang-them-la-dua-i2747780328.html</v>
      </c>
      <c r="C1842" s="10" t="s">
        <v>1842</v>
      </c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8">
        <v>6697.0</v>
      </c>
      <c r="B1843" s="9" t="str">
        <f>HYPERLINK("https://www.lazada.vn/products/haldiram-navarattan-mixture-indian-snack-haldirams-navarattan-150g-i1589297327.html", "https://www.lazada.vn/products/haldiram-navarattan-mixture-indian-snack-haldirams-navarattan-150g-i1589297327.html")</f>
        <v>https://www.lazada.vn/products/haldiram-navarattan-mixture-indian-snack-haldirams-navarattan-150g-i1589297327.html</v>
      </c>
      <c r="C1843" s="10" t="s">
        <v>1843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8">
        <v>6698.0</v>
      </c>
      <c r="B1844" s="9" t="str">
        <f>HYPERLINK("https://www.lazada.vn/products/1-khay-ga-u-muoi-hoa-tieu-450g-500g-i2093423364.html", "https://www.lazada.vn/products/1-khay-ga-u-muoi-hoa-tieu-450g-500g-i2093423364.html")</f>
        <v>https://www.lazada.vn/products/1-khay-ga-u-muoi-hoa-tieu-450g-500g-i2093423364.html</v>
      </c>
      <c r="C1844" s="10" t="s">
        <v>1844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8">
        <v>6699.0</v>
      </c>
      <c r="B1845" s="9" t="str">
        <f>HYPERLINK("https://www.lazada.vn/products/sinh-to-berrino-1-lit-du-vi-i2746595871.html", "https://www.lazada.vn/products/sinh-to-berrino-1-lit-du-vi-i2746595871.html")</f>
        <v>https://www.lazada.vn/products/sinh-to-berrino-1-lit-du-vi-i2746595871.html</v>
      </c>
      <c r="C1845" s="10" t="s">
        <v>1845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8">
        <v>6700.0</v>
      </c>
      <c r="B1846" s="9" t="str">
        <f>HYPERLINK("https://www.lazada.vn/products/ban-si-kem-da-nuoc-ngot-huong-hoa-qua-va-cola-bich-10-goi-80ml-mat-lanh-hap-dan-do-an-vat-mua-he-hot-nhat-i2847628149.html", "https://www.lazada.vn/products/ban-si-kem-da-nuoc-ngot-huong-hoa-qua-va-cola-bich-10-goi-80ml-mat-lanh-hap-dan-do-an-vat-mua-he-hot-nhat-i2847628149.html")</f>
        <v>https://www.lazada.vn/products/ban-si-kem-da-nuoc-ngot-huong-hoa-qua-va-cola-bich-10-goi-80ml-mat-lanh-hap-dan-do-an-vat-mua-he-hot-nhat-i2847628149.html</v>
      </c>
      <c r="C1846" s="10" t="s">
        <v>1846</v>
      </c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8">
        <v>6701.0</v>
      </c>
      <c r="B1847" s="9" t="str">
        <f>HYPERLINK("https://www.lazada.vn/products/1kg-chan-ga-rut-xuong-vua-khoi-lam-xa-tac-chan-ga-tuoi-i2093312865.html", "https://www.lazada.vn/products/1kg-chan-ga-rut-xuong-vua-khoi-lam-xa-tac-chan-ga-tuoi-i2093312865.html")</f>
        <v>https://www.lazada.vn/products/1kg-chan-ga-rut-xuong-vua-khoi-lam-xa-tac-chan-ga-tuoi-i2093312865.html</v>
      </c>
      <c r="C1847" s="10" t="s">
        <v>1847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8">
        <v>6702.0</v>
      </c>
      <c r="B1848" s="9" t="str">
        <f>HYPERLINK("https://www.lazada.vn/products/vang-bich-chile-la-roca-white-3-lit-i2017158299.html", "https://www.lazada.vn/products/vang-bich-chile-la-roca-white-3-lit-i2017158299.html")</f>
        <v>https://www.lazada.vn/products/vang-bich-chile-la-roca-white-3-lit-i2017158299.html</v>
      </c>
      <c r="C1848" s="10" t="s">
        <v>1848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8">
        <v>6703.0</v>
      </c>
      <c r="B1849" s="9" t="str">
        <f>HYPERLINK("https://www.lazada.vn/products/nuoc-ep-tao-vfresh-1-lit-nuoc-ep-nho-vfesh-1-lit-i2840030931.html", "https://www.lazada.vn/products/nuoc-ep-tao-vfresh-1-lit-nuoc-ep-nho-vfesh-1-lit-i2840030931.html")</f>
        <v>https://www.lazada.vn/products/nuoc-ep-tao-vfresh-1-lit-nuoc-ep-nho-vfesh-1-lit-i2840030931.html</v>
      </c>
      <c r="C1849" s="10" t="s">
        <v>1849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8">
        <v>6704.0</v>
      </c>
      <c r="B1850" s="9" t="str">
        <f>HYPERLINK("https://www.lazada.vn/products/combo-nuoc-ngot-co-ga-vi-luu-350ml-x-12-lon-nuoc-ngot-co-ga-vi-viet-quat-350ml-x-12-lon-i2614254723.html", "https://www.lazada.vn/products/combo-nuoc-ngot-co-ga-vi-luu-350ml-x-12-lon-nuoc-ngot-co-ga-vi-viet-quat-350ml-x-12-lon-i2614254723.html")</f>
        <v>https://www.lazada.vn/products/combo-nuoc-ngot-co-ga-vi-luu-350ml-x-12-lon-nuoc-ngot-co-ga-vi-viet-quat-350ml-x-12-lon-i2614254723.html</v>
      </c>
      <c r="C1850" s="10" t="s">
        <v>1850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8">
        <v>6705.0</v>
      </c>
      <c r="B1851" s="9" t="str">
        <f>HYPERLINK("https://www.lazada.vn/products/vang-trang-chile-pavo-13-750ml-sauvignon-blanc-i1725266878.html", "https://www.lazada.vn/products/vang-trang-chile-pavo-13-750ml-sauvignon-blanc-i1725266878.html")</f>
        <v>https://www.lazada.vn/products/vang-trang-chile-pavo-13-750ml-sauvignon-blanc-i1725266878.html</v>
      </c>
      <c r="C1851" s="10" t="s">
        <v>1851</v>
      </c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8">
        <v>6706.0</v>
      </c>
      <c r="B1852" s="9" t="str">
        <f>HYPERLINK("https://www.lazada.vn/products/bot-khuc-bach-dao-chua-tu-phan-tang-500g-lam-khuc-bach-topping-tra-sua-vi-dao-chua-2-tang-i2592764467.html", "https://www.lazada.vn/products/bot-khuc-bach-dao-chua-tu-phan-tang-500g-lam-khuc-bach-topping-tra-sua-vi-dao-chua-2-tang-i2592764467.html")</f>
        <v>https://www.lazada.vn/products/bot-khuc-bach-dao-chua-tu-phan-tang-500g-lam-khuc-bach-topping-tra-sua-vi-dao-chua-2-tang-i2592764467.html</v>
      </c>
      <c r="C1852" s="10" t="s">
        <v>1852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8">
        <v>6707.0</v>
      </c>
      <c r="B1853" s="9" t="str">
        <f>HYPERLINK("https://www.lazada.vn/products/combo-2-goi-banh-quy-dua-hau-va-banh-quy-trai-bo-i2929674643.html", "https://www.lazada.vn/products/combo-2-goi-banh-quy-dua-hau-va-banh-quy-trai-bo-i2929674643.html")</f>
        <v>https://www.lazada.vn/products/combo-2-goi-banh-quy-dua-hau-va-banh-quy-trai-bo-i2929674643.html</v>
      </c>
      <c r="C1853" s="10" t="s">
        <v>1853</v>
      </c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8">
        <v>6708.0</v>
      </c>
      <c r="B1854" s="9" t="str">
        <f>HYPERLINK("https://www.lazada.vn/products/ca-bong-song-da-hop-500-gr-tphcm-giao-i3052274621.html", "https://www.lazada.vn/products/ca-bong-song-da-hop-500-gr-tphcm-giao-i3052274621.html")</f>
        <v>https://www.lazada.vn/products/ca-bong-song-da-hop-500-gr-tphcm-giao-i3052274621.html</v>
      </c>
      <c r="C1854" s="10" t="s">
        <v>1854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8">
        <v>6709.0</v>
      </c>
      <c r="B1855" s="9" t="str">
        <f>HYPERLINK("https://www.lazada.vn/products/3-bia-sach-hinh-cho-pug-dua-hau-chua-duoc-200-to-bia-sach-tron-chong-nuoc-ben-va-da-nang-voi-kep-va-tui-pvc-20854086-i3012922903.html", "https://www.lazada.vn/products/3-bia-sach-hinh-cho-pug-dua-hau-chua-duoc-200-to-bia-sach-tron-chong-nuoc-ben-va-da-nang-voi-kep-va-tui-pvc-20854086-i3012922903.html")</f>
        <v>https://www.lazada.vn/products/3-bia-sach-hinh-cho-pug-dua-hau-chua-duoc-200-to-bia-sach-tron-chong-nuoc-ben-va-da-nang-voi-kep-va-tui-pvc-20854086-i3012922903.html</v>
      </c>
      <c r="C1855" s="10" t="s">
        <v>1855</v>
      </c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8">
        <v>6710.0</v>
      </c>
      <c r="B1856" s="9" t="str">
        <f>HYPERLINK("https://www.lazada.vn/products/5-lit-1-boom-5-lit-bia-trung-quoc-co-lao-gia-wojiabo-i2895484863.html", "https://www.lazada.vn/products/5-lit-1-boom-5-lit-bia-trung-quoc-co-lao-gia-wojiabo-i2895484863.html")</f>
        <v>https://www.lazada.vn/products/5-lit-1-boom-5-lit-bia-trung-quoc-co-lao-gia-wojiabo-i2895484863.html</v>
      </c>
      <c r="C1856" s="10" t="s">
        <v>1856</v>
      </c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8">
        <v>6711.0</v>
      </c>
      <c r="B1857" s="9" t="str">
        <f>HYPERLINK("https://www.lazada.vn/products/chao-dong-kho-an-lien-4-vi-cho-moi-nguoi-lua-chon-day-du-dinh-duong-phu-hop-voi-moi-lua-tuoi-i2916811397.html", "https://www.lazada.vn/products/chao-dong-kho-an-lien-4-vi-cho-moi-nguoi-lua-chon-day-du-dinh-duong-phu-hop-voi-moi-lua-tuoi-i2916811397.html")</f>
        <v>https://www.lazada.vn/products/chao-dong-kho-an-lien-4-vi-cho-moi-nguoi-lua-chon-day-du-dinh-duong-phu-hop-voi-moi-lua-tuoi-i2916811397.html</v>
      </c>
      <c r="C1857" s="10" t="s">
        <v>1857</v>
      </c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8">
        <v>6712.0</v>
      </c>
      <c r="B1858" s="9" t="str">
        <f>HYPERLINK("https://www.lazada.vn/products/vang-chateau-classic-da-lat-12-750ml-i2744228805.html", "https://www.lazada.vn/products/vang-chateau-classic-da-lat-12-750ml-i2744228805.html")</f>
        <v>https://www.lazada.vn/products/vang-chateau-classic-da-lat-12-750ml-i2744228805.html</v>
      </c>
      <c r="C1858" s="10" t="s">
        <v>1858</v>
      </c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8">
        <v>6713.0</v>
      </c>
      <c r="B1859" s="9" t="str">
        <f>HYPERLINK("https://www.lazada.vn/products/tran-chau-minh-hanh-den-trang-1kg-goi-nguyen-lieu-pha-che-lam-tra-sua-i2669075066.html", "https://www.lazada.vn/products/tran-chau-minh-hanh-den-trang-1kg-goi-nguyen-lieu-pha-che-lam-tra-sua-i2669075066.html")</f>
        <v>https://www.lazada.vn/products/tran-chau-minh-hanh-den-trang-1kg-goi-nguyen-lieu-pha-che-lam-tra-sua-i2669075066.html</v>
      </c>
      <c r="C1859" s="10" t="s">
        <v>1859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8">
        <v>6714.0</v>
      </c>
      <c r="B1860" s="9" t="str">
        <f>HYPERLINK("https://www.lazada.vn/products/bot-cacao-dang-luave-bich-500g-i2428512453.html", "https://www.lazada.vn/products/bot-cacao-dang-luave-bich-500g-i2428512453.html")</f>
        <v>https://www.lazada.vn/products/bot-cacao-dang-luave-bich-500g-i2428512453.html</v>
      </c>
      <c r="C1860" s="10" t="s">
        <v>1860</v>
      </c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8">
        <v>6715.0</v>
      </c>
      <c r="B1861" s="9" t="str">
        <f>HYPERLINK("https://www.lazada.vn/products/hop-ca-phe-rang-xay-sang-tao-8-trung-nguyen-legend-hop-250gr-i2773030503.html", "https://www.lazada.vn/products/hop-ca-phe-rang-xay-sang-tao-8-trung-nguyen-legend-hop-250gr-i2773030503.html")</f>
        <v>https://www.lazada.vn/products/hop-ca-phe-rang-xay-sang-tao-8-trung-nguyen-legend-hop-250gr-i2773030503.html</v>
      </c>
      <c r="C1861" s="10" t="s">
        <v>1861</v>
      </c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8">
        <v>6716.0</v>
      </c>
      <c r="B1862" s="9" t="str">
        <f>HYPERLINK("https://www.lazada.vn/products/ong-keo-co-mo-hinh-doreamon-keo-socola-sua-popit-15g-do-an-vat-i2952492925.html", "https://www.lazada.vn/products/ong-keo-co-mo-hinh-doreamon-keo-socola-sua-popit-15g-do-an-vat-i2952492925.html")</f>
        <v>https://www.lazada.vn/products/ong-keo-co-mo-hinh-doreamon-keo-socola-sua-popit-15g-do-an-vat-i2952492925.html</v>
      </c>
      <c r="C1862" s="10" t="s">
        <v>1862</v>
      </c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8">
        <v>6717.0</v>
      </c>
      <c r="B1863" s="9" t="str">
        <f>HYPERLINK("https://www.lazada.vn/products/giai-nhiet-100g-bot-man-chuabot-pha-nuoc-man-chua-ngotbot-man-den-bot-o-mai-pha-tra-chanh-thom-ngon-sieu-nghien-i2741877312.html", "https://www.lazada.vn/products/giai-nhiet-100g-bot-man-chuabot-pha-nuoc-man-chua-ngotbot-man-den-bot-o-mai-pha-tra-chanh-thom-ngon-sieu-nghien-i2741877312.html")</f>
        <v>https://www.lazada.vn/products/giai-nhiet-100g-bot-man-chuabot-pha-nuoc-man-chua-ngotbot-man-den-bot-o-mai-pha-tra-chanh-thom-ngon-sieu-nghien-i2741877312.html</v>
      </c>
      <c r="C1863" s="10" t="s">
        <v>1863</v>
      </c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8">
        <v>6718.0</v>
      </c>
      <c r="B1864" s="9" t="str">
        <f>HYPERLINK("https://www.lazada.vn/products/goi-banh-trang-tron-tay-ninh-an-lien-nhieu-vi-thom-ngon-hap-dan-do-an-vat-cong-truong-hot-nhat-i2679739278.html", "https://www.lazada.vn/products/goi-banh-trang-tron-tay-ninh-an-lien-nhieu-vi-thom-ngon-hap-dan-do-an-vat-cong-truong-hot-nhat-i2679739278.html")</f>
        <v>https://www.lazada.vn/products/goi-banh-trang-tron-tay-ninh-an-lien-nhieu-vi-thom-ngon-hap-dan-do-an-vat-cong-truong-hot-nhat-i2679739278.html</v>
      </c>
      <c r="C1864" s="10" t="s">
        <v>1864</v>
      </c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8">
        <v>6719.0</v>
      </c>
      <c r="B1865" s="9" t="str">
        <f>HYPERLINK("https://www.lazada.vn/products/strawberry-dried-freeze-granules-snack-baking-milk-tea-shop-commercially-used-crispy-fragments-decorative-ingredient-i2923882187.html", "https://www.lazada.vn/products/strawberry-dried-freeze-granules-snack-baking-milk-tea-shop-commercially-used-crispy-fragments-decorative-ingredient-i2923882187.html")</f>
        <v>https://www.lazada.vn/products/strawberry-dried-freeze-granules-snack-baking-milk-tea-shop-commercially-used-crispy-fragments-decorative-ingredient-i2923882187.html</v>
      </c>
      <c r="C1865" s="10" t="s">
        <v>1865</v>
      </c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8">
        <v>6720.0</v>
      </c>
      <c r="B1866" s="9" t="str">
        <f>HYPERLINK("https://www.lazada.vn/products/bot-milo-day-10-goi-x-22g-bich-1kg-i2426465278.html", "https://www.lazada.vn/products/bot-milo-day-10-goi-x-22g-bich-1kg-i2426465278.html")</f>
        <v>https://www.lazada.vn/products/bot-milo-day-10-goi-x-22g-bich-1kg-i2426465278.html</v>
      </c>
      <c r="C1866" s="10" t="s">
        <v>1866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8">
        <v>6721.0</v>
      </c>
      <c r="B1867" s="9" t="str">
        <f>HYPERLINK("https://www.lazada.vn/products/banh-lot-da-trung-cuon-kem-pho-mai-cha-bong-banh-mi-da-trung-cuon-sieu-hot-hang-i2781688655.html", "https://www.lazada.vn/products/banh-lot-da-trung-cuon-kem-pho-mai-cha-bong-banh-mi-da-trung-cuon-sieu-hot-hang-i2781688655.html")</f>
        <v>https://www.lazada.vn/products/banh-lot-da-trung-cuon-kem-pho-mai-cha-bong-banh-mi-da-trung-cuon-sieu-hot-hang-i2781688655.html</v>
      </c>
      <c r="C1867" s="10" t="s">
        <v>1867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8">
        <v>6722.0</v>
      </c>
      <c r="B1868" s="9" t="str">
        <f>HYPERLINK("https://www.lazada.vn/products/keo-chuoi-me-vung-thom-ngot-tu-chuoi-nha-que-lam-thu-cong-i2842914889.html", "https://www.lazada.vn/products/keo-chuoi-me-vung-thom-ngot-tu-chuoi-nha-que-lam-thu-cong-i2842914889.html")</f>
        <v>https://www.lazada.vn/products/keo-chuoi-me-vung-thom-ngot-tu-chuoi-nha-que-lam-thu-cong-i2842914889.html</v>
      </c>
      <c r="C1868" s="10" t="s">
        <v>1868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8">
        <v>6723.0</v>
      </c>
      <c r="B1869" s="9" t="str">
        <f>HYPERLINK("https://www.lazada.vn/products/hcm-banh-tuyet-dai-phuc-vi-tra-xanh-10-cai-binh-vinh-tabio-i1021126460.html", "https://www.lazada.vn/products/hcm-banh-tuyet-dai-phuc-vi-tra-xanh-10-cai-binh-vinh-tabio-i1021126460.html")</f>
        <v>https://www.lazada.vn/products/hcm-banh-tuyet-dai-phuc-vi-tra-xanh-10-cai-binh-vinh-tabio-i1021126460.html</v>
      </c>
      <c r="C1869" s="10" t="s">
        <v>1869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8">
        <v>6724.0</v>
      </c>
      <c r="B1870" s="9" t="str">
        <f>HYPERLINK("https://www.lazada.vn/products/new-snack-que-nhan-oishi-akiko-goi-160g-vi-pho-mai-sua-dua-cafe-moka-i2857553927.html", "https://www.lazada.vn/products/new-snack-que-nhan-oishi-akiko-goi-160g-vi-pho-mai-sua-dua-cafe-moka-i2857553927.html")</f>
        <v>https://www.lazada.vn/products/new-snack-que-nhan-oishi-akiko-goi-160g-vi-pho-mai-sua-dua-cafe-moka-i2857553927.html</v>
      </c>
      <c r="C1870" s="10" t="s">
        <v>1870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8">
        <v>6725.0</v>
      </c>
      <c r="B1871" s="9" t="str">
        <f>HYPERLINK("https://www.lazada.vn/products/1-thung-quantum-hydrogen-nuoc-uong-ion-kiem-giup-can-bang-axit-chong-oxi-hoa-dao-thai-doc-to-ruou-bia-i2643714680.html", "https://www.lazada.vn/products/1-thung-quantum-hydrogen-nuoc-uong-ion-kiem-giup-can-bang-axit-chong-oxi-hoa-dao-thai-doc-to-ruou-bia-i2643714680.html")</f>
        <v>https://www.lazada.vn/products/1-thung-quantum-hydrogen-nuoc-uong-ion-kiem-giup-can-bang-axit-chong-oxi-hoa-dao-thai-doc-to-ruou-bia-i2643714680.html</v>
      </c>
      <c r="C1871" s="10" t="s">
        <v>1871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8">
        <v>6726.0</v>
      </c>
      <c r="B1872" s="9" t="str">
        <f>HYPERLINK("https://www.lazada.vn/products/tui-500g-luong-kho-sbt-energy-dice-8-vi-an-sang-an-vat-bua-phu-an-kieng-i2192734968.html", "https://www.lazada.vn/products/tui-500g-luong-kho-sbt-energy-dice-8-vi-an-sang-an-vat-bua-phu-an-kieng-i2192734968.html")</f>
        <v>https://www.lazada.vn/products/tui-500g-luong-kho-sbt-energy-dice-8-vi-an-sang-an-vat-bua-phu-an-kieng-i2192734968.html</v>
      </c>
      <c r="C1872" s="10" t="s">
        <v>1872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8">
        <v>6727.0</v>
      </c>
      <c r="B1873" s="9" t="str">
        <f>HYPERLINK("https://www.lazada.vn/products/loai1-888tru-co-888-50g-i2746469632.html", "https://www.lazada.vn/products/loai1-888tru-co-888-50g-i2746469632.html")</f>
        <v>https://www.lazada.vn/products/loai1-888tru-co-888-50g-i2746469632.html</v>
      </c>
      <c r="C1873" s="10" t="s">
        <v>1873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8">
        <v>6728.0</v>
      </c>
      <c r="B1874" s="9" t="str">
        <f>HYPERLINK("https://www.lazada.vn/products/compo-510-qua-trung-bac-thao-i2093260969.html", "https://www.lazada.vn/products/compo-510-qua-trung-bac-thao-i2093260969.html")</f>
        <v>https://www.lazada.vn/products/compo-510-qua-trung-bac-thao-i2093260969.html</v>
      </c>
      <c r="C1874" s="10" t="s">
        <v>1874</v>
      </c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8">
        <v>6729.0</v>
      </c>
      <c r="B1875" s="9" t="str">
        <f>HYPERLINK("https://www.lazada.vn/products/80g017lb-khoai-tay-chien-soi-cho-nha-san-xuat-bia-whisky-brandy-huong-vi-but-mau-go-i3040176898.html", "https://www.lazada.vn/products/80g017lb-khoai-tay-chien-soi-cho-nha-san-xuat-bia-whisky-brandy-huong-vi-but-mau-go-i3040176898.html")</f>
        <v>https://www.lazada.vn/products/80g017lb-khoai-tay-chien-soi-cho-nha-san-xuat-bia-whisky-brandy-huong-vi-but-mau-go-i3040176898.html</v>
      </c>
      <c r="C1875" s="10" t="s">
        <v>1875</v>
      </c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8">
        <v>6730.0</v>
      </c>
      <c r="B1876" s="9" t="str">
        <f>HYPERLINK("https://www.lazada.vn/products/nuoc-trai-cay-soju-damso-han-quoc-soju-360ml-i2838892069.html", "https://www.lazada.vn/products/nuoc-trai-cay-soju-damso-han-quoc-soju-360ml-i2838892069.html")</f>
        <v>https://www.lazada.vn/products/nuoc-trai-cay-soju-damso-han-quoc-soju-360ml-i2838892069.html</v>
      </c>
      <c r="C1876" s="10" t="s">
        <v>1876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8">
        <v>6731.0</v>
      </c>
      <c r="B1877" s="9" t="str">
        <f>HYPERLINK("https://www.lazada.vn/products/top-ruou-vn-ruou-vang-trang-dalatbeco-export-750ml-chinh-hang-i2748006382.html", "https://www.lazada.vn/products/top-ruou-vn-ruou-vang-trang-dalatbeco-export-750ml-chinh-hang-i2748006382.html")</f>
        <v>https://www.lazada.vn/products/top-ruou-vn-ruou-vang-trang-dalatbeco-export-750ml-chinh-hang-i2748006382.html</v>
      </c>
      <c r="C1877" s="10" t="s">
        <v>1877</v>
      </c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8">
        <v>6732.0</v>
      </c>
      <c r="B1878" s="9" t="str">
        <f>HYPERLINK("https://www.lazada.vn/products/bot-khuc-bach-vai-200g-lam-khuc-bach-topping-tra-sua-vi-vai-i2592573180.html", "https://www.lazada.vn/products/bot-khuc-bach-vai-200g-lam-khuc-bach-topping-tra-sua-vi-vai-i2592573180.html")</f>
        <v>https://www.lazada.vn/products/bot-khuc-bach-vai-200g-lam-khuc-bach-topping-tra-sua-vi-vai-i2592573180.html</v>
      </c>
      <c r="C1878" s="10" t="s">
        <v>1878</v>
      </c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8">
        <v>6733.0</v>
      </c>
      <c r="B1879" s="9" t="str">
        <f>HYPERLINK("https://www.lazada.vn/products/combo-nuoc-ngot-co-ga-vi-buoi-350ml-x-12-lon-nuoc-ngot-co-ga-vi-le-vang-350ml-x-12-lon-i2614232851.html", "https://www.lazada.vn/products/combo-nuoc-ngot-co-ga-vi-buoi-350ml-x-12-lon-nuoc-ngot-co-ga-vi-le-vang-350ml-x-12-lon-i2614232851.html")</f>
        <v>https://www.lazada.vn/products/combo-nuoc-ngot-co-ga-vi-buoi-350ml-x-12-lon-nuoc-ngot-co-ga-vi-le-vang-350ml-x-12-lon-i2614232851.html</v>
      </c>
      <c r="C1879" s="10" t="s">
        <v>1879</v>
      </c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8">
        <v>6734.0</v>
      </c>
      <c r="B1880" s="9" t="str">
        <f>HYPERLINK("https://www.lazada.vn/products/banh-quy-bo-cacao-sua-banh-danisa-abbra-hop-giay-huong-vi-dan-mach-hao-hang-cao-cap-168g-green-pharma-i2929438589.html", "https://www.lazada.vn/products/banh-quy-bo-cacao-sua-banh-danisa-abbra-hop-giay-huong-vi-dan-mach-hao-hang-cao-cap-168g-green-pharma-i2929438589.html")</f>
        <v>https://www.lazada.vn/products/banh-quy-bo-cacao-sua-banh-danisa-abbra-hop-giay-huong-vi-dan-mach-hao-hang-cao-cap-168g-green-pharma-i2929438589.html</v>
      </c>
      <c r="C1880" s="10" t="s">
        <v>1880</v>
      </c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8">
        <v>6735.0</v>
      </c>
      <c r="B1881" s="9" t="str">
        <f>HYPERLINK("https://www.lazada.vn/products/thung-24-chai-nuoc-tang-luc-sting-dau-330mlchai-i2639391581.html", "https://www.lazada.vn/products/thung-24-chai-nuoc-tang-luc-sting-dau-330mlchai-i2639391581.html")</f>
        <v>https://www.lazada.vn/products/thung-24-chai-nuoc-tang-luc-sting-dau-330mlchai-i2639391581.html</v>
      </c>
      <c r="C1881" s="10" t="s">
        <v>1881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8">
        <v>6736.0</v>
      </c>
      <c r="B1882" s="9" t="str">
        <f>HYPERLINK("https://www.lazada.vn/products/ca-bong-song-da-hop-loai-500-gram-giao-hoa-toc-tphcm-2h-i3052263380.html", "https://www.lazada.vn/products/ca-bong-song-da-hop-loai-500-gram-giao-hoa-toc-tphcm-2h-i3052263380.html")</f>
        <v>https://www.lazada.vn/products/ca-bong-song-da-hop-loai-500-gram-giao-hoa-toc-tphcm-2h-i3052263380.html</v>
      </c>
      <c r="C1882" s="10" t="s">
        <v>1882</v>
      </c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8">
        <v>6737.0</v>
      </c>
      <c r="B1883" s="9" t="str">
        <f>HYPERLINK("https://www.lazada.vn/products/witkitty-1-thung-bia-corny-khoa-khilong-ngat-ket-noi-cho-bia-nha-kieu-cornelius-i3012696220.html", "https://www.lazada.vn/products/witkitty-1-thung-bia-corny-khoa-khilong-ngat-ket-noi-cho-bia-nha-kieu-cornelius-i3012696220.html")</f>
        <v>https://www.lazada.vn/products/witkitty-1-thung-bia-corny-khoa-khilong-ngat-ket-noi-cho-bia-nha-kieu-cornelius-i3012696220.html</v>
      </c>
      <c r="C1883" s="10" t="s">
        <v>1883</v>
      </c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8">
        <v>6738.0</v>
      </c>
      <c r="B1884" s="9" t="str">
        <f>HYPERLINK("https://www.lazada.vn/products/nguyen-lieu-nau-bia-beerkit-ipa-i2807316225.html", "https://www.lazada.vn/products/nguyen-lieu-nau-bia-beerkit-ipa-i2807316225.html")</f>
        <v>https://www.lazada.vn/products/nguyen-lieu-nau-bia-beerkit-ipa-i2807316225.html</v>
      </c>
      <c r="C1884" s="10" t="s">
        <v>1884</v>
      </c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8">
        <v>6739.0</v>
      </c>
      <c r="B1885" s="9" t="str">
        <f>HYPERLINK("https://www.lazada.vn/products/set-5-goi-acecook-mien-tron-phu-huong-ga-xao-chua-ngot-soi-det-mien-tron-ga-xao-chua-ngot-phu-huong-soi-det-69ggoi-i2915051941.html", "https://www.lazada.vn/products/set-5-goi-acecook-mien-tron-phu-huong-ga-xao-chua-ngot-soi-det-mien-tron-ga-xao-chua-ngot-phu-huong-soi-det-69ggoi-i2915051941.html")</f>
        <v>https://www.lazada.vn/products/set-5-goi-acecook-mien-tron-phu-huong-ga-xao-chua-ngot-soi-det-mien-tron-ga-xao-chua-ngot-phu-huong-soi-det-69ggoi-i2915051941.html</v>
      </c>
      <c r="C1885" s="10" t="s">
        <v>1885</v>
      </c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8">
        <v>6740.0</v>
      </c>
      <c r="B1886" s="9" t="str">
        <f>HYPERLINK("https://www.lazada.vn/products/vang-do-uc-jacobs-creek-shiraz-cabernet-14-750ml-i2743887060.html", "https://www.lazada.vn/products/vang-do-uc-jacobs-creek-shiraz-cabernet-14-750ml-i2743887060.html")</f>
        <v>https://www.lazada.vn/products/vang-do-uc-jacobs-creek-shiraz-cabernet-14-750ml-i2743887060.html</v>
      </c>
      <c r="C1886" s="10" t="s">
        <v>1886</v>
      </c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8">
        <v>6741.0</v>
      </c>
      <c r="B1887" s="9" t="str">
        <f>HYPERLINK("https://www.lazada.vn/products/siro-syrup-bi-dao-wonderful-can-25-lit-lam-tra-sua-cot-bi-dao-hat-chia-bot-thach-suong-sao-den-i2669002345.html", "https://www.lazada.vn/products/siro-syrup-bi-dao-wonderful-can-25-lit-lam-tra-sua-cot-bi-dao-hat-chia-bot-thach-suong-sao-den-i2669002345.html")</f>
        <v>https://www.lazada.vn/products/siro-syrup-bi-dao-wonderful-can-25-lit-lam-tra-sua-cot-bi-dao-hat-chia-bot-thach-suong-sao-den-i2669002345.html</v>
      </c>
      <c r="C1887" s="10" t="s">
        <v>1887</v>
      </c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8">
        <v>6742.0</v>
      </c>
      <c r="B1888" s="9" t="str">
        <f>HYPERLINK("https://www.lazada.vn/products/ca-phe-den-nescafe-red-cup-30g-15-goi-x2gr-17488-i2771611258.html", "https://www.lazada.vn/products/ca-phe-den-nescafe-red-cup-30g-15-goi-x2gr-17488-i2771611258.html")</f>
        <v>https://www.lazada.vn/products/ca-phe-den-nescafe-red-cup-30g-15-goi-x2gr-17488-i2771611258.html</v>
      </c>
      <c r="C1888" s="10" t="s">
        <v>1888</v>
      </c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8">
        <v>6743.0</v>
      </c>
      <c r="B1889" s="9" t="str">
        <f>HYPERLINK("https://www.lazada.vn/products/siro-lam-sua-chua-tui-mut-trai-cay-sinh-to-nhieu-vi-pha-che-i2668981434.html", "https://www.lazada.vn/products/siro-lam-sua-chua-tui-mut-trai-cay-sinh-to-nhieu-vi-pha-che-i2668981434.html")</f>
        <v>https://www.lazada.vn/products/siro-lam-sua-chua-tui-mut-trai-cay-sinh-to-nhieu-vi-pha-che-i2668981434.html</v>
      </c>
      <c r="C1889" s="10" t="s">
        <v>1889</v>
      </c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8">
        <v>6744.0</v>
      </c>
      <c r="B1890" s="9" t="str">
        <f>HYPERLINK("https://www.lazada.vn/products/combo-12-cai-keo-trung-socola-sua-popit-240-pokemon-pham-nguyen-do-an-vat-i2952487585.html", "https://www.lazada.vn/products/combo-12-cai-keo-trung-socola-sua-popit-240-pokemon-pham-nguyen-do-an-vat-i2952487585.html")</f>
        <v>https://www.lazada.vn/products/combo-12-cai-keo-trung-socola-sua-popit-240-pokemon-pham-nguyen-do-an-vat-i2952487585.html</v>
      </c>
      <c r="C1890" s="10" t="s">
        <v>1890</v>
      </c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8">
        <v>6745.0</v>
      </c>
      <c r="B1891" s="9" t="str">
        <f>HYPERLINK("https://www.lazada.vn/products/bot-ngu-coc-tran-quang-dinh-duong-day-to-day-bich-600g-x-20-goi-x-30g-kope-i2741086492.html", "https://www.lazada.vn/products/bot-ngu-coc-tran-quang-dinh-duong-day-to-day-bich-600g-x-20-goi-x-30g-kope-i2741086492.html")</f>
        <v>https://www.lazada.vn/products/bot-ngu-coc-tran-quang-dinh-duong-day-to-day-bich-600g-x-20-goi-x-30g-kope-i2741086492.html</v>
      </c>
      <c r="C1891" s="10" t="s">
        <v>1891</v>
      </c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8">
        <v>6746.0</v>
      </c>
      <c r="B1892" s="9" t="str">
        <f>HYPERLINK("https://www.lazada.vn/products/banh-po-quay-hop-320g-ngoc-quynh-phat-vi-cay-thom-ngon-do-an-vat-tuoi-tho-do-an-vat-cong-truong-hot-nhat-i2675058973.html", "https://www.lazada.vn/products/banh-po-quay-hop-320g-ngoc-quynh-phat-vi-cay-thom-ngon-do-an-vat-tuoi-tho-do-an-vat-cong-truong-hot-nhat-i2675058973.html")</f>
        <v>https://www.lazada.vn/products/banh-po-quay-hop-320g-ngoc-quynh-phat-vi-cay-thom-ngon-do-an-vat-tuoi-tho-do-an-vat-cong-truong-hot-nhat-i2675058973.html</v>
      </c>
      <c r="C1892" s="10" t="s">
        <v>1892</v>
      </c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8">
        <v>6747.0</v>
      </c>
      <c r="B1893" s="9" t="str">
        <f>HYPERLINK("https://www.lazada.vn/products/sunshine-fresh-language-dried-peach-snack-instant-out-of-bag-dehydrated-fruit-no-added-sugar-organic-food-bag-packaging-i2923882042.html", "https://www.lazada.vn/products/sunshine-fresh-language-dried-peach-snack-instant-out-of-bag-dehydrated-fruit-no-added-sugar-organic-food-bag-packaging-i2923882042.html")</f>
        <v>https://www.lazada.vn/products/sunshine-fresh-language-dried-peach-snack-instant-out-of-bag-dehydrated-fruit-no-added-sugar-organic-food-bag-packaging-i2923882042.html</v>
      </c>
      <c r="C1893" s="10" t="s">
        <v>1893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8">
        <v>6748.0</v>
      </c>
      <c r="B1894" s="9" t="str">
        <f>HYPERLINK("https://www.lazada.vn/products/cacao-do-giam-can-giam-cam-giac-them-an-ngan-ngua-hap-thu-chat-beo-tang-cuong-tuan-hoan-beauty-at-home-i2425047403.html", "https://www.lazada.vn/products/cacao-do-giam-can-giam-cam-giac-them-an-ngan-ngua-hap-thu-chat-beo-tang-cuong-tuan-hoan-beauty-at-home-i2425047403.html")</f>
        <v>https://www.lazada.vn/products/cacao-do-giam-can-giam-cam-giac-them-an-ngan-ngua-hap-thu-chat-beo-tang-cuong-tuan-hoan-beauty-at-home-i2425047403.html</v>
      </c>
      <c r="C1894" s="10" t="s">
        <v>1894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8">
        <v>6749.0</v>
      </c>
      <c r="B1895" s="9" t="str">
        <f>HYPERLINK("https://www.lazada.vn/products/1-thung-1kg-banh-trung-cuon-kem-tuoi-cha-bong-hang-du-muc-sieu-ngon-date-moi-nsx-in-tren-banh-hsd-90-ngay-i2774183455.html", "https://www.lazada.vn/products/1-thung-1kg-banh-trung-cuon-kem-tuoi-cha-bong-hang-du-muc-sieu-ngon-date-moi-nsx-in-tren-banh-hsd-90-ngay-i2774183455.html")</f>
        <v>https://www.lazada.vn/products/1-thung-1kg-banh-trung-cuon-kem-tuoi-cha-bong-hang-du-muc-sieu-ngon-date-moi-nsx-in-tren-banh-hsd-90-ngay-i2774183455.html</v>
      </c>
      <c r="C1895" s="10" t="s">
        <v>1895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8">
        <v>6750.0</v>
      </c>
      <c r="B1896" s="9" t="str">
        <f>HYPERLINK("https://www.lazada.vn/products/1kg-keo-tao-do-kep-sua-lac-da-va-nhan-hat-dieu-de-an-thom-ngon-hang-loai-1-sieu-ngon-i2842297882.html", "https://www.lazada.vn/products/1kg-keo-tao-do-kep-sua-lac-da-va-nhan-hat-dieu-de-an-thom-ngon-hang-loai-1-sieu-ngon-i2842297882.html")</f>
        <v>https://www.lazada.vn/products/1kg-keo-tao-do-kep-sua-lac-da-va-nhan-hat-dieu-de-an-thom-ngon-hang-loai-1-sieu-ngon-i2842297882.html</v>
      </c>
      <c r="C1896" s="10" t="s">
        <v>1896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8">
        <v>6751.0</v>
      </c>
      <c r="B1897" s="9" t="str">
        <f>HYPERLINK("https://www.lazada.vn/products/hcm-banh-tuyet-thien-su-vi-dau-10-cai-binh-vinh-tabio-i1021116723.html", "https://www.lazada.vn/products/hcm-banh-tuyet-thien-su-vi-dau-10-cai-binh-vinh-tabio-i1021116723.html")</f>
        <v>https://www.lazada.vn/products/hcm-banh-tuyet-thien-su-vi-dau-10-cai-binh-vinh-tabio-i1021116723.html</v>
      </c>
      <c r="C1897" s="10" t="s">
        <v>1897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8">
        <v>6752.0</v>
      </c>
      <c r="B1898" s="9" t="str">
        <f>HYPERLINK("https://www.lazada.vn/products/cay-snack-plus-phien-ban-cuc-lon-sieu-pho-bien-khong-lo-cay-dai-sieu-cay-banh-say-kho-an-nhe-tu-tui-changsha-720g-i2844831085.html", "https://www.lazada.vn/products/cay-snack-plus-phien-ban-cuc-lon-sieu-pho-bien-khong-lo-cay-dai-sieu-cay-banh-say-kho-an-nhe-tu-tui-changsha-720g-i2844831085.html")</f>
        <v>https://www.lazada.vn/products/cay-snack-plus-phien-ban-cuc-lon-sieu-pho-bien-khong-lo-cay-dai-sieu-cay-banh-say-kho-an-nhe-tu-tui-changsha-720g-i2844831085.html</v>
      </c>
      <c r="C1898" s="10" t="s">
        <v>1898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8">
        <v>6753.0</v>
      </c>
      <c r="B1899" s="9" t="str">
        <f>HYPERLINK("https://www.lazada.vn/products/banh-tipo-trung-115g-i2177043015.html", "https://www.lazada.vn/products/banh-tipo-trung-115g-i2177043015.html")</f>
        <v>https://www.lazada.vn/products/banh-tipo-trung-115g-i2177043015.html</v>
      </c>
      <c r="C1899" s="10" t="s">
        <v>1899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8">
        <v>6754.0</v>
      </c>
      <c r="B1900" s="9" t="str">
        <f>HYPERLINK("https://www.lazada.vn/products/laoganma-an-chay-chao-beo-dau-ngu-lo-260g-i2091552270.html", "https://www.lazada.vn/products/laoganma-an-chay-chao-beo-dau-ngu-lo-260g-i2091552270.html")</f>
        <v>https://www.lazada.vn/products/laoganma-an-chay-chao-beo-dau-ngu-lo-260g-i2091552270.html</v>
      </c>
      <c r="C1900" s="10" t="s">
        <v>1900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8">
        <v>6755.0</v>
      </c>
      <c r="B1901" s="9" t="str">
        <f>HYPERLINK("https://www.lazada.vn/products/top-ruou-vn-ruou-vang-trang-dalatbeco-white-wine-750ml-chinh-hang-i2747927405.html", "https://www.lazada.vn/products/top-ruou-vn-ruou-vang-trang-dalatbeco-white-wine-750ml-chinh-hang-i2747927405.html")</f>
        <v>https://www.lazada.vn/products/top-ruou-vn-ruou-vang-trang-dalatbeco-white-wine-750ml-chinh-hang-i2747927405.html</v>
      </c>
      <c r="C1901" s="10" t="s">
        <v>1901</v>
      </c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8">
        <v>6756.0</v>
      </c>
      <c r="B1902" s="9" t="str">
        <f>HYPERLINK("https://www.lazada.vn/products/hang-co-san-nuoc-ep-gung-ginger-shot-giam-mun-sang-da-i2838853475.html", "https://www.lazada.vn/products/hang-co-san-nuoc-ep-gung-ginger-shot-giam-mun-sang-da-i2838853475.html")</f>
        <v>https://www.lazada.vn/products/hang-co-san-nuoc-ep-gung-ginger-shot-giam-mun-sang-da-i2838853475.html</v>
      </c>
      <c r="C1902" s="10" t="s">
        <v>1902</v>
      </c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8">
        <v>6757.0</v>
      </c>
      <c r="B1903" s="9" t="str">
        <f>HYPERLINK("https://www.lazada.vn/products/nuoc-cot-me-thanh-binh-hu-250g-i2838679109.html", "https://www.lazada.vn/products/nuoc-cot-me-thanh-binh-hu-250g-i2838679109.html")</f>
        <v>https://www.lazada.vn/products/nuoc-cot-me-thanh-binh-hu-250g-i2838679109.html</v>
      </c>
      <c r="C1903" s="10" t="s">
        <v>1903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8">
        <v>6758.0</v>
      </c>
      <c r="B1904" s="9" t="str">
        <f>HYPERLINK("https://www.lazada.vn/products/bot-khuc-bach-vai-500g-lam-khuc-bach-topping-tra-sua-vi-vai-i2592500501.html", "https://www.lazada.vn/products/bot-khuc-bach-vai-500g-lam-khuc-bach-topping-tra-sua-vi-vai-i2592500501.html")</f>
        <v>https://www.lazada.vn/products/bot-khuc-bach-vai-500g-lam-khuc-bach-topping-tra-sua-vi-vai-i2592500501.html</v>
      </c>
      <c r="C1904" s="10" t="s">
        <v>1904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8">
        <v>6759.0</v>
      </c>
      <c r="B1905" s="9" t="str">
        <f>HYPERLINK("https://www.lazada.vn/products/thung-24-chai-nuoc-tang-luc-sting-vang-330mlchai-i2639373616.html", "https://www.lazada.vn/products/thung-24-chai-nuoc-tang-luc-sting-vang-330mlchai-i2639373616.html")</f>
        <v>https://www.lazada.vn/products/thung-24-chai-nuoc-tang-luc-sting-vang-330mlchai-i2639373616.html</v>
      </c>
      <c r="C1905" s="10" t="s">
        <v>1905</v>
      </c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8">
        <v>6760.0</v>
      </c>
      <c r="B1906" s="9" t="str">
        <f>HYPERLINK("https://www.lazada.vn/products/banh-quy-bo-cacao-sua-banh-danisa-abbra-hop-giay-huong-vi-dan-mach-hao-hang-cao-cap-168g-healthy-food-4u-i2929369869.html", "https://www.lazada.vn/products/banh-quy-bo-cacao-sua-banh-danisa-abbra-hop-giay-huong-vi-dan-mach-hao-hang-cao-cap-168g-healthy-food-4u-i2929369869.html")</f>
        <v>https://www.lazada.vn/products/banh-quy-bo-cacao-sua-banh-danisa-abbra-hop-giay-huong-vi-dan-mach-hao-hang-cao-cap-168g-healthy-food-4u-i2929369869.html</v>
      </c>
      <c r="C1906" s="10" t="s">
        <v>1906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8">
        <v>6761.0</v>
      </c>
      <c r="B1907" s="9" t="str">
        <f>HYPERLINK("https://www.lazada.vn/products/thit-thuan-chay-dang-bam-granulated-tu-dau-ha-lan-huu-co-dragon-an-chay-an-kieng-an-thuc-duong-bio-garden-i3052254917.html", "https://www.lazada.vn/products/thit-thuan-chay-dang-bam-granulated-tu-dau-ha-lan-huu-co-dragon-an-chay-an-kieng-an-thuc-duong-bio-garden-i3052254917.html")</f>
        <v>https://www.lazada.vn/products/thit-thuan-chay-dang-bam-granulated-tu-dau-ha-lan-huu-co-dragon-an-chay-an-kieng-an-thuc-duong-bio-garden-i3052254917.html</v>
      </c>
      <c r="C1907" s="10" t="s">
        <v>1907</v>
      </c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8">
        <v>6762.0</v>
      </c>
      <c r="B1908" s="9" t="str">
        <f>HYPERLINK("https://www.lazada.vn/products/nuoc-giai-khat-schweppes-tonic-320mllon-i2610590210.html", "https://www.lazada.vn/products/nuoc-giai-khat-schweppes-tonic-320mllon-i2610590210.html")</f>
        <v>https://www.lazada.vn/products/nuoc-giai-khat-schweppes-tonic-320mllon-i2610590210.html</v>
      </c>
      <c r="C1908" s="10" t="s">
        <v>1908</v>
      </c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8">
        <v>6763.0</v>
      </c>
      <c r="B1909" s="9" t="str">
        <f>HYPERLINK("https://www.lazada.vn/products/heartsbat-1-thung-bia-corny-khoa-khilong-ngat-ket-noi-cho-bia-nha-kieu-cornelius-i3012633425.html", "https://www.lazada.vn/products/heartsbat-1-thung-bia-corny-khoa-khilong-ngat-ket-noi-cho-bia-nha-kieu-cornelius-i3012633425.html")</f>
        <v>https://www.lazada.vn/products/heartsbat-1-thung-bia-corny-khoa-khilong-ngat-ket-noi-cho-bia-nha-kieu-cornelius-i3012633425.html</v>
      </c>
      <c r="C1909" s="10" t="s">
        <v>1909</v>
      </c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8">
        <v>6764.0</v>
      </c>
      <c r="B1910" s="9" t="str">
        <f>HYPERLINK("https://www.lazada.vn/products/nguyen-lieu-nau-bia-premium-beerkit-gold-india-pale-ale-i2807309172.html", "https://www.lazada.vn/products/nguyen-lieu-nau-bia-premium-beerkit-gold-india-pale-ale-i2807309172.html")</f>
        <v>https://www.lazada.vn/products/nguyen-lieu-nau-bia-premium-beerkit-gold-india-pale-ale-i2807309172.html</v>
      </c>
      <c r="C1910" s="10" t="s">
        <v>1910</v>
      </c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8">
        <v>6765.0</v>
      </c>
      <c r="B1911" s="9" t="str">
        <f>HYPERLINK("https://www.lazada.vn/products/mien-phu-huong-yen-tiec-210g-i2914461412.html", "https://www.lazada.vn/products/mien-phu-huong-yen-tiec-210g-i2914461412.html")</f>
        <v>https://www.lazada.vn/products/mien-phu-huong-yen-tiec-210g-i2914461412.html</v>
      </c>
      <c r="C1911" s="10" t="s">
        <v>1911</v>
      </c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8">
        <v>6766.0</v>
      </c>
      <c r="B1912" s="9" t="str">
        <f>HYPERLINK("https://www.lazada.vn/products/vang-da-lat-do-classic-12-750ml-i2743704378.html", "https://www.lazada.vn/products/vang-da-lat-do-classic-12-750ml-i2743704378.html")</f>
        <v>https://www.lazada.vn/products/vang-da-lat-do-classic-12-750ml-i2743704378.html</v>
      </c>
      <c r="C1912" s="10" t="s">
        <v>1912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8">
        <v>6767.0</v>
      </c>
      <c r="B1913" s="9" t="str">
        <f>HYPERLINK("https://www.lazada.vn/products/tran-chau-olong-huong-nhai-1kg-topioca-viet-tuan-nguyen-lieu-pha-che-do-uong-topping-tra-sua-gion-i2668969790.html", "https://www.lazada.vn/products/tran-chau-olong-huong-nhai-1kg-topioca-viet-tuan-nguyen-lieu-pha-che-do-uong-topping-tra-sua-gion-i2668969790.html")</f>
        <v>https://www.lazada.vn/products/tran-chau-olong-huong-nhai-1kg-topioca-viet-tuan-nguyen-lieu-pha-che-do-uong-topping-tra-sua-gion-i2668969790.html</v>
      </c>
      <c r="C1913" s="10" t="s">
        <v>1913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8">
        <v>6768.0</v>
      </c>
      <c r="B1914" s="9" t="str">
        <f>HYPERLINK("https://www.lazada.vn/products/ca-phe-pho-gold-sua-da-3-in-1-30-goi-x-29gr-44521-i2771494746.html", "https://www.lazada.vn/products/ca-phe-pho-gold-sua-da-3-in-1-30-goi-x-29gr-44521-i2771494746.html")</f>
        <v>https://www.lazada.vn/products/ca-phe-pho-gold-sua-da-3-in-1-30-goi-x-29gr-44521-i2771494746.html</v>
      </c>
      <c r="C1914" s="10" t="s">
        <v>1914</v>
      </c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8">
        <v>6769.0</v>
      </c>
      <c r="B1915" s="9" t="str">
        <f>HYPERLINK("https://www.lazada.vn/products/banh-keo-si-combo-144-ong-keo-socola-sua-popit-doreamon-15g-do-an-vat-i2952409722.html", "https://www.lazada.vn/products/banh-keo-si-combo-144-ong-keo-socola-sua-popit-doreamon-15g-do-an-vat-i2952409722.html")</f>
        <v>https://www.lazada.vn/products/banh-keo-si-combo-144-ong-keo-socola-sua-popit-doreamon-15g-do-an-vat-i2952409722.html</v>
      </c>
      <c r="C1915" s="10" t="s">
        <v>1915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8">
        <v>6770.0</v>
      </c>
      <c r="B1916" s="9" t="str">
        <f>HYPERLINK("https://www.lazada.vn/products/bot-ngu-coc-nana-kim-nhan-cung-cap-nang-luong-bo-sung-dinh-duong-hop-500gr-i2740917110.html", "https://www.lazada.vn/products/bot-ngu-coc-nana-kim-nhan-cung-cap-nang-luong-bo-sung-dinh-duong-hop-500gr-i2740917110.html")</f>
        <v>https://www.lazada.vn/products/bot-ngu-coc-nana-kim-nhan-cung-cap-nang-luong-bo-sung-dinh-duong-hop-500gr-i2740917110.html</v>
      </c>
      <c r="C1916" s="10" t="s">
        <v>1916</v>
      </c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8">
        <v>6771.0</v>
      </c>
      <c r="B1917" s="9" t="str">
        <f>HYPERLINK("https://www.lazada.vn/products/khay-12-ong-keo-socola-sua-popit-doreamon-ong-15g-do-an-vat-i2952370871.html", "https://www.lazada.vn/products/khay-12-ong-keo-socola-sua-popit-doreamon-ong-15g-do-an-vat-i2952370871.html")</f>
        <v>https://www.lazada.vn/products/khay-12-ong-keo-socola-sua-popit-doreamon-ong-15g-do-an-vat-i2952370871.html</v>
      </c>
      <c r="C1917" s="10" t="s">
        <v>1917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8">
        <v>6772.0</v>
      </c>
      <c r="B1918" s="9" t="str">
        <f>HYPERLINK("https://www.lazada.vn/products/pocari-goi-bot-pha-nuoc-uong-bu-khoang-hop-5-goi-dong-anh-pharmart-i2738857268.html", "https://www.lazada.vn/products/pocari-goi-bot-pha-nuoc-uong-bu-khoang-hop-5-goi-dong-anh-pharmart-i2738857268.html")</f>
        <v>https://www.lazada.vn/products/pocari-goi-bot-pha-nuoc-uong-bu-khoang-hop-5-goi-dong-anh-pharmart-i2738857268.html</v>
      </c>
      <c r="C1918" s="10" t="s">
        <v>1918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8">
        <v>6773.0</v>
      </c>
      <c r="B1919" s="9" t="str">
        <f>HYPERLINK("https://www.lazada.vn/products/oreo-thanh-120gr-banh-quy-kem-lanh-du-vi-vani-socola-dau-viet-quat-i2674694100.html", "https://www.lazada.vn/products/oreo-thanh-120gr-banh-quy-kem-lanh-du-vi-vani-socola-dau-viet-quat-i2674694100.html")</f>
        <v>https://www.lazada.vn/products/oreo-thanh-120gr-banh-quy-kem-lanh-du-vi-vani-socola-dau-viet-quat-i2674694100.html</v>
      </c>
      <c r="C1919" s="10" t="s">
        <v>1919</v>
      </c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8">
        <v>6774.0</v>
      </c>
      <c r="B1920" s="9" t="str">
        <f>HYPERLINK("https://www.lazada.vn/products/do-an-nhe-kho-dong-lanh-dried-strawberry-bits-dried-fruit-fragments-dried-coconut-shreds-mango-crisp-purple-sweet-potato-bits-baking-cake-milk-tea-shop-snowflake-snack-i2923878213.html", "https://www.lazada.vn/products/do-an-nhe-kho-dong-lanh-dried-strawberry-bits-dried-fruit-fragments-dried-coconut-shreds-mango-crisp-purple-sweet-potato-bits-baking-cake-milk-tea-shop-snowflake-snack-i2923878213.html")</f>
        <v>https://www.lazada.vn/products/do-an-nhe-kho-dong-lanh-dried-strawberry-bits-dried-fruit-fragments-dried-coconut-shreds-mango-crisp-purple-sweet-potato-bits-baking-cake-milk-tea-shop-snowflake-snack-i2923878213.html</v>
      </c>
      <c r="C1920" s="10" t="s">
        <v>1920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8">
        <v>6775.0</v>
      </c>
      <c r="B1921" s="9" t="str">
        <f>HYPERLINK("https://www.lazada.vn/products/hu-bot-cacao-daklak-500gram-dac-biet-thom-ngon-i2423670083.html", "https://www.lazada.vn/products/hu-bot-cacao-daklak-500gram-dac-biet-thom-ngon-i2423670083.html")</f>
        <v>https://www.lazada.vn/products/hu-bot-cacao-daklak-500gram-dac-biet-thom-ngon-i2423670083.html</v>
      </c>
      <c r="C1921" s="10" t="s">
        <v>1921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8">
        <v>6776.0</v>
      </c>
      <c r="B1922" s="9" t="str">
        <f>HYPERLINK("https://www.lazada.vn/products/banh-bong-gao-dai-loan-goi-300g-shop-japangood-i2771146795.html", "https://www.lazada.vn/products/banh-bong-gao-dai-loan-goi-300g-shop-japangood-i2771146795.html")</f>
        <v>https://www.lazada.vn/products/banh-bong-gao-dai-loan-goi-300g-shop-japangood-i2771146795.html</v>
      </c>
      <c r="C1922" s="10" t="s">
        <v>1922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8">
        <v>6777.0</v>
      </c>
      <c r="B1923" s="9" t="str">
        <f>HYPERLINK("https://www.lazada.vn/products/keo-deo-trai-cay-lot-boc-vo-3d-bobo-cokoc-goi-75g-i2841957740.html", "https://www.lazada.vn/products/keo-deo-trai-cay-lot-boc-vo-3d-bobo-cokoc-goi-75g-i2841957740.html")</f>
        <v>https://www.lazada.vn/products/keo-deo-trai-cay-lot-boc-vo-3d-bobo-cokoc-goi-75g-i2841957740.html</v>
      </c>
      <c r="C1923" s="10" t="s">
        <v>1923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8">
        <v>6778.0</v>
      </c>
      <c r="B1924" s="9" t="str">
        <f>HYPERLINK("https://www.lazada.vn/products/hcm-banh-tuyet-dai-phuc-vi-xoai-10-cai-binh-vinh-tabio-i1021104420.html", "https://www.lazada.vn/products/hcm-banh-tuyet-dai-phuc-vi-xoai-10-cai-binh-vinh-tabio-i1021104420.html")</f>
        <v>https://www.lazada.vn/products/hcm-banh-tuyet-dai-phuc-vi-xoai-10-cai-binh-vinh-tabio-i1021104420.html</v>
      </c>
      <c r="C1924" s="10" t="s">
        <v>1924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8">
        <v>6779.0</v>
      </c>
      <c r="B1925" s="9" t="str">
        <f>HYPERLINK("https://www.lazada.vn/products/banh-dau-xanh-rong-vang-hoang-gia-hop-300g-du-vi-i2162814285.html", "https://www.lazada.vn/products/banh-dau-xanh-rong-vang-hoang-gia-hop-300g-du-vi-i2162814285.html")</f>
        <v>https://www.lazada.vn/products/banh-dau-xanh-rong-vang-hoang-gia-hop-300g-du-vi-i2162814285.html</v>
      </c>
      <c r="C1925" s="10" t="s">
        <v>1925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8">
        <v>6780.0</v>
      </c>
      <c r="B1926" s="9" t="str">
        <f>HYPERLINK("https://www.lazada.vn/products/vien-ha-thu-o-mat-ong-rung-hop-500g-i2091249465.html", "https://www.lazada.vn/products/vien-ha-thu-o-mat-ong-rung-hop-500g-i2091249465.html")</f>
        <v>https://www.lazada.vn/products/vien-ha-thu-o-mat-ong-rung-hop-500g-i2091249465.html</v>
      </c>
      <c r="C1926" s="10" t="s">
        <v>1926</v>
      </c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8">
        <v>6781.0</v>
      </c>
      <c r="B1927" s="9" t="str">
        <f>HYPERLINK("https://www.lazada.vn/products/nuoc-cot-me-hu-250g-i2838640361.html", "https://www.lazada.vn/products/nuoc-cot-me-hu-250g-i2838640361.html")</f>
        <v>https://www.lazada.vn/products/nuoc-cot-me-hu-250g-i2838640361.html</v>
      </c>
      <c r="C1927" s="10" t="s">
        <v>1927</v>
      </c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8">
        <v>6782.0</v>
      </c>
      <c r="B1928" s="9" t="str">
        <f>HYPERLINK("https://www.lazada.vn/products/nuoc-ep-trai-cay-nhiet-doi-co-dac-nutrifres-thom-ngon-tai-nha-i2838186122.html", "https://www.lazada.vn/products/nuoc-ep-trai-cay-nhiet-doi-co-dac-nutrifres-thom-ngon-tai-nha-i2838186122.html")</f>
        <v>https://www.lazada.vn/products/nuoc-ep-trai-cay-nhiet-doi-co-dac-nutrifres-thom-ngon-tai-nha-i2838186122.html</v>
      </c>
      <c r="C1928" s="10" t="s">
        <v>1928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8">
        <v>6783.0</v>
      </c>
      <c r="B1929" s="9" t="str">
        <f>HYPERLINK("https://www.lazada.vn/products/thach-deedo-thai-lan-3-lop-1-goi-720gr-i2590232034.html", "https://www.lazada.vn/products/thach-deedo-thai-lan-3-lop-1-goi-720gr-i2590232034.html")</f>
        <v>https://www.lazada.vn/products/thach-deedo-thai-lan-3-lop-1-goi-720gr-i2590232034.html</v>
      </c>
      <c r="C1929" s="10" t="s">
        <v>1929</v>
      </c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8">
        <v>6784.0</v>
      </c>
      <c r="B1930" s="9" t="str">
        <f>HYPERLINK("https://www.lazada.vn/products/ca-bong-song-da-hop-loai-500ggiao-tphcm-i3052222695.html", "https://www.lazada.vn/products/ca-bong-song-da-hop-loai-500ggiao-tphcm-i3052222695.html")</f>
        <v>https://www.lazada.vn/products/ca-bong-song-da-hop-loai-500ggiao-tphcm-i3052222695.html</v>
      </c>
      <c r="C1930" s="10" t="s">
        <v>1930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8">
        <v>6785.0</v>
      </c>
      <c r="B1931" s="9" t="str">
        <f>HYPERLINK("https://www.lazada.vn/products/thung-24-lon-nuoc-tang-luc-sting-vang-320mllon-i2639337748.html", "https://www.lazada.vn/products/thung-24-lon-nuoc-tang-luc-sting-vang-320mllon-i2639337748.html")</f>
        <v>https://www.lazada.vn/products/thung-24-lon-nuoc-tang-luc-sting-vang-320mllon-i2639337748.html</v>
      </c>
      <c r="C1931" s="10" t="s">
        <v>1931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8">
        <v>6786.0</v>
      </c>
      <c r="B1932" s="9" t="str">
        <f>HYPERLINK("https://www.lazada.vn/products/banh-quy-bo-cacao-sua-banh-danisa-abbra-hop-giay-huong-vi-dan-mach-hao-hang-cao-cap-168g-happy-home-4u-i2929325937.html", "https://www.lazada.vn/products/banh-quy-bo-cacao-sua-banh-danisa-abbra-hop-giay-huong-vi-dan-mach-hao-hang-cao-cap-168g-happy-home-4u-i2929325937.html")</f>
        <v>https://www.lazada.vn/products/banh-quy-bo-cacao-sua-banh-danisa-abbra-hop-giay-huong-vi-dan-mach-hao-hang-cao-cap-168g-happy-home-4u-i2929325937.html</v>
      </c>
      <c r="C1932" s="10" t="s">
        <v>1932</v>
      </c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8">
        <v>6787.0</v>
      </c>
      <c r="B1933" s="9" t="str">
        <f>HYPERLINK("https://www.lazada.vn/products/nuoc-soda-giai-khat-schweppes-soda-sleek-320mllon-i2610531600.html", "https://www.lazada.vn/products/nuoc-soda-giai-khat-schweppes-soda-sleek-320mllon-i2610531600.html")</f>
        <v>https://www.lazada.vn/products/nuoc-soda-giai-khat-schweppes-soda-sleek-320mllon-i2610531600.html</v>
      </c>
      <c r="C1933" s="10" t="s">
        <v>1933</v>
      </c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8">
        <v>6788.0</v>
      </c>
      <c r="B1934" s="9" t="str">
        <f>HYPERLINK("https://www.lazada.vn/products/yyds-1-thung-bia-corny-khoa-khilong-ngat-ket-noi-cho-bia-nha-kieu-cornelius-i3012527295.html", "https://www.lazada.vn/products/yyds-1-thung-bia-corny-khoa-khilong-ngat-ket-noi-cho-bia-nha-kieu-cornelius-i3012527295.html")</f>
        <v>https://www.lazada.vn/products/yyds-1-thung-bia-corny-khoa-khilong-ngat-ket-noi-cho-bia-nha-kieu-cornelius-i3012527295.html</v>
      </c>
      <c r="C1934" s="10" t="s">
        <v>1934</v>
      </c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8">
        <v>6789.0</v>
      </c>
      <c r="B1935" s="9" t="str">
        <f>HYPERLINK("https://www.lazada.vn/products/nguyen-lieu-nau-bia-beerkit-belgian-style-wit-i2807228955.html", "https://www.lazada.vn/products/nguyen-lieu-nau-bia-beerkit-belgian-style-wit-i2807228955.html")</f>
        <v>https://www.lazada.vn/products/nguyen-lieu-nau-bia-beerkit-belgian-style-wit-i2807228955.html</v>
      </c>
      <c r="C1935" s="10" t="s">
        <v>1935</v>
      </c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8">
        <v>6790.0</v>
      </c>
      <c r="B1936" s="9" t="str">
        <f>HYPERLINK("https://www.lazada.vn/products/bia-kaiserin-amber-thuong-hieu-duc-thung-24-lon-330ml-53-i2798788322.html", "https://www.lazada.vn/products/bia-kaiserin-amber-thuong-hieu-duc-thung-24-lon-330ml-53-i2798788322.html")</f>
        <v>https://www.lazada.vn/products/bia-kaiserin-amber-thuong-hieu-duc-thung-24-lon-330ml-53-i2798788322.html</v>
      </c>
      <c r="C1936" s="10" t="s">
        <v>1936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8">
        <v>6791.0</v>
      </c>
      <c r="B1937" s="9" t="str">
        <f>HYPERLINK("https://www.lazada.vn/products/set-5-goi-colusa-mi-miliket-goi-giay-den-huong-vi-tom-mi-tom-goi-giay-den-miliket-mi-giay-miliket-colusa-65ggoi-i2911348674.html", "https://www.lazada.vn/products/set-5-goi-colusa-mi-miliket-goi-giay-den-huong-vi-tom-mi-tom-goi-giay-den-miliket-mi-giay-miliket-colusa-65ggoi-i2911348674.html")</f>
        <v>https://www.lazada.vn/products/set-5-goi-colusa-mi-miliket-goi-giay-den-huong-vi-tom-mi-tom-goi-giay-den-miliket-mi-giay-miliket-colusa-65ggoi-i2911348674.html</v>
      </c>
      <c r="C1937" s="10" t="s">
        <v>1937</v>
      </c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8">
        <v>6792.0</v>
      </c>
      <c r="B1938" s="9" t="str">
        <f>HYPERLINK("https://www.lazada.vn/products/vang-da-lat-classic-12-3-lit-i2743691182.html", "https://www.lazada.vn/products/vang-da-lat-classic-12-3-lit-i2743691182.html")</f>
        <v>https://www.lazada.vn/products/vang-da-lat-classic-12-3-lit-i2743691182.html</v>
      </c>
      <c r="C1938" s="10" t="s">
        <v>1938</v>
      </c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8">
        <v>6793.0</v>
      </c>
      <c r="B1939" s="9" t="str">
        <f>HYPERLINK("https://www.lazada.vn/products/xot-yuzu-pha-che-lam-tu-trai-cay-that-andros-fruit-mix-nguyen-lieu-pha-che-820ml-i2668935869.html", "https://www.lazada.vn/products/xot-yuzu-pha-che-lam-tu-trai-cay-that-andros-fruit-mix-nguyen-lieu-pha-che-820ml-i2668935869.html")</f>
        <v>https://www.lazada.vn/products/xot-yuzu-pha-che-lam-tu-trai-cay-that-andros-fruit-mix-nguyen-lieu-pha-che-820ml-i2668935869.html</v>
      </c>
      <c r="C1939" s="10" t="s">
        <v>1939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8">
        <v>6794.0</v>
      </c>
      <c r="B1940" s="9" t="str">
        <f>HYPERLINK("https://www.lazada.vn/products/cafe-den-kopiko-2in1-black-thai-lan-20g-x-10-i2771124057.html", "https://www.lazada.vn/products/cafe-den-kopiko-2in1-black-thai-lan-20g-x-10-i2771124057.html")</f>
        <v>https://www.lazada.vn/products/cafe-den-kopiko-2in1-black-thai-lan-20g-x-10-i2771124057.html</v>
      </c>
      <c r="C1940" s="10" t="s">
        <v>1940</v>
      </c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8">
        <v>6795.0</v>
      </c>
      <c r="B1941" s="9" t="str">
        <f>HYPERLINK("https://www.lazada.vn/products/hop-24-cai-keo-trung-socola-sua-popit-240-pokemon-pham-nguyen-i2952325956.html", "https://www.lazada.vn/products/hop-24-cai-keo-trung-socola-sua-popit-240-pokemon-pham-nguyen-i2952325956.html")</f>
        <v>https://www.lazada.vn/products/hop-24-cai-keo-trung-socola-sua-popit-240-pokemon-pham-nguyen-i2952325956.html</v>
      </c>
      <c r="C1941" s="10" t="s">
        <v>1941</v>
      </c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8">
        <v>6796.0</v>
      </c>
      <c r="B1942" s="9" t="str">
        <f>HYPERLINK("https://www.lazada.vn/products/bot-suong-sao-3k-goi-50g-den-i2733250018.html", "https://www.lazada.vn/products/bot-suong-sao-3k-goi-50g-den-i2733250018.html")</f>
        <v>https://www.lazada.vn/products/bot-suong-sao-3k-goi-50g-den-i2733250018.html</v>
      </c>
      <c r="C1942" s="10" t="s">
        <v>1942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8">
        <v>6797.0</v>
      </c>
      <c r="B1943" s="9" t="str">
        <f>HYPERLINK("https://www.lazada.vn/products/banh-quy-kep-2-lop-nhan-kem-magic-creams-hop-300g-nhieu-vi-i2674688112.html", "https://www.lazada.vn/products/banh-quy-kep-2-lop-nhan-kem-magic-creams-hop-300g-nhieu-vi-i2674688112.html")</f>
        <v>https://www.lazada.vn/products/banh-quy-kep-2-lop-nhan-kem-magic-creams-hop-300g-nhieu-vi-i2674688112.html</v>
      </c>
      <c r="C1943" s="10" t="s">
        <v>1943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8">
        <v>6798.0</v>
      </c>
      <c r="B1944" s="9" t="str">
        <f>HYPERLINK("https://www.lazada.vn/products/bot-cacao-lua-mach-ovaltine-hu-400g-date-2026-i2419653248.html", "https://www.lazada.vn/products/bot-cacao-lua-mach-ovaltine-hu-400g-date-2026-i2419653248.html")</f>
        <v>https://www.lazada.vn/products/bot-cacao-lua-mach-ovaltine-hu-400g-date-2026-i2419653248.html</v>
      </c>
      <c r="C1944" s="10" t="s">
        <v>1944</v>
      </c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8">
        <v>6799.0</v>
      </c>
      <c r="B1945" s="9" t="str">
        <f>HYPERLINK("https://www.lazada.vn/products/san-pham-dac-biet-cua-guizhou-quince-dry-fruit-snack-fresh-dried-fruit-preserves-small-bag-leisure-food-quince-honey-candy-i2923868154.html", "https://www.lazada.vn/products/san-pham-dac-biet-cua-guizhou-quince-dry-fruit-snack-fresh-dried-fruit-preserves-small-bag-leisure-food-quince-honey-candy-i2923868154.html")</f>
        <v>https://www.lazada.vn/products/san-pham-dac-biet-cua-guizhou-quince-dry-fruit-snack-fresh-dried-fruit-preserves-small-bag-leisure-food-quince-honey-candy-i2923868154.html</v>
      </c>
      <c r="C1945" s="10" t="s">
        <v>1945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8">
        <v>6800.0</v>
      </c>
      <c r="B1946" s="9" t="str">
        <f>HYPERLINK("https://www.lazada.vn/products/banh-nuong-dau-do-gao-lut-khoai-mo-thom-ngon-bo-duong-hop-450gr-an-vat-492-i2770926027.html", "https://www.lazada.vn/products/banh-nuong-dau-do-gao-lut-khoai-mo-thom-ngon-bo-duong-hop-450gr-an-vat-492-i2770926027.html")</f>
        <v>https://www.lazada.vn/products/banh-nuong-dau-do-gao-lut-khoai-mo-thom-ngon-bo-duong-hop-450gr-an-vat-492-i2770926027.html</v>
      </c>
      <c r="C1946" s="10" t="s">
        <v>1946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8">
        <v>6801.0</v>
      </c>
      <c r="B1947" s="9" t="str">
        <f>HYPERLINK("https://www.lazada.vn/products/goi-100-vien-keo-sua-bo-non-mong-co-vien-nen-bo-sung-canxi-tre-lon-deu-me-i2841829947.html", "https://www.lazada.vn/products/goi-100-vien-keo-sua-bo-non-mong-co-vien-nen-bo-sung-canxi-tre-lon-deu-me-i2841829947.html")</f>
        <v>https://www.lazada.vn/products/goi-100-vien-keo-sua-bo-non-mong-co-vien-nen-bo-sung-canxi-tre-lon-deu-me-i2841829947.html</v>
      </c>
      <c r="C1947" s="10" t="s">
        <v>1947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8">
        <v>6802.0</v>
      </c>
      <c r="B1948" s="9" t="str">
        <f>HYPERLINK("https://www.lazada.vn/products/hop-16-vien-keo-sam-nhap-khau-chinh-hang-nhat-i2841617674.html", "https://www.lazada.vn/products/hop-16-vien-keo-sam-nhap-khau-chinh-hang-nhat-i2841617674.html")</f>
        <v>https://www.lazada.vn/products/hop-16-vien-keo-sam-nhap-khau-chinh-hang-nhat-i2841617674.html</v>
      </c>
      <c r="C1948" s="10" t="s">
        <v>1948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8">
        <v>6803.0</v>
      </c>
      <c r="B1949" s="9" t="str">
        <f>HYPERLINK("https://www.lazada.vn/products/hcm-banh-tuyet-dai-phuc-vi-socola-10-cai-binh-vinh-tabio-i1021096922.html", "https://www.lazada.vn/products/hcm-banh-tuyet-dai-phuc-vi-socola-10-cai-binh-vinh-tabio-i1021096922.html")</f>
        <v>https://www.lazada.vn/products/hcm-banh-tuyet-dai-phuc-vi-socola-10-cai-binh-vinh-tabio-i1021096922.html</v>
      </c>
      <c r="C1949" s="10" t="s">
        <v>1949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8">
        <v>6804.0</v>
      </c>
      <c r="B1950" s="9" t="str">
        <f>HYPERLINK("https://www.lazada.vn/products/nuoc-cot-atiso-do-chin-da-lat-dac-san-da-lat-i2837867013.html", "https://www.lazada.vn/products/nuoc-cot-atiso-do-chin-da-lat-dac-san-da-lat-i2837867013.html")</f>
        <v>https://www.lazada.vn/products/nuoc-cot-atiso-do-chin-da-lat-dac-san-da-lat-i2837867013.html</v>
      </c>
      <c r="C1950" s="10" t="s">
        <v>1950</v>
      </c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8">
        <v>6805.0</v>
      </c>
      <c r="B1951" s="9" t="str">
        <f>HYPERLINK("https://www.lazada.vn/products/banh-quy-yen-mach-sunrise-gao-lut-me-den-178g-i2162769072.html", "https://www.lazada.vn/products/banh-quy-yen-mach-sunrise-gao-lut-me-den-178g-i2162769072.html")</f>
        <v>https://www.lazada.vn/products/banh-quy-yen-mach-sunrise-gao-lut-me-den-178g-i2162769072.html</v>
      </c>
      <c r="C1951" s="10" t="s">
        <v>1951</v>
      </c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8">
        <v>6806.0</v>
      </c>
      <c r="B1952" s="9" t="str">
        <f>HYPERLINK("https://www.lazada.vn/products/hu-500g-mut-dau-tay-dac-san-da-lat-dung-lam-banh-an-voi-banh-mi-pha-che-i2837861070.html", "https://www.lazada.vn/products/hu-500g-mut-dau-tay-dac-san-da-lat-dung-lam-banh-an-voi-banh-mi-pha-che-i2837861070.html")</f>
        <v>https://www.lazada.vn/products/hu-500g-mut-dau-tay-dac-san-da-lat-dung-lam-banh-an-voi-banh-mi-pha-che-i2837861070.html</v>
      </c>
      <c r="C1952" s="10" t="s">
        <v>1952</v>
      </c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8">
        <v>6807.0</v>
      </c>
      <c r="B1953" s="9" t="str">
        <f>HYPERLINK("https://www.lazada.vn/products/nuoc-cot-dua-wonderfarm-400ml-i2086853224.html", "https://www.lazada.vn/products/nuoc-cot-dua-wonderfarm-400ml-i2086853224.html")</f>
        <v>https://www.lazada.vn/products/nuoc-cot-dua-wonderfarm-400ml-i2086853224.html</v>
      </c>
      <c r="C1953" s="10" t="s">
        <v>1953</v>
      </c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8">
        <v>6808.0</v>
      </c>
      <c r="B1954" s="9" t="str">
        <f>HYPERLINK("https://www.lazada.vn/products/ca-bong-song-da-hop-loai-500-gr-giao-tphcm-i3052220762.html", "https://www.lazada.vn/products/ca-bong-song-da-hop-loai-500-gr-giao-tphcm-i3052220762.html")</f>
        <v>https://www.lazada.vn/products/ca-bong-song-da-hop-loai-500-gr-giao-tphcm-i3052220762.html</v>
      </c>
      <c r="C1954" s="10" t="s">
        <v>1954</v>
      </c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8">
        <v>6809.0</v>
      </c>
      <c r="B1955" s="9" t="str">
        <f>HYPERLINK("https://www.lazada.vn/products/thach-trai-cay-orihiro-mix-nhieu-vi-sieu-ngon-12-chiec-240g-hang-noi-dia-nhat-ban-i2588024408.html", "https://www.lazada.vn/products/thach-trai-cay-orihiro-mix-nhieu-vi-sieu-ngon-12-chiec-240g-hang-noi-dia-nhat-ban-i2588024408.html")</f>
        <v>https://www.lazada.vn/products/thach-trai-cay-orihiro-mix-nhieu-vi-sieu-ngon-12-chiec-240g-hang-noi-dia-nhat-ban-i2588024408.html</v>
      </c>
      <c r="C1955" s="10" t="s">
        <v>1955</v>
      </c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8">
        <v>6810.0</v>
      </c>
      <c r="B1956" s="9" t="str">
        <f>HYPERLINK("https://www.lazada.vn/products/jagermeister-1000ml-hang-chuan-i2639248553.html", "https://www.lazada.vn/products/jagermeister-1000ml-hang-chuan-i2639248553.html")</f>
        <v>https://www.lazada.vn/products/jagermeister-1000ml-hang-chuan-i2639248553.html</v>
      </c>
      <c r="C1956" s="10" t="s">
        <v>1956</v>
      </c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8">
        <v>6811.0</v>
      </c>
      <c r="B1957" s="9" t="str">
        <f>HYPERLINK("https://www.lazada.vn/products/kinh-do-banh-quy-thap-cam-cau-dua-du-xai-300gr-tet-2025-kem-tui-giay-i2927651147.html", "https://www.lazada.vn/products/kinh-do-banh-quy-thap-cam-cau-dua-du-xai-300gr-tet-2025-kem-tui-giay-i2927651147.html")</f>
        <v>https://www.lazada.vn/products/kinh-do-banh-quy-thap-cam-cau-dua-du-xai-300gr-tet-2025-kem-tui-giay-i2927651147.html</v>
      </c>
      <c r="C1957" s="10" t="s">
        <v>1957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8">
        <v>6812.0</v>
      </c>
      <c r="B1958" s="9" t="str">
        <f>HYPERLINK("https://www.lazada.vn/products/nuoc-ngot-giai-khat-coca-cola-vi-nguyen-ban-original-320mlon-i2610529635.html", "https://www.lazada.vn/products/nuoc-ngot-giai-khat-coca-cola-vi-nguyen-ban-original-320mlon-i2610529635.html")</f>
        <v>https://www.lazada.vn/products/nuoc-ngot-giai-khat-coca-cola-vi-nguyen-ban-original-320mlon-i2610529635.html</v>
      </c>
      <c r="C1958" s="10" t="s">
        <v>1958</v>
      </c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8">
        <v>6813.0</v>
      </c>
      <c r="B1959" s="9" t="str">
        <f>HYPERLINK("https://www.lazada.vn/products/nuoc-ngot-co-ga-vi-luu-nuoc-luu-co-ga-okf-han-quoc-x-24-lon-350ml-i2605126165.html", "https://www.lazada.vn/products/nuoc-ngot-co-ga-vi-luu-nuoc-luu-co-ga-okf-han-quoc-x-24-lon-350ml-i2605126165.html")</f>
        <v>https://www.lazada.vn/products/nuoc-ngot-co-ga-vi-luu-nuoc-luu-co-ga-okf-han-quoc-x-24-lon-350ml-i2605126165.html</v>
      </c>
      <c r="C1959" s="10" t="s">
        <v>1959</v>
      </c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8">
        <v>6814.0</v>
      </c>
      <c r="B1960" s="9" t="str">
        <f>HYPERLINK("https://www.lazada.vn/products/biubiuni-1-thung-bia-corny-khoa-khilong-ngat-ket-noi-cho-bia-nha-kieu-cornelius-i3011469889.html", "https://www.lazada.vn/products/biubiuni-1-thung-bia-corny-khoa-khilong-ngat-ket-noi-cho-bia-nha-kieu-cornelius-i3011469889.html")</f>
        <v>https://www.lazada.vn/products/biubiuni-1-thung-bia-corny-khoa-khilong-ngat-ket-noi-cho-bia-nha-kieu-cornelius-i3011469889.html</v>
      </c>
      <c r="C1960" s="10" t="s">
        <v>1960</v>
      </c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8">
        <v>6815.0</v>
      </c>
      <c r="B1961" s="9" t="str">
        <f>HYPERLINK("https://www.lazada.vn/products/bia-thu-cong-rooster-beers-pale-bia-ga-pale-330ml-nong-do-con-60-i2798020387.html", "https://www.lazada.vn/products/bia-thu-cong-rooster-beers-pale-bia-ga-pale-330ml-nong-do-con-60-i2798020387.html")</f>
        <v>https://www.lazada.vn/products/bia-thu-cong-rooster-beers-pale-bia-ga-pale-330ml-nong-do-con-60-i2798020387.html</v>
      </c>
      <c r="C1961" s="10" t="s">
        <v>1961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8">
        <v>6816.0</v>
      </c>
      <c r="B1962" s="9" t="str">
        <f>HYPERLINK("https://www.lazada.vn/products/shangtanpu-1-thung-bia-corny-khoa-khilong-ngat-ket-noi-cho-bia-nha-kieu-cornelius-i3010907827.html", "https://www.lazada.vn/products/shangtanpu-1-thung-bia-corny-khoa-khilong-ngat-ket-noi-cho-bia-nha-kieu-cornelius-i3010907827.html")</f>
        <v>https://www.lazada.vn/products/shangtanpu-1-thung-bia-corny-khoa-khilong-ngat-ket-noi-cho-bia-nha-kieu-cornelius-i3010907827.html</v>
      </c>
      <c r="C1962" s="10" t="s">
        <v>1962</v>
      </c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8">
        <v>6817.0</v>
      </c>
      <c r="B1963" s="9" t="str">
        <f>HYPERLINK("https://www.lazada.vn/products/xuc-xich-pho-mai-goi-250gr-i2910827438.html", "https://www.lazada.vn/products/xuc-xich-pho-mai-goi-250gr-i2910827438.html")</f>
        <v>https://www.lazada.vn/products/xuc-xich-pho-mai-goi-250gr-i2910827438.html</v>
      </c>
      <c r="C1963" s="10" t="s">
        <v>1963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8">
        <v>6818.0</v>
      </c>
      <c r="B1964" s="9" t="str">
        <f>HYPERLINK("https://www.lazada.vn/products/siro-monin-chiet-100ml-du-vi-test-mon-i2668934361.html", "https://www.lazada.vn/products/siro-monin-chiet-100ml-du-vi-test-mon-i2668934361.html")</f>
        <v>https://www.lazada.vn/products/siro-monin-chiet-100ml-du-vi-test-mon-i2668934361.html</v>
      </c>
      <c r="C1964" s="10" t="s">
        <v>1964</v>
      </c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8">
        <v>6819.0</v>
      </c>
      <c r="B1965" s="9" t="str">
        <f>HYPERLINK("https://www.lazada.vn/products/vang-da-lat-classic-12-750ml-i2743627706.html", "https://www.lazada.vn/products/vang-da-lat-classic-12-750ml-i2743627706.html")</f>
        <v>https://www.lazada.vn/products/vang-da-lat-classic-12-750ml-i2743627706.html</v>
      </c>
      <c r="C1965" s="10" t="s">
        <v>1965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8">
        <v>6820.0</v>
      </c>
      <c r="B1966" s="9" t="str">
        <f>HYPERLINK("https://www.lazada.vn/products/combo-2-hop-2-vi-ca-phe-nhat-kim-anh-1-dong-trung-1-nam-linh-chi-laura-coffee-i2770738702.html", "https://www.lazada.vn/products/combo-2-hop-2-vi-ca-phe-nhat-kim-anh-1-dong-trung-1-nam-linh-chi-laura-coffee-i2770738702.html")</f>
        <v>https://www.lazada.vn/products/combo-2-hop-2-vi-ca-phe-nhat-kim-anh-1-dong-trung-1-nam-linh-chi-laura-coffee-i2770738702.html</v>
      </c>
      <c r="C1966" s="10" t="s">
        <v>1966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8">
        <v>6821.0</v>
      </c>
      <c r="B1967" s="9" t="str">
        <f>HYPERLINK("https://www.lazada.vn/products/santa-ema-gran-reserva-chardonnay-i2741919069.html", "https://www.lazada.vn/products/santa-ema-gran-reserva-chardonnay-i2741919069.html")</f>
        <v>https://www.lazada.vn/products/santa-ema-gran-reserva-chardonnay-i2741919069.html</v>
      </c>
      <c r="C1967" s="10" t="s">
        <v>1967</v>
      </c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8">
        <v>6822.0</v>
      </c>
      <c r="B1968" s="9" t="str">
        <f>HYPERLINK("https://www.lazada.vn/products/sale-socola-tuoi-truffle-lacasa-tay-ban-nha-set-3-hop-100g-vi-truyen-thong-date-t22026-i2951157320.html", "https://www.lazada.vn/products/sale-socola-tuoi-truffle-lacasa-tay-ban-nha-set-3-hop-100g-vi-truyen-thong-date-t22026-i2951157320.html")</f>
        <v>https://www.lazada.vn/products/sale-socola-tuoi-truffle-lacasa-tay-ban-nha-set-3-hop-100g-vi-truyen-thong-date-t22026-i2951157320.html</v>
      </c>
      <c r="C1968" s="10" t="s">
        <v>1968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8">
        <v>6823.0</v>
      </c>
      <c r="B1969" s="9" t="str">
        <f>HYPERLINK("https://www.lazada.vn/products/bot-suong-sam-3k-hop-30g-i2733141777.html", "https://www.lazada.vn/products/bot-suong-sam-3k-hop-30g-i2733141777.html")</f>
        <v>https://www.lazada.vn/products/bot-suong-sam-3k-hop-30g-i2733141777.html</v>
      </c>
      <c r="C1969" s="10" t="s">
        <v>1969</v>
      </c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8">
        <v>6824.0</v>
      </c>
      <c r="B1970" s="9" t="str">
        <f>HYPERLINK("https://www.lazada.vn/products/bot-pha-sua-dau-nanh-soy-ovaltine-364g-13-goi-x28g-thai-lan-thom-ngon-dam-vi-gia-tot-hinohouse-i2732685257.html", "https://www.lazada.vn/products/bot-pha-sua-dau-nanh-soy-ovaltine-364g-13-goi-x28g-thai-lan-thom-ngon-dam-vi-gia-tot-hinohouse-i2732685257.html")</f>
        <v>https://www.lazada.vn/products/bot-pha-sua-dau-nanh-soy-ovaltine-364g-13-goi-x28g-thai-lan-thom-ngon-dam-vi-gia-tot-hinohouse-i2732685257.html</v>
      </c>
      <c r="C1970" s="10" t="s">
        <v>1970</v>
      </c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8">
        <v>6825.0</v>
      </c>
      <c r="B1971" s="9" t="str">
        <f>HYPERLINK("https://www.lazada.vn/products/bot-cacao-lua-mach-ovaltine-hu-400g-date-72026-i2419536603.html", "https://www.lazada.vn/products/bot-cacao-lua-mach-ovaltine-hu-400g-date-72026-i2419536603.html")</f>
        <v>https://www.lazada.vn/products/bot-cacao-lua-mach-ovaltine-hu-400g-date-72026-i2419536603.html</v>
      </c>
      <c r="C1971" s="10" t="s">
        <v>1971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8">
        <v>6826.0</v>
      </c>
      <c r="B1972" s="9" t="str">
        <f>HYPERLINK("https://www.lazada.vn/products/banh-quy-yen-mach-oat-krunch-hop-156g-dau-tay-socola-i2674674180.html", "https://www.lazada.vn/products/banh-quy-yen-mach-oat-krunch-hop-156g-dau-tay-socola-i2674674180.html")</f>
        <v>https://www.lazada.vn/products/banh-quy-yen-mach-oat-krunch-hop-156g-dau-tay-socola-i2674674180.html</v>
      </c>
      <c r="C1972" s="10" t="s">
        <v>1972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8">
        <v>6827.0</v>
      </c>
      <c r="B1973" s="9" t="str">
        <f>HYPERLINK("https://www.lazada.vn/products/trehno-yiyun-yogurt-blocks-luong-kho-trai-cay-dong-lanh-hat-sua-chua-luong-kho-dau-tay-hat-trai-cay-dong-lanh-snack-i2923865251.html", "https://www.lazada.vn/products/trehno-yiyun-yogurt-blocks-luong-kho-trai-cay-dong-lanh-hat-sua-chua-luong-kho-dau-tay-hat-trai-cay-dong-lanh-snack-i2923865251.html")</f>
        <v>https://www.lazada.vn/products/trehno-yiyun-yogurt-blocks-luong-kho-trai-cay-dong-lanh-hat-sua-chua-luong-kho-dau-tay-hat-trai-cay-dong-lanh-snack-i2923865251.html</v>
      </c>
      <c r="C1973" s="10" t="s">
        <v>1973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8">
        <v>6828.0</v>
      </c>
      <c r="B1974" s="9" t="str">
        <f>HYPERLINK("https://www.lazada.vn/products/banh-mi-trung-cuon-sot-bo-ruoc-cha-bong-banh-dinh-duong-cuon-cha-bong-hang-du-muc-an-vat-492-i2770846225.html", "https://www.lazada.vn/products/banh-mi-trung-cuon-sot-bo-ruoc-cha-bong-banh-dinh-duong-cuon-cha-bong-hang-du-muc-an-vat-492-i2770846225.html")</f>
        <v>https://www.lazada.vn/products/banh-mi-trung-cuon-sot-bo-ruoc-cha-bong-banh-dinh-duong-cuon-cha-bong-hang-du-muc-an-vat-492-i2770846225.html</v>
      </c>
      <c r="C1974" s="10" t="s">
        <v>1974</v>
      </c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8">
        <v>6829.0</v>
      </c>
      <c r="B1975" s="9" t="str">
        <f>HYPERLINK("https://www.lazada.vn/products/sieu-pham-hop-keo-socola-vi-dang-nhat-i2841572856.html", "https://www.lazada.vn/products/sieu-pham-hop-keo-socola-vi-dang-nhat-i2841572856.html")</f>
        <v>https://www.lazada.vn/products/sieu-pham-hop-keo-socola-vi-dang-nhat-i2841572856.html</v>
      </c>
      <c r="C1975" s="10" t="s">
        <v>1975</v>
      </c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8">
        <v>6830.0</v>
      </c>
      <c r="B1976" s="9" t="str">
        <f>HYPERLINK("https://www.lazada.vn/products/hcm-banh-tuyet-dai-phuc-vi-dau-10-cai-binh-vinh-tabio-i1021092768.html", "https://www.lazada.vn/products/hcm-banh-tuyet-dai-phuc-vi-dau-10-cai-binh-vinh-tabio-i1021092768.html")</f>
        <v>https://www.lazada.vn/products/hcm-banh-tuyet-dai-phuc-vi-dau-10-cai-binh-vinh-tabio-i1021092768.html</v>
      </c>
      <c r="C1976" s="10" t="s">
        <v>1976</v>
      </c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8">
        <v>6831.0</v>
      </c>
      <c r="B1977" s="9" t="str">
        <f>HYPERLINK("https://www.lazada.vn/products/d-i2085720254.html", "https://www.lazada.vn/products/d-i2085720254.html")</f>
        <v>https://www.lazada.vn/products/d-i2085720254.html</v>
      </c>
      <c r="C1977" s="10" t="s">
        <v>1977</v>
      </c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8">
        <v>6832.0</v>
      </c>
      <c r="B1978" s="9" t="str">
        <f>HYPERLINK("https://www.lazada.vn/products/nuoc-cot-dau-tam-loai-ngon-chinh-da-lat-dac-san-da-lat-i2837831263.html", "https://www.lazada.vn/products/nuoc-cot-dau-tam-loai-ngon-chinh-da-lat-dac-san-da-lat-i2837831263.html")</f>
        <v>https://www.lazada.vn/products/nuoc-cot-dau-tam-loai-ngon-chinh-da-lat-dac-san-da-lat-i2837831263.html</v>
      </c>
      <c r="C1978" s="10" t="s">
        <v>1978</v>
      </c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8">
        <v>6833.0</v>
      </c>
      <c r="B1979" s="9" t="str">
        <f>HYPERLINK("https://www.lazada.vn/products/banh-quy-hat-dieu-hanh-nhan-hop-thiec-sang-trong-120g-i2926849012.html", "https://www.lazada.vn/products/banh-quy-hat-dieu-hanh-nhan-hop-thiec-sang-trong-120g-i2926849012.html")</f>
        <v>https://www.lazada.vn/products/banh-quy-hat-dieu-hanh-nhan-hop-thiec-sang-trong-120g-i2926849012.html</v>
      </c>
      <c r="C1979" s="10" t="s">
        <v>1979</v>
      </c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8">
        <v>6834.0</v>
      </c>
      <c r="B1980" s="9" t="str">
        <f>HYPERLINK("https://www.lazada.vn/products/si-thung-5kg-keo-thach-zaizai-duc-hanh-sieu-ngon-do-an-vat-i2576696557.html", "https://www.lazada.vn/products/si-thung-5kg-keo-thach-zaizai-duc-hanh-sieu-ngon-do-an-vat-i2576696557.html")</f>
        <v>https://www.lazada.vn/products/si-thung-5kg-keo-thach-zaizai-duc-hanh-sieu-ngon-do-an-vat-i2576696557.html</v>
      </c>
      <c r="C1980" s="10" t="s">
        <v>1980</v>
      </c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8">
        <v>6835.0</v>
      </c>
      <c r="B1981" s="9" t="str">
        <f>HYPERLINK("https://www.lazada.vn/products/banh-quy-tra-xanh-tipo-hop-75-g-19236-i2161410459.html", "https://www.lazada.vn/products/banh-quy-tra-xanh-tipo-hop-75-g-19236-i2161410459.html")</f>
        <v>https://www.lazada.vn/products/banh-quy-tra-xanh-tipo-hop-75-g-19236-i2161410459.html</v>
      </c>
      <c r="C1981" s="10" t="s">
        <v>1981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8">
        <v>6836.0</v>
      </c>
      <c r="B1982" s="9" t="str">
        <f>HYPERLINK("https://www.lazada.vn/products/kho-ca-chi-vang-loai-1-tui-500g-va-1kg-i3052219337.html", "https://www.lazada.vn/products/kho-ca-chi-vang-loai-1-tui-500g-va-1kg-i3052219337.html")</f>
        <v>https://www.lazada.vn/products/kho-ca-chi-vang-loai-1-tui-500g-va-1kg-i3052219337.html</v>
      </c>
      <c r="C1982" s="10" t="s">
        <v>1982</v>
      </c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8">
        <v>6837.0</v>
      </c>
      <c r="B1983" s="9" t="str">
        <f>HYPERLINK("https://www.lazada.vn/products/thung-24-lon-nuoc-uong-co-gaz-pepsi-vi-chanh-khong-calo-320ml-i2639119510.html", "https://www.lazada.vn/products/thung-24-lon-nuoc-uong-co-gaz-pepsi-vi-chanh-khong-calo-320ml-i2639119510.html")</f>
        <v>https://www.lazada.vn/products/thung-24-lon-nuoc-uong-co-gaz-pepsi-vi-chanh-khong-calo-320ml-i2639119510.html</v>
      </c>
      <c r="C1983" s="10" t="s">
        <v>1983</v>
      </c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8">
        <v>6838.0</v>
      </c>
      <c r="B1984" s="9" t="str">
        <f>HYPERLINK("https://www.lazada.vn/products/bia-thu-cong-rooster-beers-ipa-bia-ga-ipa-330ml-nong-do-con-65-i2797930647.html", "https://www.lazada.vn/products/bia-thu-cong-rooster-beers-ipa-bia-ga-ipa-330ml-nong-do-con-65-i2797930647.html")</f>
        <v>https://www.lazada.vn/products/bia-thu-cong-rooster-beers-ipa-bia-ga-ipa-330ml-nong-do-con-65-i2797930647.html</v>
      </c>
      <c r="C1984" s="10" t="s">
        <v>1984</v>
      </c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8">
        <v>6839.0</v>
      </c>
      <c r="B1985" s="9" t="str">
        <f>HYPERLINK("https://www.lazada.vn/products/bo-ly-bia-4-chiec-ly-uong-147oz-ly-bia-thu-cong-cho-bao-quan-trong-tu-lanh-giu-huong-vi-ly-bia-cao-qua-tang-cho-nam-gioi-i3010633148.html", "https://www.lazada.vn/products/bo-ly-bia-4-chiec-ly-uong-147oz-ly-bia-thu-cong-cho-bao-quan-trong-tu-lanh-giu-huong-vi-ly-bia-cao-qua-tang-cho-nam-gioi-i3010633148.html")</f>
        <v>https://www.lazada.vn/products/bo-ly-bia-4-chiec-ly-uong-147oz-ly-bia-thu-cong-cho-bao-quan-trong-tu-lanh-giu-huong-vi-ly-bia-cao-qua-tang-cho-nam-gioi-i3010633148.html</v>
      </c>
      <c r="C1985" s="10" t="s">
        <v>1985</v>
      </c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8">
        <v>6840.0</v>
      </c>
      <c r="B1986" s="9" t="str">
        <f>HYPERLINK("https://www.lazada.vn/products/1-kg-uc-bung-mo-kho-ca-dua-cat-soi-sieu-beo-mo-nhieu-sieu-ngon-sieu-tiet-kiemhcm-i2910199548.html", "https://www.lazada.vn/products/1-kg-uc-bung-mo-kho-ca-dua-cat-soi-sieu-beo-mo-nhieu-sieu-ngon-sieu-tiet-kiemhcm-i2910199548.html")</f>
        <v>https://www.lazada.vn/products/1-kg-uc-bung-mo-kho-ca-dua-cat-soi-sieu-beo-mo-nhieu-sieu-ngon-sieu-tiet-kiemhcm-i2910199548.html</v>
      </c>
      <c r="C1986" s="10" t="s">
        <v>1986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8">
        <v>6841.0</v>
      </c>
      <c r="B1987" s="9" t="str">
        <f>HYPERLINK("https://www.lazada.vn/products/tran-chau-olong-huong-nhai-1kg-topioca-viet-tuan-nguyen-lieu-pha-che-do-uong-topping-tra-sua-gion-i2668847696.html", "https://www.lazada.vn/products/tran-chau-olong-huong-nhai-1kg-topioca-viet-tuan-nguyen-lieu-pha-che-do-uong-topping-tra-sua-gion-i2668847696.html")</f>
        <v>https://www.lazada.vn/products/tran-chau-olong-huong-nhai-1kg-topioca-viet-tuan-nguyen-lieu-pha-che-do-uong-topping-tra-sua-gion-i2668847696.html</v>
      </c>
      <c r="C1987" s="10" t="s">
        <v>1987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8">
        <v>6842.0</v>
      </c>
      <c r="B1988" s="9" t="str">
        <f>HYPERLINK("https://www.lazada.vn/products/vang-chile-g7-13-750ml-i2734441063.html", "https://www.lazada.vn/products/vang-chile-g7-13-750ml-i2734441063.html")</f>
        <v>https://www.lazada.vn/products/vang-chile-g7-13-750ml-i2734441063.html</v>
      </c>
      <c r="C1988" s="10" t="s">
        <v>1988</v>
      </c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8">
        <v>6843.0</v>
      </c>
      <c r="B1989" s="9" t="str">
        <f>HYPERLINK("https://www.lazada.vn/products/ca-phe-sua-adore-vi-viet-nam-hop-10-goi25g-e-i2770005174.html", "https://www.lazada.vn/products/ca-phe-sua-adore-vi-viet-nam-hop-10-goi25g-e-i2770005174.html")</f>
        <v>https://www.lazada.vn/products/ca-phe-sua-adore-vi-viet-nam-hop-10-goi25g-e-i2770005174.html</v>
      </c>
      <c r="C1989" s="10" t="s">
        <v>1989</v>
      </c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8">
        <v>6844.0</v>
      </c>
      <c r="B1990" s="9" t="str">
        <f>HYPERLINK("https://www.lazada.vn/products/chocolate-den-nguyen-chat-100-chocolate-nguyen-chat-khong-duong-chocolate-black-pure-chocolate-no-sugar-snacks-biji-zan-i2950002970.html", "https://www.lazada.vn/products/chocolate-den-nguyen-chat-100-chocolate-nguyen-chat-khong-duong-chocolate-black-pure-chocolate-no-sugar-snacks-biji-zan-i2950002970.html")</f>
        <v>https://www.lazada.vn/products/chocolate-den-nguyen-chat-100-chocolate-nguyen-chat-khong-duong-chocolate-black-pure-chocolate-no-sugar-snacks-biji-zan-i2950002970.html</v>
      </c>
      <c r="C1990" s="10" t="s">
        <v>1990</v>
      </c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8">
        <v>6845.0</v>
      </c>
      <c r="B1991" s="9" t="str">
        <f>HYPERLINK("https://www.lazada.vn/products/bot-cacao-dac-lac-nguyen-chat-lo-500-gram-i2732482963.html", "https://www.lazada.vn/products/bot-cacao-dac-lac-nguyen-chat-lo-500-gram-i2732482963.html")</f>
        <v>https://www.lazada.vn/products/bot-cacao-dac-lac-nguyen-chat-lo-500-gram-i2732482963.html</v>
      </c>
      <c r="C1991" s="10" t="s">
        <v>1991</v>
      </c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8">
        <v>6846.0</v>
      </c>
      <c r="B1992" s="9" t="str">
        <f>HYPERLINK("https://www.lazada.vn/products/socola-nhan-bo-dau-phong-skippy-milk-chocolate-pb-minis-goi-516g-i2949508325.html", "https://www.lazada.vn/products/socola-nhan-bo-dau-phong-skippy-milk-chocolate-pb-minis-goi-516g-i2949508325.html")</f>
        <v>https://www.lazada.vn/products/socola-nhan-bo-dau-phong-skippy-milk-chocolate-pb-minis-goi-516g-i2949508325.html</v>
      </c>
      <c r="C1992" s="10" t="s">
        <v>1992</v>
      </c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8">
        <v>6847.0</v>
      </c>
      <c r="B1993" s="9" t="str">
        <f>HYPERLINK("https://www.lazada.vn/products/thung-48-hop-x-110ml-milo-thuc-uong-lua-mach-i2418997983.html", "https://www.lazada.vn/products/thung-48-hop-x-110ml-milo-thuc-uong-lua-mach-i2418997983.html")</f>
        <v>https://www.lazada.vn/products/thung-48-hop-x-110ml-milo-thuc-uong-lua-mach-i2418997983.html</v>
      </c>
      <c r="C1993" s="10" t="s">
        <v>1993</v>
      </c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8">
        <v>6848.0</v>
      </c>
      <c r="B1994" s="9" t="str">
        <f>HYPERLINK("https://www.lazada.vn/products/oreo-thanh-120gr-banh-quy-kem-lanh-du-vi-vani-socola-dau-viet-quat-i2674640007.html", "https://www.lazada.vn/products/oreo-thanh-120gr-banh-quy-kem-lanh-du-vi-vani-socola-dau-viet-quat-i2674640007.html")</f>
        <v>https://www.lazada.vn/products/oreo-thanh-120gr-banh-quy-kem-lanh-du-vi-vani-socola-dau-viet-quat-i2674640007.html</v>
      </c>
      <c r="C1994" s="10" t="s">
        <v>1994</v>
      </c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8">
        <v>6849.0</v>
      </c>
      <c r="B1995" s="9" t="str">
        <f>HYPERLINK("https://www.lazada.vn/products/khoai-lang-dong-lanh-blueberry-yogurt-45g-snack-giai-tri-van-phong-loi-khuan-dried-fruit-snacks-dried-milk-block-blueberry-yogurt-i2923864034.html", "https://www.lazada.vn/products/khoai-lang-dong-lanh-blueberry-yogurt-45g-snack-giai-tri-van-phong-loi-khuan-dried-fruit-snacks-dried-milk-block-blueberry-yogurt-i2923864034.html")</f>
        <v>https://www.lazada.vn/products/khoai-lang-dong-lanh-blueberry-yogurt-45g-snack-giai-tri-van-phong-loi-khuan-dried-fruit-snacks-dried-milk-block-blueberry-yogurt-i2923864034.html</v>
      </c>
      <c r="C1995" s="10" t="s">
        <v>1995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8">
        <v>6850.0</v>
      </c>
      <c r="B1996" s="9" t="str">
        <f>HYPERLINK("https://www.lazada.vn/products/banh-dau-xanh-matcha-khong-duong-shin-food-it-calo-giam-can-banh-matcha-nhan-dau-xanh-thuc-duong-tot-cho-suc-khoe-i2769718222.html", "https://www.lazada.vn/products/banh-dau-xanh-matcha-khong-duong-shin-food-it-calo-giam-can-banh-matcha-nhan-dau-xanh-thuc-duong-tot-cho-suc-khoe-i2769718222.html")</f>
        <v>https://www.lazada.vn/products/banh-dau-xanh-matcha-khong-duong-shin-food-it-calo-giam-can-banh-matcha-nhan-dau-xanh-thuc-duong-tot-cho-suc-khoe-i2769718222.html</v>
      </c>
      <c r="C1996" s="10" t="s">
        <v>1996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8">
        <v>6851.0</v>
      </c>
      <c r="B1997" s="9" t="str">
        <f>HYPERLINK("https://www.lazada.vn/products/date-12026-keo-sua-muoi-uha-nhat-ban-goi-67gr-i2839642219.html", "https://www.lazada.vn/products/date-12026-keo-sua-muoi-uha-nhat-ban-goi-67gr-i2839642219.html")</f>
        <v>https://www.lazada.vn/products/date-12026-keo-sua-muoi-uha-nhat-ban-goi-67gr-i2839642219.html</v>
      </c>
      <c r="C1997" s="10" t="s">
        <v>1997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8">
        <v>6852.0</v>
      </c>
      <c r="B1998" s="9" t="str">
        <f>HYPERLINK("https://www.lazada.vn/products/hcm-banh-tart-pho-mai-10-cai-binh-vinh-tabio-i1020960422.html", "https://www.lazada.vn/products/hcm-banh-tart-pho-mai-10-cai-binh-vinh-tabio-i1020960422.html")</f>
        <v>https://www.lazada.vn/products/hcm-banh-tart-pho-mai-10-cai-binh-vinh-tabio-i1020960422.html</v>
      </c>
      <c r="C1998" s="10" t="s">
        <v>1998</v>
      </c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8">
        <v>6853.0</v>
      </c>
      <c r="B1999" s="9" t="str">
        <f>HYPERLINK("https://www.lazada.vn/products/hu-650gr-chao-mon-cot-dua-sieu-beo-i2084748998.html", "https://www.lazada.vn/products/hu-650gr-chao-mon-cot-dua-sieu-beo-i2084748998.html")</f>
        <v>https://www.lazada.vn/products/hu-650gr-chao-mon-cot-dua-sieu-beo-i2084748998.html</v>
      </c>
      <c r="C1999" s="10" t="s">
        <v>1999</v>
      </c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8">
        <v>6854.0</v>
      </c>
      <c r="B2000" s="9" t="str">
        <f>HYPERLINK("https://www.lazada.vn/products/nuoc-cot-dau-tay-1-lit-chin-da-lat-dac-san-da-lat-i2837761583.html", "https://www.lazada.vn/products/nuoc-cot-dau-tay-1-lit-chin-da-lat-dac-san-da-lat-i2837761583.html")</f>
        <v>https://www.lazada.vn/products/nuoc-cot-dau-tay-1-lit-chin-da-lat-dac-san-da-lat-i2837761583.html</v>
      </c>
      <c r="C2000" s="10" t="s">
        <v>2000</v>
      </c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8">
        <v>6855.0</v>
      </c>
      <c r="B2001" s="9" t="str">
        <f>HYPERLINK("https://www.lazada.vn/products/banh-cookie-ngu-coc-yen-mach-gach-do-300g-khong-bot-mi-it-calo-giau-dinh-duong-danh-cho-an-kieng-i2158484779.html", "https://www.lazada.vn/products/banh-cookie-ngu-coc-yen-mach-gach-do-300g-khong-bot-mi-it-calo-giau-dinh-duong-danh-cho-an-kieng-i2158484779.html")</f>
        <v>https://www.lazada.vn/products/banh-cookie-ngu-coc-yen-mach-gach-do-300g-khong-bot-mi-it-calo-giau-dinh-duong-danh-cho-an-kieng-i2158484779.html</v>
      </c>
      <c r="C2001" s="10" t="s">
        <v>2001</v>
      </c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8">
        <v>6856.0</v>
      </c>
      <c r="B2002" s="9" t="str">
        <f>HYPERLINK("https://www.lazada.vn/products/banh-gooka-cracker-rau-cu-hg-180g-i2924775353.html", "https://www.lazada.vn/products/banh-gooka-cracker-rau-cu-hg-180g-i2924775353.html")</f>
        <v>https://www.lazada.vn/products/banh-gooka-cracker-rau-cu-hg-180g-i2924775353.html</v>
      </c>
      <c r="C2002" s="10" t="s">
        <v>2002</v>
      </c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8">
        <v>6857.0</v>
      </c>
      <c r="B2003" s="9" t="str">
        <f>HYPERLINK("https://www.lazada.vn/products/si-thung-5kg-keo-thach-zaizai-duc-hanh-mau-moi-goi-dai-do-an-vat-i2576672521.html", "https://www.lazada.vn/products/si-thung-5kg-keo-thach-zaizai-duc-hanh-mau-moi-goi-dai-do-an-vat-i2576672521.html")</f>
        <v>https://www.lazada.vn/products/si-thung-5kg-keo-thach-zaizai-duc-hanh-mau-moi-goi-dai-do-an-vat-i2576672521.html</v>
      </c>
      <c r="C2003" s="10" t="s">
        <v>2003</v>
      </c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8">
        <v>6858.0</v>
      </c>
      <c r="B2004" s="9" t="str">
        <f>HYPERLINK("https://www.lazada.vn/products/ca-bong-song-da-hop-500-g-tphcm-i3052202782.html", "https://www.lazada.vn/products/ca-bong-song-da-hop-500-g-tphcm-i3052202782.html")</f>
        <v>https://www.lazada.vn/products/ca-bong-song-da-hop-500-g-tphcm-i3052202782.html</v>
      </c>
      <c r="C2004" s="10" t="s">
        <v>2004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8">
        <v>6859.0</v>
      </c>
      <c r="B2005" s="9" t="str">
        <f>HYPERLINK("https://www.lazada.vn/products/loc-6-lon-bo-huc-thai-hang-chuan-i2635571785.html", "https://www.lazada.vn/products/loc-6-lon-bo-huc-thai-hang-chuan-i2635571785.html")</f>
        <v>https://www.lazada.vn/products/loc-6-lon-bo-huc-thai-hang-chuan-i2635571785.html</v>
      </c>
      <c r="C2005" s="10" t="s">
        <v>2005</v>
      </c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8">
        <v>6860.0</v>
      </c>
      <c r="B2006" s="9" t="str">
        <f>HYPERLINK("https://www.lazada.vn/products/bia-333-pilsner-extra-smooth-lon-330ml-nong-do-con-43-i2796634577.html", "https://www.lazada.vn/products/bia-333-pilsner-extra-smooth-lon-330ml-nong-do-con-43-i2796634577.html")</f>
        <v>https://www.lazada.vn/products/bia-333-pilsner-extra-smooth-lon-330ml-nong-do-con-43-i2796634577.html</v>
      </c>
      <c r="C2006" s="10" t="s">
        <v>2006</v>
      </c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8">
        <v>6861.0</v>
      </c>
      <c r="B2007" s="9" t="str">
        <f>HYPERLINK("https://www.lazada.vn/products/the-fayshow-1-thung-bia-corny-khoa-khilong-ngat-ket-noi-cho-bia-nha-kieu-cornelius-i3009730558.html", "https://www.lazada.vn/products/the-fayshow-1-thung-bia-corny-khoa-khilong-ngat-ket-noi-cho-bia-nha-kieu-cornelius-i3009730558.html")</f>
        <v>https://www.lazada.vn/products/the-fayshow-1-thung-bia-corny-khoa-khilong-ngat-ket-noi-cho-bia-nha-kieu-cornelius-i3009730558.html</v>
      </c>
      <c r="C2007" s="10" t="s">
        <v>2007</v>
      </c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8">
        <v>6862.0</v>
      </c>
      <c r="B2008" s="9" t="str">
        <f>HYPERLINK("https://www.lazada.vn/products/bpdn-combo-10-goi-mi-tom-hao-hao-vi-chua-cay-bach-hoa-bach-phuc-da-nang-i2909203276.html", "https://www.lazada.vn/products/bpdn-combo-10-goi-mi-tom-hao-hao-vi-chua-cay-bach-hoa-bach-phuc-da-nang-i2909203276.html")</f>
        <v>https://www.lazada.vn/products/bpdn-combo-10-goi-mi-tom-hao-hao-vi-chua-cay-bach-hoa-bach-phuc-da-nang-i2909203276.html</v>
      </c>
      <c r="C2008" s="10" t="s">
        <v>2008</v>
      </c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8">
        <v>6863.0</v>
      </c>
      <c r="B2009" s="9" t="str">
        <f>HYPERLINK("https://www.lazada.vn/products/siro-torani-chiet-100ml-du-vi-test-mon-i2668832906.html", "https://www.lazada.vn/products/siro-torani-chiet-100ml-du-vi-test-mon-i2668832906.html")</f>
        <v>https://www.lazada.vn/products/siro-torani-chiet-100ml-du-vi-test-mon-i2668832906.html</v>
      </c>
      <c r="C2009" s="10" t="s">
        <v>2009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8">
        <v>6864.0</v>
      </c>
      <c r="B2010" s="9" t="str">
        <f>HYPERLINK("https://www.lazada.vn/products/combo-02-chai-ruou-vang-do-achentina-norton-barrel-select-merlot-hop-ruou-go-doi-i2732559464.html", "https://www.lazada.vn/products/combo-02-chai-ruou-vang-do-achentina-norton-barrel-select-merlot-hop-ruou-go-doi-i2732559464.html")</f>
        <v>https://www.lazada.vn/products/combo-02-chai-ruou-vang-do-achentina-norton-barrel-select-merlot-hop-ruou-go-doi-i2732559464.html</v>
      </c>
      <c r="C2010" s="10" t="s">
        <v>2010</v>
      </c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8">
        <v>6865.0</v>
      </c>
      <c r="B2011" s="9" t="str">
        <f>HYPERLINK("https://www.lazada.vn/products/combo-ruou-vang-do-phap-chateau-moulin-das-bordeaux-2018-hop-go-dung-ruou-don-i2732493735.html", "https://www.lazada.vn/products/combo-ruou-vang-do-phap-chateau-moulin-das-bordeaux-2018-hop-go-dung-ruou-don-i2732493735.html")</f>
        <v>https://www.lazada.vn/products/combo-ruou-vang-do-phap-chateau-moulin-das-bordeaux-2018-hop-go-dung-ruou-don-i2732493735.html</v>
      </c>
      <c r="C2011" s="10" t="s">
        <v>2011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8">
        <v>6866.0</v>
      </c>
      <c r="B2012" s="9" t="str">
        <f>HYPERLINK("https://www.lazada.vn/products/ca-phe-bot-trung-nguyen-s-500g-i2769334851.html", "https://www.lazada.vn/products/ca-phe-bot-trung-nguyen-s-500g-i2769334851.html")</f>
        <v>https://www.lazada.vn/products/ca-phe-bot-trung-nguyen-s-500g-i2769334851.html</v>
      </c>
      <c r="C2012" s="10" t="s">
        <v>2012</v>
      </c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8">
        <v>6867.0</v>
      </c>
      <c r="B2013" s="9" t="str">
        <f>HYPERLINK("https://www.lazada.vn/products/bot-qua-acai-berry-thuc-uong-ran-i2732334054.html", "https://www.lazada.vn/products/bot-qua-acai-berry-thuc-uong-ran-i2732334054.html")</f>
        <v>https://www.lazada.vn/products/bot-qua-acai-berry-thuc-uong-ran-i2732334054.html</v>
      </c>
      <c r="C2013" s="10" t="s">
        <v>2013</v>
      </c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8">
        <v>6868.0</v>
      </c>
      <c r="B2014" s="9" t="str">
        <f>HYPERLINK("https://www.lazada.vn/products/thom-ngon-socola-thanh-jinon-keo-thanh-socola-vi-matcha-dau-tay-hoa-hong-nguyen-vi-i2948585426.html", "https://www.lazada.vn/products/thom-ngon-socola-thanh-jinon-keo-thanh-socola-vi-matcha-dau-tay-hoa-hong-nguyen-vi-i2948585426.html")</f>
        <v>https://www.lazada.vn/products/thom-ngon-socola-thanh-jinon-keo-thanh-socola-vi-matcha-dau-tay-hoa-hong-nguyen-vi-i2948585426.html</v>
      </c>
      <c r="C2014" s="10" t="s">
        <v>2014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8">
        <v>6869.0</v>
      </c>
      <c r="B2015" s="9" t="str">
        <f>HYPERLINK("https://www.lazada.vn/products/banh-quy-kem-cream-o-sandwich-cookies-thanh-85gr-nhieu-vi-i2674635413.html", "https://www.lazada.vn/products/banh-quy-kem-cream-o-sandwich-cookies-thanh-85gr-nhieu-vi-i2674635413.html")</f>
        <v>https://www.lazada.vn/products/banh-quy-kem-cream-o-sandwich-cookies-thanh-85gr-nhieu-vi-i2674635413.html</v>
      </c>
      <c r="C2015" s="10" t="s">
        <v>2015</v>
      </c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8">
        <v>6870.0</v>
      </c>
      <c r="B2016" s="9" t="str">
        <f>HYPERLINK("https://www.lazada.vn/products/bot-ngu-coc-oc-cho-hanh-nhan-damtuh-900g-i2417260042.html", "https://www.lazada.vn/products/bot-ngu-coc-oc-cho-hanh-nhan-damtuh-900g-i2417260042.html")</f>
        <v>https://www.lazada.vn/products/bot-ngu-coc-oc-cho-hanh-nhan-damtuh-900g-i2417260042.html</v>
      </c>
      <c r="C2016" s="10" t="s">
        <v>2016</v>
      </c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8">
        <v>6871.0</v>
      </c>
      <c r="B2017" s="9" t="str">
        <f>HYPERLINK("https://www.lazada.vn/products/snack-dried-grapefruit-original-flavor-no-seed-additive-fruit-preserves-leisurely-enjoyment-from-fujian-yunxiao-specialty-i2923861332.html", "https://www.lazada.vn/products/snack-dried-grapefruit-original-flavor-no-seed-additive-fruit-preserves-leisurely-enjoyment-from-fujian-yunxiao-specialty-i2923861332.html")</f>
        <v>https://www.lazada.vn/products/snack-dried-grapefruit-original-flavor-no-seed-additive-fruit-preserves-leisurely-enjoyment-from-fujian-yunxiao-specialty-i2923861332.html</v>
      </c>
      <c r="C2017" s="10" t="s">
        <v>2017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8">
        <v>6872.0</v>
      </c>
      <c r="B2018" s="9" t="str">
        <f>HYPERLINK("https://www.lazada.vn/products/5-cai-banh-mi-ngan-lop-bo-sua-banh-mi-sandwich-ngan-lop-thom-ngon-i2766693018.html", "https://www.lazada.vn/products/5-cai-banh-mi-ngan-lop-bo-sua-banh-mi-sandwich-ngan-lop-thom-ngon-i2766693018.html")</f>
        <v>https://www.lazada.vn/products/5-cai-banh-mi-ngan-lop-bo-sua-banh-mi-sandwich-ngan-lop-thom-ngon-i2766693018.html</v>
      </c>
      <c r="C2018" s="10" t="s">
        <v>2018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8">
        <v>6873.0</v>
      </c>
      <c r="B2019" s="9" t="str">
        <f>HYPERLINK("https://www.lazada.vn/products/keo-mut-gung-ky-tu-huong-vi-ngot-nhe-cay-cay-vi-gung-deo-dai-thom-ngon-khong-dinh-rang-i2838552411.html", "https://www.lazada.vn/products/keo-mut-gung-ky-tu-huong-vi-ngot-nhe-cay-cay-vi-gung-deo-dai-thom-ngon-khong-dinh-rang-i2838552411.html")</f>
        <v>https://www.lazada.vn/products/keo-mut-gung-ky-tu-huong-vi-ngot-nhe-cay-cay-vi-gung-deo-dai-thom-ngon-khong-dinh-rang-i2838552411.html</v>
      </c>
      <c r="C2019" s="10" t="s">
        <v>2019</v>
      </c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8">
        <v>6874.0</v>
      </c>
      <c r="B2020" s="9" t="str">
        <f>HYPERLINK("https://www.lazada.vn/products/mu-tat-vang-golden-farm-250g-i2083032739.html", "https://www.lazada.vn/products/mu-tat-vang-golden-farm-250g-i2083032739.html")</f>
        <v>https://www.lazada.vn/products/mu-tat-vang-golden-farm-250g-i2083032739.html</v>
      </c>
      <c r="C2020" s="10" t="s">
        <v>2020</v>
      </c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8">
        <v>6875.0</v>
      </c>
      <c r="B2021" s="9" t="str">
        <f>HYPERLINK("https://www.lazada.vn/products/muc-rim-sa-te-lon-pet-ngot-ngot-man-man-an-la-nghien-hu-300g-i2080770206.html", "https://www.lazada.vn/products/muc-rim-sa-te-lon-pet-ngot-ngot-man-man-an-la-nghien-hu-300g-i2080770206.html")</f>
        <v>https://www.lazada.vn/products/muc-rim-sa-te-lon-pet-ngot-ngot-man-man-an-la-nghien-hu-300g-i2080770206.html</v>
      </c>
      <c r="C2021" s="10" t="s">
        <v>2021</v>
      </c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8">
        <v>6876.0</v>
      </c>
      <c r="B2022" s="9" t="str">
        <f>HYPERLINK("https://www.lazada.vn/products/1-lit-nuoc-cot-chanh-day-dam-dac-duong-phen-chins-dac-san-da-lat-i2837692593.html", "https://www.lazada.vn/products/1-lit-nuoc-cot-chanh-day-dam-dac-duong-phen-chins-dac-san-da-lat-i2837692593.html")</f>
        <v>https://www.lazada.vn/products/1-lit-nuoc-cot-chanh-day-dam-dac-duong-phen-chins-dac-san-da-lat-i2837692593.html</v>
      </c>
      <c r="C2022" s="10" t="s">
        <v>2022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8">
        <v>6877.0</v>
      </c>
      <c r="B2023" s="9" t="str">
        <f>HYPERLINK("https://www.lazada.vn/products/banh-cookie-ngu-coc-yen-mach-gach-do-300g-khong-bot-mi-giau-dinh-duong-tot-cho-suc-khoe-healthy-i2158081033.html", "https://www.lazada.vn/products/banh-cookie-ngu-coc-yen-mach-gach-do-300g-khong-bot-mi-giau-dinh-duong-tot-cho-suc-khoe-healthy-i2158081033.html")</f>
        <v>https://www.lazada.vn/products/banh-cookie-ngu-coc-yen-mach-gach-do-300g-khong-bot-mi-giau-dinh-duong-tot-cho-suc-khoe-healthy-i2158081033.html</v>
      </c>
      <c r="C2023" s="10" t="s">
        <v>2023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8">
        <v>6878.0</v>
      </c>
      <c r="B2024" s="9" t="str">
        <f>HYPERLINK("https://www.lazada.vn/products/thach-no-cu-nang-hong-mao-mao-hop-850gr-topping-anh-hong-dep-mat-cu-nang-gion-sun-suc-i2576289462.html", "https://www.lazada.vn/products/thach-no-cu-nang-hong-mao-mao-hop-850gr-topping-anh-hong-dep-mat-cu-nang-gion-sun-suc-i2576289462.html")</f>
        <v>https://www.lazada.vn/products/thach-no-cu-nang-hong-mao-mao-hop-850gr-topping-anh-hong-dep-mat-cu-nang-gion-sun-suc-i2576289462.html</v>
      </c>
      <c r="C2024" s="10" t="s">
        <v>2024</v>
      </c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8">
        <v>6879.0</v>
      </c>
      <c r="B2025" s="9" t="str">
        <f>HYPERLINK("https://www.lazada.vn/products/banh-gao-cuon-want-want-170g-bich10-cay-trung-muoi-rong-bien-pho-mai-bap-i2924418064.html", "https://www.lazada.vn/products/banh-gao-cuon-want-want-170g-bich10-cay-trung-muoi-rong-bien-pho-mai-bap-i2924418064.html")</f>
        <v>https://www.lazada.vn/products/banh-gao-cuon-want-want-170g-bich10-cay-trung-muoi-rong-bien-pho-mai-bap-i2924418064.html</v>
      </c>
      <c r="C2025" s="10" t="s">
        <v>2025</v>
      </c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8">
        <v>6880.0</v>
      </c>
      <c r="B2026" s="9" t="str">
        <f>HYPERLINK("https://www.lazada.vn/products/thung-30-goi-mi-tom-hao-hao-vi-chua-cay-bach-hoa-bach-phuc-da-nang-i2908991394.html", "https://www.lazada.vn/products/thung-30-goi-mi-tom-hao-hao-vi-chua-cay-bach-hoa-bach-phuc-da-nang-i2908991394.html")</f>
        <v>https://www.lazada.vn/products/thung-30-goi-mi-tom-hao-hao-vi-chua-cay-bach-hoa-bach-phuc-da-nang-i2908991394.html</v>
      </c>
      <c r="C2026" s="10" t="s">
        <v>2026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8">
        <v>6881.0</v>
      </c>
      <c r="B2027" s="9" t="str">
        <f>HYPERLINK("https://www.lazada.vn/products/uaifo-1-thung-bia-corny-khoa-khilong-ngat-ket-noi-cho-bia-nha-kieu-cornelius-i3009538817.html", "https://www.lazada.vn/products/uaifo-1-thung-bia-corny-khoa-khilong-ngat-ket-noi-cho-bia-nha-kieu-cornelius-i3009538817.html")</f>
        <v>https://www.lazada.vn/products/uaifo-1-thung-bia-corny-khoa-khilong-ngat-ket-noi-cho-bia-nha-kieu-cornelius-i3009538817.html</v>
      </c>
      <c r="C2027" s="10" t="s">
        <v>2027</v>
      </c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8">
        <v>6882.0</v>
      </c>
      <c r="B2028" s="9" t="str">
        <f>HYPERLINK("https://www.lazada.vn/products/bia-red-ruby-330ml-nong-do-con-47-i2796480852.html", "https://www.lazada.vn/products/bia-red-ruby-330ml-nong-do-con-47-i2796480852.html")</f>
        <v>https://www.lazada.vn/products/bia-red-ruby-330ml-nong-do-con-47-i2796480852.html</v>
      </c>
      <c r="C2028" s="10" t="s">
        <v>2028</v>
      </c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8">
        <v>6883.0</v>
      </c>
      <c r="B2029" s="9" t="str">
        <f>HYPERLINK("https://www.lazada.vn/products/ca-bong-song-da-hop-500gr-giao-tphcm-i3052199896.html", "https://www.lazada.vn/products/ca-bong-song-da-hop-500gr-giao-tphcm-i3052199896.html")</f>
        <v>https://www.lazada.vn/products/ca-bong-song-da-hop-500gr-giao-tphcm-i3052199896.html</v>
      </c>
      <c r="C2029" s="10" t="s">
        <v>2029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8">
        <v>6884.0</v>
      </c>
      <c r="B2030" s="9" t="str">
        <f>HYPERLINK("https://www.lazada.vn/products/syrup-freshy-nhieu-mui-vi-chai-710ml-gia-re-giao-hang-nhanh-i2668447124.html", "https://www.lazada.vn/products/syrup-freshy-nhieu-mui-vi-chai-710ml-gia-re-giao-hang-nhanh-i2668447124.html")</f>
        <v>https://www.lazada.vn/products/syrup-freshy-nhieu-mui-vi-chai-710ml-gia-re-giao-hang-nhanh-i2668447124.html</v>
      </c>
      <c r="C2030" s="10" t="s">
        <v>2030</v>
      </c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8">
        <v>6885.0</v>
      </c>
      <c r="B2031" s="9" t="str">
        <f>HYPERLINK("https://www.lazada.vn/products/vang-do-y-volta-vino-rosso-15-750ml-i2731488121.html", "https://www.lazada.vn/products/vang-do-y-volta-vino-rosso-15-750ml-i2731488121.html")</f>
        <v>https://www.lazada.vn/products/vang-do-y-volta-vino-rosso-15-750ml-i2731488121.html</v>
      </c>
      <c r="C2031" s="10" t="s">
        <v>2031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8">
        <v>6886.0</v>
      </c>
      <c r="B2032" s="9" t="str">
        <f>HYPERLINK("https://www.lazada.vn/products/banh-quy-yen-mach-oat-krunch-hop-156g-dau-tay-socola-i2674622148.html", "https://www.lazada.vn/products/banh-quy-yen-mach-oat-krunch-hop-156g-dau-tay-socola-i2674622148.html")</f>
        <v>https://www.lazada.vn/products/banh-quy-yen-mach-oat-krunch-hop-156g-dau-tay-socola-i2674622148.html</v>
      </c>
      <c r="C2032" s="10" t="s">
        <v>2032</v>
      </c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8">
        <v>6887.0</v>
      </c>
      <c r="B2033" s="9" t="str">
        <f>HYPERLINK("https://www.lazada.vn/products/bot-qua-acai-berry-trai-cay-va-rau-bot-soi-anthocyanin-bot-thay-the-bua-an-i2732191357.html", "https://www.lazada.vn/products/bot-qua-acai-berry-trai-cay-va-rau-bot-soi-anthocyanin-bot-thay-the-bua-an-i2732191357.html")</f>
        <v>https://www.lazada.vn/products/bot-qua-acai-berry-trai-cay-va-rau-bot-soi-anthocyanin-bot-thay-the-bua-an-i2732191357.html</v>
      </c>
      <c r="C2033" s="10" t="s">
        <v>2033</v>
      </c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8">
        <v>6888.0</v>
      </c>
      <c r="B2034" s="9" t="str">
        <f>HYPERLINK("https://www.lazada.vn/products/loc-6-lon-nuoc-tang-luc-warrior-sting-thai-i2627321058.html", "https://www.lazada.vn/products/loc-6-lon-nuoc-tang-luc-warrior-sting-thai-i2627321058.html")</f>
        <v>https://www.lazada.vn/products/loc-6-lon-nuoc-tang-luc-warrior-sting-thai-i2627321058.html</v>
      </c>
      <c r="C2034" s="10" t="s">
        <v>2034</v>
      </c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8">
        <v>6889.0</v>
      </c>
      <c r="B2035" s="9" t="str">
        <f>HYPERLINK("https://www.lazada.vn/products/bot-cacao-chocolate-nesquik-my-1275kg-my-mau-moi-i2415443151.html", "https://www.lazada.vn/products/bot-cacao-chocolate-nesquik-my-1275kg-my-mau-moi-i2415443151.html")</f>
        <v>https://www.lazada.vn/products/bot-cacao-chocolate-nesquik-my-1275kg-my-mau-moi-i2415443151.html</v>
      </c>
      <c r="C2035" s="10" t="s">
        <v>2035</v>
      </c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8">
        <v>6890.0</v>
      </c>
      <c r="B2036" s="9" t="str">
        <f>HYPERLINK("https://www.lazada.vn/products/kho-deo-dua-gion-nuong-acaronz-250g-dung-cu-an-nhe-kho-dua-dac-san-hainan-gion-tan-huong-thom-dung-cu-an-nhe-thuong-ngay-i2923856436.html", "https://www.lazada.vn/products/kho-deo-dua-gion-nuong-acaronz-250g-dung-cu-an-nhe-kho-dua-dac-san-hainan-gion-tan-huong-thom-dung-cu-an-nhe-thuong-ngay-i2923856436.html")</f>
        <v>https://www.lazada.vn/products/kho-deo-dua-gion-nuong-acaronz-250g-dung-cu-an-nhe-kho-dua-dac-san-hainan-gion-tan-huong-thom-dung-cu-an-nhe-thuong-ngay-i2923856436.html</v>
      </c>
      <c r="C2036" s="10" t="s">
        <v>2036</v>
      </c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8">
        <v>6891.0</v>
      </c>
      <c r="B2037" s="9" t="str">
        <f>HYPERLINK("https://www.lazada.vn/products/keo-thap-cam-sua-keo-thach-da-quy-dac-san-chins-da-lat-i2837860167.html", "https://www.lazada.vn/products/keo-thap-cam-sua-keo-thach-da-quy-dac-san-chins-da-lat-i2837860167.html")</f>
        <v>https://www.lazada.vn/products/keo-thap-cam-sua-keo-thach-da-quy-dac-san-chins-da-lat-i2837860167.html</v>
      </c>
      <c r="C2037" s="10" t="s">
        <v>2037</v>
      </c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8">
        <v>6892.0</v>
      </c>
      <c r="B2038" s="9" t="str">
        <f>HYPERLINK("https://www.lazada.vn/products/banh-gao-kirimochi-mochi-rice-cakes-banh-gao-nuong-nhat-ban-banh-day-nhat-ban-thenewlife0909-i2765899553.html", "https://www.lazada.vn/products/banh-gao-kirimochi-mochi-rice-cakes-banh-gao-nuong-nhat-ban-banh-day-nhat-ban-thenewlife0909-i2765899553.html")</f>
        <v>https://www.lazada.vn/products/banh-gao-kirimochi-mochi-rice-cakes-banh-gao-nuong-nhat-ban-banh-day-nhat-ban-thenewlife0909-i2765899553.html</v>
      </c>
      <c r="C2038" s="10" t="s">
        <v>2038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8">
        <v>6893.0</v>
      </c>
      <c r="B2039" s="9" t="str">
        <f>HYPERLINK("https://www.lazada.vn/products/an-vat-ngon-combo-10-thanh-socola-thanh-jinon-keo-thanh-socola-vi-matcha-dau-tay-hoa-hong-nguyen-vi-an-cuc-ngon-i2948559955.html", "https://www.lazada.vn/products/an-vat-ngon-combo-10-thanh-socola-thanh-jinon-keo-thanh-socola-vi-matcha-dau-tay-hoa-hong-nguyen-vi-an-cuc-ngon-i2948559955.html")</f>
        <v>https://www.lazada.vn/products/an-vat-ngon-combo-10-thanh-socola-thanh-jinon-keo-thanh-socola-vi-matcha-dau-tay-hoa-hong-nguyen-vi-an-cuc-ngon-i2948559955.html</v>
      </c>
      <c r="C2039" s="10" t="s">
        <v>2039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8">
        <v>6894.0</v>
      </c>
      <c r="B2040" s="9" t="str">
        <f>HYPERLINK("https://www.lazada.vn/products/combo-ruou-vang-do-phap-chateau-pithivier-bordeaux-2019-hop-go-don-i2731405083.html", "https://www.lazada.vn/products/combo-ruou-vang-do-phap-chateau-pithivier-bordeaux-2019-hop-go-don-i2731405083.html")</f>
        <v>https://www.lazada.vn/products/combo-ruou-vang-do-phap-chateau-pithivier-bordeaux-2019-hop-go-don-i2731405083.html</v>
      </c>
      <c r="C2040" s="10" t="s">
        <v>2040</v>
      </c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8">
        <v>6895.0</v>
      </c>
      <c r="B2041" s="9" t="str">
        <f>HYPERLINK("https://www.lazada.vn/products/combo-brownie-crackers-250gr-va-bicostti-cao-cap-250gr-thuong-hieu-gach-do-ho-tro-an-kieng-tien-loi-i2157755755.html", "https://www.lazada.vn/products/combo-brownie-crackers-250gr-va-bicostti-cao-cap-250gr-thuong-hieu-gach-do-ho-tro-an-kieng-tien-loi-i2157755755.html")</f>
        <v>https://www.lazada.vn/products/combo-brownie-crackers-250gr-va-bicostti-cao-cap-250gr-thuong-hieu-gach-do-ho-tro-an-kieng-tien-loi-i2157755755.html</v>
      </c>
      <c r="C2041" s="10" t="s">
        <v>2041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8">
        <v>6896.0</v>
      </c>
      <c r="B2042" s="9" t="str">
        <f>HYPERLINK("https://www.lazada.vn/products/bot-pha-s-lim-hop-60-goi-vi-cam-i2731678002.html", "https://www.lazada.vn/products/bot-pha-s-lim-hop-60-goi-vi-cam-i2731678002.html")</f>
        <v>https://www.lazada.vn/products/bot-pha-s-lim-hop-60-goi-vi-cam-i2731678002.html</v>
      </c>
      <c r="C2042" s="10" t="s">
        <v>2042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8">
        <v>6897.0</v>
      </c>
      <c r="B2043" s="9" t="str">
        <f>HYPERLINK("https://www.lazada.vn/products/strawberry-dried-fruit-snack-baking-material-dehydrated-candy-snowflake-crisp-100g-art-exhibition-brand-dry-fruit-i2923853175.html", "https://www.lazada.vn/products/strawberry-dried-fruit-snack-baking-material-dehydrated-candy-snowflake-crisp-100g-art-exhibition-brand-dry-fruit-i2923853175.html")</f>
        <v>https://www.lazada.vn/products/strawberry-dried-fruit-snack-baking-material-dehydrated-candy-snowflake-crisp-100g-art-exhibition-brand-dry-fruit-i2923853175.html</v>
      </c>
      <c r="C2043" s="10" t="s">
        <v>2043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8">
        <v>6898.0</v>
      </c>
      <c r="B2044" s="9" t="str">
        <f>HYPERLINK("https://www.lazada.vn/products/thanh-108gr-banh-quy-kep-2-lop-nhan-kem-magic-creams-nhieu-vi-i2674592161.html", "https://www.lazada.vn/products/thanh-108gr-banh-quy-kep-2-lop-nhan-kem-magic-creams-nhieu-vi-i2674592161.html")</f>
        <v>https://www.lazada.vn/products/thanh-108gr-banh-quy-kep-2-lop-nhan-kem-magic-creams-nhieu-vi-i2674592161.html</v>
      </c>
      <c r="C2044" s="10" t="s">
        <v>2044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8">
        <v>6899.0</v>
      </c>
      <c r="B2045" s="9" t="str">
        <f>HYPERLINK("https://www.lazada.vn/products/heinz-lon-big-soup-400g-sup-rau-cu-va-bo-uk-beef-vegetable-soup-i3052189581.html", "https://www.lazada.vn/products/heinz-lon-big-soup-400g-sup-rau-cu-va-bo-uk-beef-vegetable-soup-i3052189581.html")</f>
        <v>https://www.lazada.vn/products/heinz-lon-big-soup-400g-sup-rau-cu-va-bo-uk-beef-vegetable-soup-i3052189581.html</v>
      </c>
      <c r="C2045" s="10" t="s">
        <v>2045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8">
        <v>6900.0</v>
      </c>
      <c r="B2046" s="9" t="str">
        <f>HYPERLINK("https://www.lazada.vn/products/keo-sim-dao-ngoc-dac-san-phu-quoc-thom-ngon-deo-an-tot-cho-suc-khoe-i2834230431.html", "https://www.lazada.vn/products/keo-sim-dao-ngoc-dac-san-phu-quoc-thom-ngon-deo-an-tot-cho-suc-khoe-i2834230431.html")</f>
        <v>https://www.lazada.vn/products/keo-sim-dao-ngoc-dac-san-phu-quoc-thom-ngon-deo-an-tot-cho-suc-khoe-i2834230431.html</v>
      </c>
      <c r="C2046" s="10" t="s">
        <v>2046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8">
        <v>6901.0</v>
      </c>
      <c r="B2047" s="9" t="str">
        <f>HYPERLINK("https://www.lazada.vn/products/nuoc-cot-chanh-1-lit-noi-dia-thai-lan-i2835809617.html", "https://www.lazada.vn/products/nuoc-cot-chanh-1-lit-noi-dia-thai-lan-i2835809617.html")</f>
        <v>https://www.lazada.vn/products/nuoc-cot-chanh-1-lit-noi-dia-thai-lan-i2835809617.html</v>
      </c>
      <c r="C2047" s="10" t="s">
        <v>2047</v>
      </c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8">
        <v>6902.0</v>
      </c>
      <c r="B2048" s="9" t="str">
        <f>HYPERLINK("https://www.lazada.vn/products/mre-banh-bong-lan-ca-rot-kem-trang-quan-doi-my-i2763721746.html", "https://www.lazada.vn/products/mre-banh-bong-lan-ca-rot-kem-trang-quan-doi-my-i2763721746.html")</f>
        <v>https://www.lazada.vn/products/mre-banh-bong-lan-ca-rot-kem-trang-quan-doi-my-i2763721746.html</v>
      </c>
      <c r="C2048" s="10" t="s">
        <v>2048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8">
        <v>6903.0</v>
      </c>
      <c r="B2049" s="9" t="str">
        <f>HYPERLINK("https://www.lazada.vn/products/tui-zip-250g-keo-socola-hanh-nhan-nga-kpokaht-i2948393145.html", "https://www.lazada.vn/products/tui-zip-250g-keo-socola-hanh-nhan-nga-kpokaht-i2948393145.html")</f>
        <v>https://www.lazada.vn/products/tui-zip-250g-keo-socola-hanh-nhan-nga-kpokaht-i2948393145.html</v>
      </c>
      <c r="C2049" s="10" t="s">
        <v>2049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8">
        <v>6904.0</v>
      </c>
      <c r="B2050" s="9" t="str">
        <f>HYPERLINK("https://www.lazada.vn/products/bia-thu-cong-rooster-beers-4-lon-pale-va-ipa-mix-x-330ml-i2763086587.html", "https://www.lazada.vn/products/bia-thu-cong-rooster-beers-4-lon-pale-va-ipa-mix-x-330ml-i2763086587.html")</f>
        <v>https://www.lazada.vn/products/bia-thu-cong-rooster-beers-4-lon-pale-va-ipa-mix-x-330ml-i2763086587.html</v>
      </c>
      <c r="C2050" s="10" t="s">
        <v>2050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8">
        <v>6905.0</v>
      </c>
      <c r="B2051" s="9" t="str">
        <f>HYPERLINK("https://www.lazada.vn/products/nac-dam-heo-tuoi-cat-san-1kg-tphcm-i3052154919.html", "https://www.lazada.vn/products/nac-dam-heo-tuoi-cat-san-1kg-tphcm-i3052154919.html")</f>
        <v>https://www.lazada.vn/products/nac-dam-heo-tuoi-cat-san-1kg-tphcm-i3052154919.html</v>
      </c>
      <c r="C2051" s="10" t="s">
        <v>2051</v>
      </c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8">
        <v>6906.0</v>
      </c>
      <c r="B2052" s="9" t="str">
        <f>HYPERLINK("https://www.lazada.vn/products/keo-sim-phu-quoc-goi-110g-dac-san-phu-quoc-thom-ngon-i2834168532.html", "https://www.lazada.vn/products/keo-sim-phu-quoc-goi-110g-dac-san-phu-quoc-thom-ngon-i2834168532.html")</f>
        <v>https://www.lazada.vn/products/keo-sim-phu-quoc-goi-110g-dac-san-phu-quoc-thom-ngon-i2834168532.html</v>
      </c>
      <c r="C2052" s="10" t="s">
        <v>2052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8">
        <v>6907.0</v>
      </c>
      <c r="B2053" s="9" t="str">
        <f>HYPERLINK("https://www.lazada.vn/products/keo-sap-ong-nhan-trai-cay-mix-nhieu-vi-banmefood-i2826159934.html", "https://www.lazada.vn/products/keo-sap-ong-nhan-trai-cay-mix-nhieu-vi-banmefood-i2826159934.html")</f>
        <v>https://www.lazada.vn/products/keo-sap-ong-nhan-trai-cay-mix-nhieu-vi-banmefood-i2826159934.html</v>
      </c>
      <c r="C2053" s="10" t="s">
        <v>2053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8">
        <v>6908.0</v>
      </c>
      <c r="B2054" s="9" t="str">
        <f>HYPERLINK("https://www.lazada.vn/products/keo-sap-nhan-trai-cay-mix-vi-tui-500g-keo-sap-ong-nhan-siro-chay-thom-lung-an-vat-ruvask-i2823357647.html", "https://www.lazada.vn/products/keo-sap-nhan-trai-cay-mix-vi-tui-500g-keo-sap-ong-nhan-siro-chay-thom-lung-an-vat-ruvask-i2823357647.html")</f>
        <v>https://www.lazada.vn/products/keo-sap-nhan-trai-cay-mix-vi-tui-500g-keo-sap-ong-nhan-siro-chay-thom-lung-an-vat-ruvask-i2823357647.html</v>
      </c>
      <c r="C2054" s="10" t="s">
        <v>2054</v>
      </c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8">
        <v>6909.0</v>
      </c>
      <c r="B2055" s="9" t="str">
        <f>HYPERLINK("https://www.lazada.vn/products/keo-sua-non-lac-da-thom-ngon-beo-it-ngot-noi-dia-trung-goi-158gr-34-35-vien-i2822660247.html", "https://www.lazada.vn/products/keo-sua-non-lac-da-thom-ngon-beo-it-ngot-noi-dia-trung-goi-158gr-34-35-vien-i2822660247.html")</f>
        <v>https://www.lazada.vn/products/keo-sua-non-lac-da-thom-ngon-beo-it-ngot-noi-dia-trung-goi-158gr-34-35-vien-i2822660247.html</v>
      </c>
      <c r="C2055" s="10" t="s">
        <v>2055</v>
      </c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8">
        <v>6910.0</v>
      </c>
      <c r="B2056" s="9" t="str">
        <f>HYPERLINK("https://www.lazada.vn/products/banh-gai-bo-sua-500g-i-multifood-i2671633893.html", "https://www.lazada.vn/products/banh-gai-bo-sua-500g-i-multifood-i2671633893.html")</f>
        <v>https://www.lazada.vn/products/banh-gai-bo-sua-500g-i-multifood-i2671633893.html</v>
      </c>
      <c r="C2056" s="10" t="s">
        <v>2056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8">
        <v>6911.0</v>
      </c>
      <c r="B2057" s="9" t="str">
        <f>HYPERLINK("https://www.lazada.vn/products/snack-dried-fruit-apple-kiwi-papaya-longan-no-added-children-pregnant-women-leisure-dry-fruit-snack-healthy-dried-fruit-i2923850325.html", "https://www.lazada.vn/products/snack-dried-fruit-apple-kiwi-papaya-longan-no-added-children-pregnant-women-leisure-dry-fruit-snack-healthy-dried-fruit-i2923850325.html")</f>
        <v>https://www.lazada.vn/products/snack-dried-fruit-apple-kiwi-papaya-longan-no-added-children-pregnant-women-leisure-dry-fruit-snack-healthy-dried-fruit-i2923850325.html</v>
      </c>
      <c r="C2057" s="10" t="s">
        <v>2057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8">
        <v>6912.0</v>
      </c>
      <c r="B2058" s="9" t="str">
        <f>HYPERLINK("https://www.lazada.vn/products/banh-quy-bo-anh-farm-house-biscuits-selection-hop-thiec-228g-va-378g-i2924131110.html", "https://www.lazada.vn/products/banh-quy-bo-anh-farm-house-biscuits-selection-hop-thiec-228g-va-378g-i2924131110.html")</f>
        <v>https://www.lazada.vn/products/banh-quy-bo-anh-farm-house-biscuits-selection-hop-thiec-228g-va-378g-i2924131110.html</v>
      </c>
      <c r="C2058" s="10" t="s">
        <v>2058</v>
      </c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8">
        <v>6913.0</v>
      </c>
      <c r="B2059" s="9" t="str">
        <f>HYPERLINK("https://www.lazada.vn/products/chi-giao-hoa-toc-ho-chi-minh-tang-luc-rong-do-thung-48-ly-vinhmart-i2626280029.html", "https://www.lazada.vn/products/chi-giao-hoa-toc-ho-chi-minh-tang-luc-rong-do-thung-48-ly-vinhmart-i2626280029.html")</f>
        <v>https://www.lazada.vn/products/chi-giao-hoa-toc-ho-chi-minh-tang-luc-rong-do-thung-48-ly-vinhmart-i2626280029.html</v>
      </c>
      <c r="C2059" s="10" t="s">
        <v>2059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8">
        <v>6914.0</v>
      </c>
      <c r="B2060" s="9" t="str">
        <f>HYPERLINK("https://www.lazada.vn/products/combo-3-hop-bot-dau-nanh-rang-xay-gia-re-1-hop-500g-i2414819533.html", "https://www.lazada.vn/products/combo-3-hop-bot-dau-nanh-rang-xay-gia-re-1-hop-500g-i2414819533.html")</f>
        <v>https://www.lazada.vn/products/combo-3-hop-bot-dau-nanh-rang-xay-gia-re-1-hop-500g-i2414819533.html</v>
      </c>
      <c r="C2060" s="10" t="s">
        <v>2060</v>
      </c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8">
        <v>6915.0</v>
      </c>
      <c r="B2061" s="9" t="str">
        <f>HYPERLINK("https://www.lazada.vn/products/mien-mang-vit-vifon-goi-58g-i2905759070.html", "https://www.lazada.vn/products/mien-mang-vit-vifon-goi-58g-i2905759070.html")</f>
        <v>https://www.lazada.vn/products/mien-mang-vit-vifon-goi-58g-i2905759070.html</v>
      </c>
      <c r="C2061" s="10" t="s">
        <v>2061</v>
      </c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8">
        <v>6916.0</v>
      </c>
      <c r="B2062" s="9" t="str">
        <f>HYPERLINK("https://www.lazada.vn/products/combo-banh-va-sua-banh-mi-tuoi-bao-ngoc-mix-sua-tiet-trung-ba-vi-kaka-day-du-dinh-duong-cho-ca-gia-dinh-i2757633468.html", "https://www.lazada.vn/products/combo-banh-va-sua-banh-mi-tuoi-bao-ngoc-mix-sua-tiet-trung-ba-vi-kaka-day-du-dinh-duong-cho-ca-gia-dinh-i2757633468.html")</f>
        <v>https://www.lazada.vn/products/combo-banh-va-sua-banh-mi-tuoi-bao-ngoc-mix-sua-tiet-trung-ba-vi-kaka-day-du-dinh-duong-cho-ca-gia-dinh-i2757633468.html</v>
      </c>
      <c r="C2062" s="10" t="s">
        <v>2062</v>
      </c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8">
        <v>6917.0</v>
      </c>
      <c r="B2063" s="9" t="str">
        <f>HYPERLINK("https://www.lazada.vn/products/keo-socola-den-dang-lau-dai-babaevsky-200g-voi-hat-phi-i2947256952.html", "https://www.lazada.vn/products/keo-socola-den-dang-lau-dai-babaevsky-200g-voi-hat-phi-i2947256952.html")</f>
        <v>https://www.lazada.vn/products/keo-socola-den-dang-lau-dai-babaevsky-200g-voi-hat-phi-i2947256952.html</v>
      </c>
      <c r="C2063" s="10" t="s">
        <v>2063</v>
      </c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8">
        <v>6918.0</v>
      </c>
      <c r="B2064" s="9" t="str">
        <f>HYPERLINK("https://www.lazada.vn/products/riu-ngo-bao-tu-men-la-ha-giang-ha-tho-1l-cao-nguyen-ha-giang-i2730172439.html", "https://www.lazada.vn/products/riu-ngo-bao-tu-men-la-ha-giang-ha-tho-1l-cao-nguyen-ha-giang-i2730172439.html")</f>
        <v>https://www.lazada.vn/products/riu-ngo-bao-tu-men-la-ha-giang-ha-tho-1l-cao-nguyen-ha-giang-i2730172439.html</v>
      </c>
      <c r="C2064" s="10" t="s">
        <v>2064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8">
        <v>6919.0</v>
      </c>
      <c r="B2065" s="9" t="str">
        <f>HYPERLINK("https://www.lazada.vn/products/heinz-lon-big-soup-400g-sup-rau-cu-va-bo-anh-quoc-beef-vegetable-soup-i3052144964.html", "https://www.lazada.vn/products/heinz-lon-big-soup-400g-sup-rau-cu-va-bo-anh-quoc-beef-vegetable-soup-i3052144964.html")</f>
        <v>https://www.lazada.vn/products/heinz-lon-big-soup-400g-sup-rau-cu-va-bo-anh-quoc-beef-vegetable-soup-i3052144964.html</v>
      </c>
      <c r="C2065" s="10" t="s">
        <v>2065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8">
        <v>6920.0</v>
      </c>
      <c r="B2066" s="9" t="str">
        <f>HYPERLINK("https://www.lazada.vn/products/taro-chips-sea-salt-crispy-sour-orange-flavor-original-cut-thin-slices-office-snacks-instant-taro-chips-from-mainland-china-i2923847440.html", "https://www.lazada.vn/products/taro-chips-sea-salt-crispy-sour-orange-flavor-original-cut-thin-slices-office-snacks-instant-taro-chips-from-mainland-china-i2923847440.html")</f>
        <v>https://www.lazada.vn/products/taro-chips-sea-salt-crispy-sour-orange-flavor-original-cut-thin-slices-office-snacks-instant-taro-chips-from-mainland-china-i2923847440.html</v>
      </c>
      <c r="C2066" s="10" t="s">
        <v>2066</v>
      </c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8">
        <v>6921.0</v>
      </c>
      <c r="B2067" s="9" t="str">
        <f>HYPERLINK("https://www.lazada.vn/products/hu-tieu-suon-heo-vifon-goi-65g-i2905691402.html", "https://www.lazada.vn/products/hu-tieu-suon-heo-vifon-goi-65g-i2905691402.html")</f>
        <v>https://www.lazada.vn/products/hu-tieu-suon-heo-vifon-goi-65g-i2905691402.html</v>
      </c>
      <c r="C2067" s="10" t="s">
        <v>2067</v>
      </c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8">
        <v>6922.0</v>
      </c>
      <c r="B2068" s="9" t="str">
        <f>HYPERLINK("https://www.lazada.vn/products/banh-trang-xep-cot-dua-banh-trang-giay-tuoi-tho-gion-rum-thom-beo-ngon-do-an-vat-dac-san-mien-tay-i2669385041.html", "https://www.lazada.vn/products/banh-trang-xep-cot-dua-banh-trang-giay-tuoi-tho-gion-rum-thom-beo-ngon-do-an-vat-dac-san-mien-tay-i2669385041.html")</f>
        <v>https://www.lazada.vn/products/banh-trang-xep-cot-dua-banh-trang-giay-tuoi-tho-gion-rum-thom-beo-ngon-do-an-vat-dac-san-mien-tay-i2669385041.html</v>
      </c>
      <c r="C2068" s="10" t="s">
        <v>2068</v>
      </c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8">
        <v>6923.0</v>
      </c>
      <c r="B2069" s="9" t="str">
        <f>HYPERLINK("https://www.lazada.vn/products/da-me-thanh-binh-hop-giay-900g-18-goi-x-50g-i2833867004.html", "https://www.lazada.vn/products/da-me-thanh-binh-hop-giay-900g-18-goi-x-50g-i2833867004.html")</f>
        <v>https://www.lazada.vn/products/da-me-thanh-binh-hop-giay-900g-18-goi-x-50g-i2833867004.html</v>
      </c>
      <c r="C2069" s="10" t="s">
        <v>2069</v>
      </c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8">
        <v>6924.0</v>
      </c>
      <c r="B2070" s="9" t="str">
        <f>HYPERLINK("https://www.lazada.vn/products/thit-thuan-chay-tu-dau-ha-lan-huu-co-protein-plant-dragon-superfoods-an-chay-an-kieng-an-thuc-duong-bio-garden-i3052096931.html", "https://www.lazada.vn/products/thit-thuan-chay-tu-dau-ha-lan-huu-co-protein-plant-dragon-superfoods-an-chay-an-kieng-an-thuc-duong-bio-garden-i3052096931.html")</f>
        <v>https://www.lazada.vn/products/thit-thuan-chay-tu-dau-ha-lan-huu-co-protein-plant-dragon-superfoods-an-chay-an-kieng-an-thuc-duong-bio-garden-i3052096931.html</v>
      </c>
      <c r="C2070" s="10" t="s">
        <v>2070</v>
      </c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8">
        <v>6925.0</v>
      </c>
      <c r="B2071" s="9" t="str">
        <f>HYPERLINK("https://www.lazada.vn/products/bo-suu-tap-trai-cay-dong-kho-yabu-one-village-yogurt-blocks-dried-strawberry-probiotic-cheese-baby-snacks-san-pham-dac-biet-i2923842409.html", "https://www.lazada.vn/products/bo-suu-tap-trai-cay-dong-kho-yabu-one-village-yogurt-blocks-dried-strawberry-probiotic-cheese-baby-snacks-san-pham-dac-biet-i2923842409.html")</f>
        <v>https://www.lazada.vn/products/bo-suu-tap-trai-cay-dong-kho-yabu-one-village-yogurt-blocks-dried-strawberry-probiotic-cheese-baby-snacks-san-pham-dac-biet-i2923842409.html</v>
      </c>
      <c r="C2071" s="10" t="s">
        <v>2071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8">
        <v>6926.0</v>
      </c>
      <c r="B2072" s="9" t="str">
        <f>HYPERLINK("https://www.lazada.vn/products/chao-ca-vifon-goi-50g-i2905615961.html", "https://www.lazada.vn/products/chao-ca-vifon-goi-50g-i2905615961.html")</f>
        <v>https://www.lazada.vn/products/chao-ca-vifon-goi-50g-i2905615961.html</v>
      </c>
      <c r="C2072" s="10" t="s">
        <v>2072</v>
      </c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8">
        <v>6927.0</v>
      </c>
      <c r="B2073" s="9" t="str">
        <f>HYPERLINK("https://www.lazada.vn/products/banh-ga-xe-thai-lan-md-an-sang-an-vat-i2668543458.html", "https://www.lazada.vn/products/banh-ga-xe-thai-lan-md-an-sang-an-vat-i2668543458.html")</f>
        <v>https://www.lazada.vn/products/banh-ga-xe-thai-lan-md-an-sang-an-vat-i2668543458.html</v>
      </c>
      <c r="C2073" s="10" t="s">
        <v>2073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8">
        <v>6928.0</v>
      </c>
      <c r="B2074" s="9" t="str">
        <f>HYPERLINK("https://www.lazada.vn/products/tac-xi-muoi-thanh-binh-900g-i2831926292.html", "https://www.lazada.vn/products/tac-xi-muoi-thanh-binh-900g-i2831926292.html")</f>
        <v>https://www.lazada.vn/products/tac-xi-muoi-thanh-binh-900g-i2831926292.html</v>
      </c>
      <c r="C2074" s="10" t="s">
        <v>2074</v>
      </c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8">
        <v>6929.0</v>
      </c>
      <c r="B2075" s="9" t="str">
        <f>HYPERLINK("https://www.lazada.vn/products/lap-xuong-tuoi-dac-san-cai-lay-nieu-nac-it-mo-i3052027601.html", "https://www.lazada.vn/products/lap-xuong-tuoi-dac-san-cai-lay-nieu-nac-it-mo-i3052027601.html")</f>
        <v>https://www.lazada.vn/products/lap-xuong-tuoi-dac-san-cai-lay-nieu-nac-it-mo-i3052027601.html</v>
      </c>
      <c r="C2075" s="10" t="s">
        <v>2075</v>
      </c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8">
        <v>6930.0</v>
      </c>
      <c r="B2076" s="9" t="str">
        <f>HYPERLINK("https://www.lazada.vn/products/combo-3-goi-mi-soi-tuoi-vat-tron-yon-yon-_-huong-xua-_-mikko-1-goi150gr-i2905277682.html", "https://www.lazada.vn/products/combo-3-goi-mi-soi-tuoi-vat-tron-yon-yon-_-huong-xua-_-mikko-1-goi150gr-i2905277682.html")</f>
        <v>https://www.lazada.vn/products/combo-3-goi-mi-soi-tuoi-vat-tron-yon-yon-_-huong-xua-_-mikko-1-goi150gr-i2905277682.html</v>
      </c>
      <c r="C2076" s="10" t="s">
        <v>2076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8">
        <v>6931.0</v>
      </c>
      <c r="B2077" s="9" t="str">
        <f>HYPERLINK("https://www.lazada.vn/products/sunshine-fresh-language-frozen-dried-peking-duck-office-healthy-sharing-pack-snacks-frozen-dried-kate-mango-fruit-without-additives-i2923839217.html", "https://www.lazada.vn/products/sunshine-fresh-language-frozen-dried-peking-duck-office-healthy-sharing-pack-snacks-frozen-dried-kate-mango-fruit-without-additives-i2923839217.html")</f>
        <v>https://www.lazada.vn/products/sunshine-fresh-language-frozen-dried-peking-duck-office-healthy-sharing-pack-snacks-frozen-dried-kate-mango-fruit-without-additives-i2923839217.html</v>
      </c>
      <c r="C2077" s="10" t="s">
        <v>2077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8">
        <v>6932.0</v>
      </c>
      <c r="B2078" s="9" t="str">
        <f>HYPERLINK("https://www.lazada.vn/products/sieu-cay-banh-trang-nuong-mam-ruoc-da-lat-250g-do-an-vat-nha-na-loai-vua-i2665882180.html", "https://www.lazada.vn/products/sieu-cay-banh-trang-nuong-mam-ruoc-da-lat-250g-do-an-vat-nha-na-loai-vua-i2665882180.html")</f>
        <v>https://www.lazada.vn/products/sieu-cay-banh-trang-nuong-mam-ruoc-da-lat-250g-do-an-vat-nha-na-loai-vua-i2665882180.html</v>
      </c>
      <c r="C2078" s="10" t="s">
        <v>2078</v>
      </c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8">
        <v>6933.0</v>
      </c>
      <c r="B2079" s="9" t="str">
        <f>HYPERLINK("https://www.lazada.vn/products/thung-6-chai-nuoc-trai-cay-len-men-vi-tao-sal-cocktail-cocktail-trai-cay-vi-tao-chai-265ml-i2830381799.html", "https://www.lazada.vn/products/thung-6-chai-nuoc-trai-cay-len-men-vi-tao-sal-cocktail-cocktail-trai-cay-vi-tao-chai-265ml-i2830381799.html")</f>
        <v>https://www.lazada.vn/products/thung-6-chai-nuoc-trai-cay-len-men-vi-tao-sal-cocktail-cocktail-trai-cay-vi-tao-chai-265ml-i2830381799.html</v>
      </c>
      <c r="C2079" s="10" t="s">
        <v>2079</v>
      </c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8">
        <v>6934.0</v>
      </c>
      <c r="B2080" s="9" t="str">
        <f>HYPERLINK("https://www.lazada.vn/products/ca-vien-hong-ha-tui-1kg-giao-hcm-i3051890384.html", "https://www.lazada.vn/products/ca-vien-hong-ha-tui-1kg-giao-hcm-i3051890384.html")</f>
        <v>https://www.lazada.vn/products/ca-vien-hong-ha-tui-1kg-giao-hcm-i3051890384.html</v>
      </c>
      <c r="C2080" s="10" t="s">
        <v>2080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8">
        <v>6935.0</v>
      </c>
      <c r="B2081" s="9" t="str">
        <f>HYPERLINK("https://www.lazada.vn/products/mi-y-spaghetti-regina-400g-nhap-khau-chinh-hang-soi-tron-thom-ngon-deo-dai-de-dang-che-bien-i2903043260.html", "https://www.lazada.vn/products/mi-y-spaghetti-regina-400g-nhap-khau-chinh-hang-soi-tron-thom-ngon-deo-dai-de-dang-che-bien-i2903043260.html")</f>
        <v>https://www.lazada.vn/products/mi-y-spaghetti-regina-400g-nhap-khau-chinh-hang-soi-tron-thom-ngon-deo-dai-de-dang-che-bien-i2903043260.html</v>
      </c>
      <c r="C2081" s="10" t="s">
        <v>2081</v>
      </c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8">
        <v>6936.0</v>
      </c>
      <c r="B2082" s="9" t="str">
        <f>HYPERLINK("https://www.lazada.vn/products/strawberry-dried-fruit-snack-100g-sweet-and-sour-baked-freeze-dried-large-bag-healthy-dry-fruit-treats-from-china-i2923835067.html", "https://www.lazada.vn/products/strawberry-dried-fruit-snack-100g-sweet-and-sour-baked-freeze-dried-large-bag-healthy-dry-fruit-treats-from-china-i2923835067.html")</f>
        <v>https://www.lazada.vn/products/strawberry-dried-fruit-snack-100g-sweet-and-sour-baked-freeze-dried-large-bag-healthy-dry-fruit-treats-from-china-i2923835067.html</v>
      </c>
      <c r="C2082" s="10" t="s">
        <v>2082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8">
        <v>6937.0</v>
      </c>
      <c r="B2083" s="9" t="str">
        <f>HYPERLINK("https://www.lazada.vn/products/ban-si-snack-meo-yeu-ca-hang-dai-bich-30-goi-thom-cay-hap-dan-do-an-vat-cong-truong-hot-nhat-i2665789020.html", "https://www.lazada.vn/products/ban-si-snack-meo-yeu-ca-hang-dai-bich-30-goi-thom-cay-hap-dan-do-an-vat-cong-truong-hot-nhat-i2665789020.html")</f>
        <v>https://www.lazada.vn/products/ban-si-snack-meo-yeu-ca-hang-dai-bich-30-goi-thom-cay-hap-dan-do-an-vat-cong-truong-hot-nhat-i2665789020.html</v>
      </c>
      <c r="C2083" s="10" t="s">
        <v>2083</v>
      </c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8">
        <v>6938.0</v>
      </c>
      <c r="B2084" s="9" t="str">
        <f>HYPERLINK("https://www.lazada.vn/products/thung-6-chai-nuoc-trai-cay-len-men-6-vi-sal-cocktail-cocktail-trai-cay-6-vi-tuoi-moi-chai-265ml-i2830329308.html", "https://www.lazada.vn/products/thung-6-chai-nuoc-trai-cay-len-men-6-vi-sal-cocktail-cocktail-trai-cay-6-vi-tuoi-moi-chai-265ml-i2830329308.html")</f>
        <v>https://www.lazada.vn/products/thung-6-chai-nuoc-trai-cay-len-men-6-vi-sal-cocktail-cocktail-trai-cay-6-vi-tuoi-moi-chai-265ml-i2830329308.html</v>
      </c>
      <c r="C2084" s="10" t="s">
        <v>2084</v>
      </c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8">
        <v>6939.0</v>
      </c>
      <c r="B2085" s="9" t="str">
        <f>HYPERLINK("https://www.lazada.vn/products/salted-bamboo-leaf-persimmon-dried-fruit-original-flavor-no-added-no-nucleus-cough-suppressing-snack-health-food-supplement-i2923833031.html", "https://www.lazada.vn/products/salted-bamboo-leaf-persimmon-dried-fruit-original-flavor-no-added-no-nucleus-cough-suppressing-snack-health-food-supplement-i2923833031.html")</f>
        <v>https://www.lazada.vn/products/salted-bamboo-leaf-persimmon-dried-fruit-original-flavor-no-added-no-nucleus-cough-suppressing-snack-health-food-supplement-i2923833031.html</v>
      </c>
      <c r="C2085" s="10" t="s">
        <v>2085</v>
      </c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8">
        <v>6940.0</v>
      </c>
      <c r="B2086" s="9" t="str">
        <f>HYPERLINK("https://www.lazada.vn/products/loc-10-goi-mi-mama-vi-tomyum-thai-lan-i2901414583.html", "https://www.lazada.vn/products/loc-10-goi-mi-mama-vi-tomyum-thai-lan-i2901414583.html")</f>
        <v>https://www.lazada.vn/products/loc-10-goi-mi-mama-vi-tomyum-thai-lan-i2901414583.html</v>
      </c>
      <c r="C2086" s="10" t="s">
        <v>2086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8">
        <v>6941.0</v>
      </c>
      <c r="B2087" s="9" t="str">
        <f>HYPERLINK("https://www.lazada.vn/products/1kg-banh-trang-ria-phoi-suong-duoc-tang-100g-muoi-nhuyen-sac-tay-ninh-i2664461560.html", "https://www.lazada.vn/products/1kg-banh-trang-ria-phoi-suong-duoc-tang-100g-muoi-nhuyen-sac-tay-ninh-i2664461560.html")</f>
        <v>https://www.lazada.vn/products/1kg-banh-trang-ria-phoi-suong-duoc-tang-100g-muoi-nhuyen-sac-tay-ninh-i2664461560.html</v>
      </c>
      <c r="C2087" s="10" t="s">
        <v>2087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8">
        <v>6942.0</v>
      </c>
      <c r="B2088" s="9" t="str">
        <f>HYPERLINK("https://www.lazada.vn/products/snack-dried-fruit-dragon-fruit-30g3-bags-fresh-office-leisure-dry-jelly-heart-dragon-fruit-snack-dried-fruit-i2923830438.html", "https://www.lazada.vn/products/snack-dried-fruit-dragon-fruit-30g3-bags-fresh-office-leisure-dry-jelly-heart-dragon-fruit-snack-dried-fruit-i2923830438.html")</f>
        <v>https://www.lazada.vn/products/snack-dried-fruit-dragon-fruit-30g3-bags-fresh-office-leisure-dry-jelly-heart-dragon-fruit-snack-dried-fruit-i2923830438.html</v>
      </c>
      <c r="C2088" s="10" t="s">
        <v>2088</v>
      </c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8">
        <v>6943.0</v>
      </c>
      <c r="B2089" s="9" t="str">
        <f>HYPERLINK("https://www.lazada.vn/products/chao-tuoi-sgf-to-yen-thit-than-bi-do-240g-i2900949174.html", "https://www.lazada.vn/products/chao-tuoi-sgf-to-yen-thit-than-bi-do-240g-i2900949174.html")</f>
        <v>https://www.lazada.vn/products/chao-tuoi-sgf-to-yen-thit-than-bi-do-240g-i2900949174.html</v>
      </c>
      <c r="C2089" s="10" t="s">
        <v>2089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8">
        <v>6944.0</v>
      </c>
      <c r="B2090" s="9" t="str">
        <f>HYPERLINK("https://www.lazada.vn/products/gendings-1-thung-bia-corny-khoa-khilong-ngat-ket-noi-cho-bia-nha-kieu-cornelius-i3008271420.html", "https://www.lazada.vn/products/gendings-1-thung-bia-corny-khoa-khilong-ngat-ket-noi-cho-bia-nha-kieu-cornelius-i3008271420.html")</f>
        <v>https://www.lazada.vn/products/gendings-1-thung-bia-corny-khoa-khilong-ngat-ket-noi-cho-bia-nha-kieu-cornelius-i3008271420.html</v>
      </c>
      <c r="C2090" s="10" t="s">
        <v>2090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8">
        <v>6945.0</v>
      </c>
      <c r="B2091" s="9" t="str">
        <f>HYPERLINK("https://www.lazada.vn/products/ban-si-snack-suon-de-banh-mieng-cay-cay-hang-dai-bich-60-goi-thom-ngon-do-an-vat-cong-truong-hot-nhat-i2661143270.html", "https://www.lazada.vn/products/ban-si-snack-suon-de-banh-mieng-cay-cay-hang-dai-bich-60-goi-thom-ngon-do-an-vat-cong-truong-hot-nhat-i2661143270.html")</f>
        <v>https://www.lazada.vn/products/ban-si-snack-suon-de-banh-mieng-cay-cay-hang-dai-bich-60-goi-thom-ngon-do-an-vat-cong-truong-hot-nhat-i2661143270.html</v>
      </c>
      <c r="C2091" s="10" t="s">
        <v>2091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8">
        <v>6946.0</v>
      </c>
      <c r="B2092" s="9" t="str">
        <f>HYPERLINK("https://www.lazada.vn/products/dinh-duong-giam-beo-thuc-pham-kho-rau-cu-qua-hon-hop-thuc-pham-thay-the-sang-ngay-thuc-pham-kho-trai-cay-va-sua-dong-lanh-i2923829215.html", "https://www.lazada.vn/products/dinh-duong-giam-beo-thuc-pham-kho-rau-cu-qua-hon-hop-thuc-pham-thay-the-sang-ngay-thuc-pham-kho-trai-cay-va-sua-dong-lanh-i2923829215.html")</f>
        <v>https://www.lazada.vn/products/dinh-duong-giam-beo-thuc-pham-kho-rau-cu-qua-hon-hop-thuc-pham-thay-the-sang-ngay-thuc-pham-kho-trai-cay-va-sua-dong-lanh-i2923829215.html</v>
      </c>
      <c r="C2092" s="10" t="s">
        <v>2092</v>
      </c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8">
        <v>6947.0</v>
      </c>
      <c r="B2093" s="9" t="str">
        <f>HYPERLINK("https://www.lazada.vn/products/ban-si-snack-ca-vien-chien-ba-anh-em-foods-bich-60-goi-gion-sun-thom-ngondo-an-vat-gia-re-do-an-vat-cong-truong-hot-i2661046956.html", "https://www.lazada.vn/products/ban-si-snack-ca-vien-chien-ba-anh-em-foods-bich-60-goi-gion-sun-thom-ngondo-an-vat-gia-re-do-an-vat-cong-truong-hot-i2661046956.html")</f>
        <v>https://www.lazada.vn/products/ban-si-snack-ca-vien-chien-ba-anh-em-foods-bich-60-goi-gion-sun-thom-ngondo-an-vat-gia-re-do-an-vat-cong-truong-hot-i2661046956.html</v>
      </c>
      <c r="C2093" s="10" t="s">
        <v>2093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8">
        <v>6948.0</v>
      </c>
      <c r="B2094" s="9" t="str">
        <f>HYPERLINK("https://www.lazada.vn/products/chao-tuoi-to-yen-thit-than-bi-do-sgf-food-240g-i2900945133.html", "https://www.lazada.vn/products/chao-tuoi-to-yen-thit-than-bi-do-sgf-food-240g-i2900945133.html")</f>
        <v>https://www.lazada.vn/products/chao-tuoi-to-yen-thit-than-bi-do-sgf-food-240g-i2900945133.html</v>
      </c>
      <c r="C2094" s="10" t="s">
        <v>2094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8">
        <v>6949.0</v>
      </c>
      <c r="B2095" s="9" t="str">
        <f>HYPERLINK("https://www.lazada.vn/products/dry-strawberry-1kg-dry-mango-dry-pineapple-dry-watermelon-dry-lychee-dry-fruit-for-cake-and-milk-tea-shop-frozen-dried-fruit-i2923828024.html", "https://www.lazada.vn/products/dry-strawberry-1kg-dry-mango-dry-pineapple-dry-watermelon-dry-lychee-dry-fruit-for-cake-and-milk-tea-shop-frozen-dried-fruit-i2923828024.html")</f>
        <v>https://www.lazada.vn/products/dry-strawberry-1kg-dry-mango-dry-pineapple-dry-watermelon-dry-lychee-dry-fruit-for-cake-and-milk-tea-shop-frozen-dried-fruit-i2923828024.html</v>
      </c>
      <c r="C2095" s="10" t="s">
        <v>2095</v>
      </c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8">
        <v>6950.0</v>
      </c>
      <c r="B2096" s="9" t="str">
        <f>HYPERLINK("https://www.lazada.vn/products/430g-banh-dau-xanh-rong-vang-tien-dung-multifood-i2659998942.html", "https://www.lazada.vn/products/430g-banh-dau-xanh-rong-vang-tien-dung-multifood-i2659998942.html")</f>
        <v>https://www.lazada.vn/products/430g-banh-dau-xanh-rong-vang-tien-dung-multifood-i2659998942.html</v>
      </c>
      <c r="C2096" s="10" t="s">
        <v>2096</v>
      </c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8">
        <v>6951.0</v>
      </c>
      <c r="B2097" s="9" t="str">
        <f>HYPERLINK("https://www.lazada.vn/products/khoai-tay-so-co-la-kho-blueberry-yogurt-blocks-probiotics-snacks-dried-fruit-mix-packaged-dry-milk-block-frozen-food-i2923827248.html", "https://www.lazada.vn/products/khoai-tay-so-co-la-kho-blueberry-yogurt-blocks-probiotics-snacks-dried-fruit-mix-packaged-dry-milk-block-frozen-food-i2923827248.html")</f>
        <v>https://www.lazada.vn/products/khoai-tay-so-co-la-kho-blueberry-yogurt-blocks-probiotics-snacks-dried-fruit-mix-packaged-dry-milk-block-frozen-food-i2923827248.html</v>
      </c>
      <c r="C2097" s="10" t="s">
        <v>2097</v>
      </c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8">
        <v>6952.0</v>
      </c>
      <c r="B2098" s="9" t="str">
        <f>HYPERLINK("https://www.lazada.vn/products/combo-5-cai-banh-mi-tuoi-cha-bong-kido-tiiqii-shop-i2757195225.html", "https://www.lazada.vn/products/combo-5-cai-banh-mi-tuoi-cha-bong-kido-tiiqii-shop-i2757195225.html")</f>
        <v>https://www.lazada.vn/products/combo-5-cai-banh-mi-tuoi-cha-bong-kido-tiiqii-shop-i2757195225.html</v>
      </c>
      <c r="C2098" s="10" t="s">
        <v>2098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8">
        <v>6953.0</v>
      </c>
      <c r="B2099" s="9" t="str">
        <f>HYPERLINK("https://www.lazada.vn/products/bia-thu-cong-rooster-beers-4-lon-mix-x-330ml-i2720638542.html", "https://www.lazada.vn/products/bia-thu-cong-rooster-beers-4-lon-mix-x-330ml-i2720638542.html")</f>
        <v>https://www.lazada.vn/products/bia-thu-cong-rooster-beers-4-lon-mix-x-330ml-i2720638542.html</v>
      </c>
      <c r="C2099" s="10" t="s">
        <v>2099</v>
      </c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8">
        <v>6954.0</v>
      </c>
      <c r="B2100" s="9" t="str">
        <f>HYPERLINK("https://www.lazada.vn/products/yushisuppliescheap-1-thung-bia-corny-khoa-khilong-ngat-ket-noi-cho-bia-nha-kieu-cornelius-i3008070552.html", "https://www.lazada.vn/products/yushisuppliescheap-1-thung-bia-corny-khoa-khilong-ngat-ket-noi-cho-bia-nha-kieu-cornelius-i3008070552.html")</f>
        <v>https://www.lazada.vn/products/yushisuppliescheap-1-thung-bia-corny-khoa-khilong-ngat-ket-noi-cho-bia-nha-kieu-cornelius-i3008070552.html</v>
      </c>
      <c r="C2100" s="10" t="s">
        <v>2100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8">
        <v>6955.0</v>
      </c>
      <c r="B2101" s="9" t="str">
        <f>HYPERLINK("https://www.lazada.vn/products/chi-giao-hoa-toc-ho-chi-minh-rong-do-vi-dau-thung-24-chai-330-ml-i2624596698.html", "https://www.lazada.vn/products/chi-giao-hoa-toc-ho-chi-minh-rong-do-vi-dau-thung-24-chai-330-ml-i2624596698.html")</f>
        <v>https://www.lazada.vn/products/chi-giao-hoa-toc-ho-chi-minh-rong-do-vi-dau-thung-24-chai-330-ml-i2624596698.html</v>
      </c>
      <c r="C2101" s="10" t="s">
        <v>2101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8">
        <v>6956.0</v>
      </c>
      <c r="B2102" s="9" t="str">
        <f>HYPERLINK("https://www.lazada.vn/products/banh-gao-dinh-duong-kun-vi-tu-nhien-vi-nuoc-tuong-vi-bo-nuong-moi-ve-14-tui-nho-i2923951939.html", "https://www.lazada.vn/products/banh-gao-dinh-duong-kun-vi-tu-nhien-vi-nuoc-tuong-vi-bo-nuong-moi-ve-14-tui-nho-i2923951939.html")</f>
        <v>https://www.lazada.vn/products/banh-gao-dinh-duong-kun-vi-tu-nhien-vi-nuoc-tuong-vi-bo-nuong-moi-ve-14-tui-nho-i2923951939.html</v>
      </c>
      <c r="C2102" s="10" t="s">
        <v>2102</v>
      </c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8">
        <v>6957.0</v>
      </c>
      <c r="B2103" s="9" t="str">
        <f>HYPERLINK("https://www.lazada.vn/products/bot-cacao-dang-luave-500g-i2413219629.html", "https://www.lazada.vn/products/bot-cacao-dang-luave-500g-i2413219629.html")</f>
        <v>https://www.lazada.vn/products/bot-cacao-dang-luave-500g-i2413219629.html</v>
      </c>
      <c r="C2103" s="10" t="s">
        <v>2103</v>
      </c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8">
        <v>6958.0</v>
      </c>
      <c r="B2104" s="9" t="str">
        <f>HYPERLINK("https://www.lazada.vn/products/tui-banh-dora-yaki-vi-cha-bong-xot-bo-banh-my-tuoi-kido-dorayaki-banh-ran-doremon-5-cai-tiiqii-shop-i2757075847.html", "https://www.lazada.vn/products/tui-banh-dora-yaki-vi-cha-bong-xot-bo-banh-my-tuoi-kido-dorayaki-banh-ran-doremon-5-cai-tiiqii-shop-i2757075847.html")</f>
        <v>https://www.lazada.vn/products/tui-banh-dora-yaki-vi-cha-bong-xot-bo-banh-my-tuoi-kido-dorayaki-banh-ran-doremon-5-cai-tiiqii-shop-i2757075847.html</v>
      </c>
      <c r="C2104" s="10" t="s">
        <v>2104</v>
      </c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8">
        <v>6959.0</v>
      </c>
      <c r="B2105" s="9" t="str">
        <f>HYPERLINK("https://www.lazada.vn/products/combo-4-cai-banh-pia-dau-xanh-sau-rieng-90g-x-4-cai-cao-loi-hung-i2747931002.html", "https://www.lazada.vn/products/combo-4-cai-banh-pia-dau-xanh-sau-rieng-90g-x-4-cai-cao-loi-hung-i2747931002.html")</f>
        <v>https://www.lazada.vn/products/combo-4-cai-banh-pia-dau-xanh-sau-rieng-90g-x-4-cai-cao-loi-hung-i2747931002.html</v>
      </c>
      <c r="C2105" s="10" t="s">
        <v>2105</v>
      </c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8">
        <v>6960.0</v>
      </c>
      <c r="B2106" s="9" t="str">
        <f>HYPERLINK("https://www.lazada.vn/products/combo-4-cai-banh-pia-la-dua-dau-xanh-sau-rieng-trung-cao-loi-hung-i2747793306.html", "https://www.lazada.vn/products/combo-4-cai-banh-pia-la-dua-dau-xanh-sau-rieng-trung-cao-loi-hung-i2747793306.html")</f>
        <v>https://www.lazada.vn/products/combo-4-cai-banh-pia-la-dua-dau-xanh-sau-rieng-trung-cao-loi-hung-i2747793306.html</v>
      </c>
      <c r="C2106" s="10" t="s">
        <v>2106</v>
      </c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8">
        <v>6961.0</v>
      </c>
      <c r="B2107" s="9" t="str">
        <f>HYPERLINK("https://www.lazada.vn/products/thung-30-goi-banh-gau-ruoc-dai-loan-sieu-ngon-i2747786660.html", "https://www.lazada.vn/products/thung-30-goi-banh-gau-ruoc-dai-loan-sieu-ngon-i2747786660.html")</f>
        <v>https://www.lazada.vn/products/thung-30-goi-banh-gau-ruoc-dai-loan-sieu-ngon-i2747786660.html</v>
      </c>
      <c r="C2107" s="10" t="s">
        <v>2107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8">
        <v>6962.0</v>
      </c>
      <c r="B2108" s="9" t="str">
        <f>HYPERLINK("https://www.lazada.vn/products/box-10-banh-mi-chuoi-hottrend-trai-to-i2747771814.html", "https://www.lazada.vn/products/box-10-banh-mi-chuoi-hottrend-trai-to-i2747771814.html")</f>
        <v>https://www.lazada.vn/products/box-10-banh-mi-chuoi-hottrend-trai-to-i2747771814.html</v>
      </c>
      <c r="C2108" s="10" t="s">
        <v>2108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8">
        <v>6963.0</v>
      </c>
      <c r="B2109" s="9" t="str">
        <f>HYPERLINK("https://www.lazada.vn/products/combo-tui-12-cai-banh-pia-la-dua-dau-xanh-sau-rieng-trung-cao-loi-hung-i2747681850.html", "https://www.lazada.vn/products/combo-tui-12-cai-banh-pia-la-dua-dau-xanh-sau-rieng-trung-cao-loi-hung-i2747681850.html")</f>
        <v>https://www.lazada.vn/products/combo-tui-12-cai-banh-pia-la-dua-dau-xanh-sau-rieng-trung-cao-loi-hung-i2747681850.html</v>
      </c>
      <c r="C2109" s="10" t="s">
        <v>2109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8">
        <v>6964.0</v>
      </c>
      <c r="B2110" s="9" t="str">
        <f>HYPERLINK("https://www.lazada.vn/products/kho-lanh-dried-yogurt-blocks-blueberry-va-strawberry-dried-fruit-snacks-dried-fruit-va-yogurt-blocks-thuong-hieu-shenger-i2923826253.html", "https://www.lazada.vn/products/kho-lanh-dried-yogurt-blocks-blueberry-va-strawberry-dried-fruit-snacks-dried-fruit-va-yogurt-blocks-thuong-hieu-shenger-i2923826253.html")</f>
        <v>https://www.lazada.vn/products/kho-lanh-dried-yogurt-blocks-blueberry-va-strawberry-dried-fruit-snacks-dried-fruit-va-yogurt-blocks-thuong-hieu-shenger-i2923826253.html</v>
      </c>
      <c r="C2110" s="10" t="s">
        <v>2110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8">
        <v>6965.0</v>
      </c>
      <c r="B2111" s="9" t="str">
        <f>HYPERLINK("https://www.lazada.vn/products/thung-15-lon-bia-budweiser-250ml-i3007196075.html", "https://www.lazada.vn/products/thung-15-lon-bia-budweiser-250ml-i3007196075.html")</f>
        <v>https://www.lazada.vn/products/thung-15-lon-bia-budweiser-250ml-i3007196075.html</v>
      </c>
      <c r="C2111" s="10" t="s">
        <v>2111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8">
        <v>6966.0</v>
      </c>
      <c r="B2112" s="9" t="str">
        <f>HYPERLINK("https://www.lazada.vn/products/dongliong-1-thung-bia-corny-khoa-khilong-ngat-ket-noi-cho-bia-nha-kieu-cornelius-i3006125332.html", "https://www.lazada.vn/products/dongliong-1-thung-bia-corny-khoa-khilong-ngat-ket-noi-cho-bia-nha-kieu-cornelius-i3006125332.html")</f>
        <v>https://www.lazada.vn/products/dongliong-1-thung-bia-corny-khoa-khilong-ngat-ket-noi-cho-bia-nha-kieu-cornelius-i3006125332.html</v>
      </c>
      <c r="C2112" s="10" t="s">
        <v>2112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8">
        <v>6967.0</v>
      </c>
      <c r="B2113" s="9" t="str">
        <f>HYPERLINK("https://www.lazada.vn/products/tuborg-bia-lager-dan-mach-do-con-46-combo-2-thung-24-x330ml-beer-cao-cap-quoc-te-tang-2-ly-tuborg-i3005843144.html", "https://www.lazada.vn/products/tuborg-bia-lager-dan-mach-do-con-46-combo-2-thung-24-x330ml-beer-cao-cap-quoc-te-tang-2-ly-tuborg-i3005843144.html")</f>
        <v>https://www.lazada.vn/products/tuborg-bia-lager-dan-mach-do-con-46-combo-2-thung-24-x330ml-beer-cao-cap-quoc-te-tang-2-ly-tuborg-i3005843144.html</v>
      </c>
      <c r="C2113" s="10" t="s">
        <v>2113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8">
        <v>6968.0</v>
      </c>
      <c r="B2114" s="9" t="str">
        <f>HYPERLINK("https://www.lazada.vn/products/fu-1-thung-bia-corny-khoa-khilong-ngat-ket-noi-cho-bia-nha-kieu-cornelius-i3005528075.html", "https://www.lazada.vn/products/fu-1-thung-bia-corny-khoa-khilong-ngat-ket-noi-cho-bia-nha-kieu-cornelius-i3005528075.html")</f>
        <v>https://www.lazada.vn/products/fu-1-thung-bia-corny-khoa-khilong-ngat-ket-noi-cho-bia-nha-kieu-cornelius-i3005528075.html</v>
      </c>
      <c r="C2114" s="10" t="s">
        <v>2114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8">
        <v>6969.0</v>
      </c>
      <c r="B2115" s="9" t="str">
        <f>HYPERLINK("https://www.lazada.vn/products/430g-banh-dau-xanh-rong-vang-tien-dung-maxifood-i2659997492.html", "https://www.lazada.vn/products/430g-banh-dau-xanh-rong-vang-tien-dung-maxifood-i2659997492.html")</f>
        <v>https://www.lazada.vn/products/430g-banh-dau-xanh-rong-vang-tien-dung-maxifood-i2659997492.html</v>
      </c>
      <c r="C2115" s="10" t="s">
        <v>2115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8">
        <v>6970.0</v>
      </c>
      <c r="B2116" s="9" t="str">
        <f>HYPERLINK("https://www.lazada.vn/products/bia-thu-cong-rooster-beers-ipa-bia-ga-ipa-thung-10-lon-cao-sleek-can-x-330ml-i2720369948.html", "https://www.lazada.vn/products/bia-thu-cong-rooster-beers-ipa-bia-ga-ipa-thung-10-lon-cao-sleek-can-x-330ml-i2720369948.html")</f>
        <v>https://www.lazada.vn/products/bia-thu-cong-rooster-beers-ipa-bia-ga-ipa-thung-10-lon-cao-sleek-can-x-330ml-i2720369948.html</v>
      </c>
      <c r="C2116" s="10" t="s">
        <v>2116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8">
        <v>6971.0</v>
      </c>
      <c r="B2117" s="9" t="str">
        <f>HYPERLINK("https://www.lazada.vn/products/banh-quy-bo-mach-ovaltine-hong-kong-version-chocolate-coated-12-goi-nho-360g-snack-sua-bot-banh-quy-chocolate-macaroni-i2923846236.html", "https://www.lazada.vn/products/banh-quy-bo-mach-ovaltine-hong-kong-version-chocolate-coated-12-goi-nho-360g-snack-sua-bot-banh-quy-chocolate-macaroni-i2923846236.html")</f>
        <v>https://www.lazada.vn/products/banh-quy-bo-mach-ovaltine-hong-kong-version-chocolate-coated-12-goi-nho-360g-snack-sua-bot-banh-quy-chocolate-macaroni-i2923846236.html</v>
      </c>
      <c r="C2117" s="10" t="s">
        <v>2117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8">
        <v>6972.0</v>
      </c>
      <c r="B2118" s="9" t="str">
        <f>HYPERLINK("https://www.lazada.vn/products/loc-6-chai-nuoc-tang-luc-number-one-vang-chai-330ml-i2619262088.html", "https://www.lazada.vn/products/loc-6-chai-nuoc-tang-luc-number-one-vang-chai-330ml-i2619262088.html")</f>
        <v>https://www.lazada.vn/products/loc-6-chai-nuoc-tang-luc-number-one-vang-chai-330ml-i2619262088.html</v>
      </c>
      <c r="C2118" s="10" t="s">
        <v>2118</v>
      </c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8">
        <v>6973.0</v>
      </c>
      <c r="B2119" s="9" t="str">
        <f>HYPERLINK("https://www.lazada.vn/products/bot-cacao-nguyen-chat-dans-goi-500gr-i2406733347.html", "https://www.lazada.vn/products/bot-cacao-nguyen-chat-dans-goi-500gr-i2406733347.html")</f>
        <v>https://www.lazada.vn/products/bot-cacao-nguyen-chat-dans-goi-500gr-i2406733347.html</v>
      </c>
      <c r="C2119" s="10" t="s">
        <v>2119</v>
      </c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8">
        <v>6974.0</v>
      </c>
      <c r="B2120" s="9" t="str">
        <f>HYPERLINK("https://www.lazada.vn/products/ruou-vang-trang-1982-ug-bordeaux-750ml-i2679130295.html", "https://www.lazada.vn/products/ruou-vang-trang-1982-ug-bordeaux-750ml-i2679130295.html")</f>
        <v>https://www.lazada.vn/products/ruou-vang-trang-1982-ug-bordeaux-750ml-i2679130295.html</v>
      </c>
      <c r="C2120" s="10" t="s">
        <v>2120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8">
        <v>6975.0</v>
      </c>
      <c r="B2121" s="9" t="str">
        <f>HYPERLINK("https://www.lazada.vn/products/nuoc-ngot-co-ga-vi-viet-quat-nuoc-viet-quat-co-ga-okf-han-quoc-x-24-lon-350ml-i2605009960.html", "https://www.lazada.vn/products/nuoc-ngot-co-ga-vi-viet-quat-nuoc-viet-quat-co-ga-okf-han-quoc-x-24-lon-350ml-i2605009960.html")</f>
        <v>https://www.lazada.vn/products/nuoc-ngot-co-ga-vi-viet-quat-nuoc-viet-quat-co-ga-okf-han-quoc-x-24-lon-350ml-i2605009960.html</v>
      </c>
      <c r="C2121" s="10" t="s">
        <v>2121</v>
      </c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8">
        <v>6976.0</v>
      </c>
      <c r="B2122" s="9" t="str">
        <f>HYPERLINK("https://www.lazada.vn/products/strawberry-dried-freeze-100g-baking-snack-crisp-dried-fruit-snowflake-snack-baking-ingredient-home-use-dry-fruit-i2923825261.html", "https://www.lazada.vn/products/strawberry-dried-freeze-100g-baking-snack-crisp-dried-fruit-snowflake-snack-baking-ingredient-home-use-dry-fruit-i2923825261.html")</f>
        <v>https://www.lazada.vn/products/strawberry-dried-freeze-100g-baking-snack-crisp-dried-fruit-snowflake-snack-baking-ingredient-home-use-dry-fruit-i2923825261.html</v>
      </c>
      <c r="C2122" s="10" t="s">
        <v>2122</v>
      </c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8">
        <v>6977.0</v>
      </c>
      <c r="B2123" s="9" t="str">
        <f>HYPERLINK("https://www.lazada.vn/products/nhap-khauso-chu-trai-cay-han-quoc-good-day-360ml-vi-cho-co-mint-so-co-la-bac-ha-i2221304204.html", "https://www.lazada.vn/products/nhap-khauso-chu-trai-cay-han-quoc-good-day-360ml-vi-cho-co-mint-so-co-la-bac-ha-i2221304204.html")</f>
        <v>https://www.lazada.vn/products/nhap-khauso-chu-trai-cay-han-quoc-good-day-360ml-vi-cho-co-mint-so-co-la-bac-ha-i2221304204.html</v>
      </c>
      <c r="C2123" s="10" t="s">
        <v>2123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8">
        <v>6978.0</v>
      </c>
      <c r="B2124" s="9" t="str">
        <f>HYPERLINK("https://www.lazada.vn/products/banh-trang-deo-phong-sua-sau-rieng-cot-dua-tien-giang-nhon-hoang-dac-san-mien-tay-tui-220g-i2656821701.html", "https://www.lazada.vn/products/banh-trang-deo-phong-sua-sau-rieng-cot-dua-tien-giang-nhon-hoang-dac-san-mien-tay-tui-220g-i2656821701.html")</f>
        <v>https://www.lazada.vn/products/banh-trang-deo-phong-sua-sau-rieng-cot-dua-tien-giang-nhon-hoang-dac-san-mien-tay-tui-220g-i2656821701.html</v>
      </c>
      <c r="C2124" s="10" t="s">
        <v>2124</v>
      </c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8">
        <v>6979.0</v>
      </c>
      <c r="B2125" s="9" t="str">
        <f>HYPERLINK("https://www.lazada.vn/products/bia-thu-cong-rooster-beers-pale-bia-ga-pale-thung-24-lon-cao-sleek-can-x-330ml-i2717480441.html", "https://www.lazada.vn/products/bia-thu-cong-rooster-beers-pale-bia-ga-pale-thung-24-lon-cao-sleek-can-x-330ml-i2717480441.html")</f>
        <v>https://www.lazada.vn/products/bia-thu-cong-rooster-beers-pale-bia-ga-pale-thung-24-lon-cao-sleek-can-x-330ml-i2717480441.html</v>
      </c>
      <c r="C2125" s="10" t="s">
        <v>2125</v>
      </c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8">
        <v>6980.0</v>
      </c>
      <c r="B2126" s="9" t="str">
        <f>HYPERLINK("https://www.lazada.vn/products/chao-bi-ngo-ke-500g1763oz-bua-sang-bo-duong-chao-ngu-coc-tho-canxi-cao-0-chat-beo-khong-co-sucrose-whole-grains-phu-nu-mang-thai-tre-em-va-nguoi-gia-i3055033874.html", "https://www.lazada.vn/products/chao-bi-ngo-ke-500g1763oz-bua-sang-bo-duong-chao-ngu-coc-tho-canxi-cao-0-chat-beo-khong-co-sucrose-whole-grains-phu-nu-mang-thai-tre-em-va-nguoi-gia-i3055033874.html")</f>
        <v>https://www.lazada.vn/products/chao-bi-ngo-ke-500g1763oz-bua-sang-bo-duong-chao-ngu-coc-tho-canxi-cao-0-chat-beo-khong-co-sucrose-whole-grains-phu-nu-mang-thai-tre-em-va-nguoi-gia-i3055033874.html</v>
      </c>
      <c r="C2126" s="10" t="s">
        <v>2126</v>
      </c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8">
        <v>6981.0</v>
      </c>
      <c r="B2127" s="9" t="str">
        <f>HYPERLINK("https://www.lazada.vn/products/strawberry-dried-freeze-100g-snack-dried-fruit-made-in-china-for-making-snowflake-crispy-fruit-granules-milk-candy-material-i2923825163.html", "https://www.lazada.vn/products/strawberry-dried-freeze-100g-snack-dried-fruit-made-in-china-for-making-snowflake-crispy-fruit-granules-milk-candy-material-i2923825163.html")</f>
        <v>https://www.lazada.vn/products/strawberry-dried-freeze-100g-snack-dried-fruit-made-in-china-for-making-snowflake-crispy-fruit-granules-milk-candy-material-i2923825163.html</v>
      </c>
      <c r="C2127" s="10" t="s">
        <v>2127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8">
        <v>6982.0</v>
      </c>
      <c r="B2128" s="9" t="str">
        <f>HYPERLINK("https://www.lazada.vn/products/taste-of-nature-black-truffle-ham-biscuit-116kg-boxed-individually-packaged-biscuits-snacks-from-guangdong-province-china-i2923816055.html", "https://www.lazada.vn/products/taste-of-nature-black-truffle-ham-biscuit-116kg-boxed-individually-packaged-biscuits-snacks-from-guangdong-province-china-i2923816055.html")</f>
        <v>https://www.lazada.vn/products/taste-of-nature-black-truffle-ham-biscuit-116kg-boxed-individually-packaged-biscuits-snacks-from-guangdong-province-china-i2923816055.html</v>
      </c>
      <c r="C2128" s="10" t="s">
        <v>2128</v>
      </c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8">
        <v>6983.0</v>
      </c>
      <c r="B2129" s="9" t="str">
        <f>HYPERLINK("https://www.lazada.vn/products/vang-trang-strut-well-heeled-white-i2647875059.html", "https://www.lazada.vn/products/vang-trang-strut-well-heeled-white-i2647875059.html")</f>
        <v>https://www.lazada.vn/products/vang-trang-strut-well-heeled-white-i2647875059.html</v>
      </c>
      <c r="C2129" s="10" t="s">
        <v>2129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8">
        <v>6984.0</v>
      </c>
      <c r="B2130" s="9" t="str">
        <f>HYPERLINK("https://www.lazada.vn/products/banh-quy-thap-cam-can-ky-sieu-nhieu1kg-i2156658153.html", "https://www.lazada.vn/products/banh-quy-thap-cam-can-ky-sieu-nhieu1kg-i2156658153.html")</f>
        <v>https://www.lazada.vn/products/banh-quy-thap-cam-can-ky-sieu-nhieu1kg-i2156658153.html</v>
      </c>
      <c r="C2130" s="10" t="s">
        <v>2130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8">
        <v>6985.0</v>
      </c>
      <c r="B2131" s="9" t="str">
        <f>HYPERLINK("https://www.lazada.vn/products/bia-thu-cong-rooster-beers-ipa-bia-ga-ipa-thung-24-lon-cao-sleek-can-x-330ml-i2717457701.html", "https://www.lazada.vn/products/bia-thu-cong-rooster-beers-ipa-bia-ga-ipa-thung-24-lon-cao-sleek-can-x-330ml-i2717457701.html")</f>
        <v>https://www.lazada.vn/products/bia-thu-cong-rooster-beers-ipa-bia-ga-ipa-thung-24-lon-cao-sleek-can-x-330ml-i2717457701.html</v>
      </c>
      <c r="C2131" s="10" t="s">
        <v>2131</v>
      </c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8">
        <v>6986.0</v>
      </c>
      <c r="B2132" s="9" t="str">
        <f>HYPERLINK("https://www.lazada.vn/products/strawberry-dried-fruit-200g-healthy-sweet-and-sour-crispy-frozen-dry-fruit-snack-non-fried-box-horse-store-original-flavor-i2923822195.html", "https://www.lazada.vn/products/strawberry-dried-fruit-200g-healthy-sweet-and-sour-crispy-frozen-dry-fruit-snack-non-fried-box-horse-store-original-flavor-i2923822195.html")</f>
        <v>https://www.lazada.vn/products/strawberry-dried-fruit-200g-healthy-sweet-and-sour-crispy-frozen-dry-fruit-snack-non-fried-box-horse-store-original-flavor-i2923822195.html</v>
      </c>
      <c r="C2132" s="10" t="s">
        <v>2132</v>
      </c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8">
        <v>6987.0</v>
      </c>
      <c r="B2133" s="9" t="str">
        <f>HYPERLINK("https://www.lazada.vn/products/vang-vivazz-sangria-_nuoc-trai-cay-vi-nho-trang-i2647656377.html", "https://www.lazada.vn/products/vang-vivazz-sangria-_nuoc-trai-cay-vi-nho-trang-i2647656377.html")</f>
        <v>https://www.lazada.vn/products/vang-vivazz-sangria-_nuoc-trai-cay-vi-nho-trang-i2647656377.html</v>
      </c>
      <c r="C2133" s="10" t="s">
        <v>2133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8">
        <v>6988.0</v>
      </c>
      <c r="B2134" s="9" t="str">
        <f>HYPERLINK("https://www.lazada.vn/products/so-chu-soju-trai-cay-han-quoc-jinro-360ml-i2219548960.html", "https://www.lazada.vn/products/so-chu-soju-trai-cay-han-quoc-jinro-360ml-i2219548960.html")</f>
        <v>https://www.lazada.vn/products/so-chu-soju-trai-cay-han-quoc-jinro-360ml-i2219548960.html</v>
      </c>
      <c r="C2134" s="10" t="s">
        <v>2134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8">
        <v>6989.0</v>
      </c>
      <c r="B2135" s="9" t="str">
        <f>HYPERLINK("https://www.lazada.vn/products/bot-cacao-dang-nguyen-chat-hersheys-hop-226g-i2401972260.html", "https://www.lazada.vn/products/bot-cacao-dang-nguyen-chat-hersheys-hop-226g-i2401972260.html")</f>
        <v>https://www.lazada.vn/products/bot-cacao-dang-nguyen-chat-hersheys-hop-226g-i2401972260.html</v>
      </c>
      <c r="C2135" s="10" t="s">
        <v>2135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8">
        <v>6990.0</v>
      </c>
      <c r="B2136" s="9" t="str">
        <f>HYPERLINK("https://www.lazada.vn/products/loc-6-chai-coca-cola-chai-nhua-390ml-i2619206074.html", "https://www.lazada.vn/products/loc-6-chai-coca-cola-chai-nhua-390ml-i2619206074.html")</f>
        <v>https://www.lazada.vn/products/loc-6-chai-coca-cola-chai-nhua-390ml-i2619206074.html</v>
      </c>
      <c r="C2136" s="10" t="s">
        <v>2136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8">
        <v>6991.0</v>
      </c>
      <c r="B2137" s="9" t="str">
        <f>HYPERLINK("https://www.lazada.vn/products/hoa-toc-hcm-thungloc-24-lon-nuoc-ngot-giai-khat-khong-duong-coca-cola-zero-320mllon-sale-253-coca-cola-chinh-hang-i2597710338.html", "https://www.lazada.vn/products/hoa-toc-hcm-thungloc-24-lon-nuoc-ngot-giai-khat-khong-duong-coca-cola-zero-320mllon-sale-253-coca-cola-chinh-hang-i2597710338.html")</f>
        <v>https://www.lazada.vn/products/hoa-toc-hcm-thungloc-24-lon-nuoc-ngot-giai-khat-khong-duong-coca-cola-zero-320mllon-sale-253-coca-cola-chinh-hang-i2597710338.html</v>
      </c>
      <c r="C2137" s="10" t="s">
        <v>2137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8">
        <v>6992.0</v>
      </c>
      <c r="B2138" s="9" t="str">
        <f>HYPERLINK("https://www.lazada.vn/products/ljeish33-moi-nong-selg-60-nam-gummies-mushroomoe-m-i3030423400.html", "https://www.lazada.vn/products/ljeish33-moi-nong-selg-60-nam-gummies-mushroomoe-m-i3030423400.html")</f>
        <v>https://www.lazada.vn/products/ljeish33-moi-nong-selg-60-nam-gummies-mushroomoe-m-i3030423400.html</v>
      </c>
      <c r="C2138" s="10" t="s">
        <v>2138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8">
        <v>6993.0</v>
      </c>
      <c r="B2139" s="9" t="str">
        <f>HYPERLINK("https://www.lazada.vn/products/banh-pia-nhan-dau-xanh-sau-rieng-chay-tan-phat-350grcay-i2156429740.html", "https://www.lazada.vn/products/banh-pia-nhan-dau-xanh-sau-rieng-chay-tan-phat-350grcay-i2156429740.html")</f>
        <v>https://www.lazada.vn/products/banh-pia-nhan-dau-xanh-sau-rieng-chay-tan-phat-350grcay-i2156429740.html</v>
      </c>
      <c r="C2139" s="10" t="s">
        <v>2139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8">
        <v>6994.0</v>
      </c>
      <c r="B2140" s="9" t="str">
        <f>HYPERLINK("https://www.lazada.vn/products/banh-tet-dau-xanh-nhan-mo-800g-i2153372751.html", "https://www.lazada.vn/products/banh-tet-dau-xanh-nhan-mo-800g-i2153372751.html")</f>
        <v>https://www.lazada.vn/products/banh-tet-dau-xanh-nhan-mo-800g-i2153372751.html</v>
      </c>
      <c r="C2140" s="10" t="s">
        <v>2140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8">
        <v>6995.0</v>
      </c>
      <c r="B2141" s="9" t="str">
        <f>HYPERLINK("https://www.lazada.vn/products/banh-chocopie-sakura-vi-dao-hop-360g-i2151250083.html", "https://www.lazada.vn/products/banh-chocopie-sakura-vi-dao-hop-360g-i2151250083.html")</f>
        <v>https://www.lazada.vn/products/banh-chocopie-sakura-vi-dao-hop-360g-i2151250083.html</v>
      </c>
      <c r="C2141" s="10" t="s">
        <v>2141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8">
        <v>6996.0</v>
      </c>
      <c r="B2142" s="9" t="str">
        <f>HYPERLINK("https://www.lazada.vn/products/banh-chocopie-dark-orion-vi-cacao-hop-lon-12-cai-360g-i2151205164.html", "https://www.lazada.vn/products/banh-chocopie-dark-orion-vi-cacao-hop-lon-12-cai-360g-i2151205164.html")</f>
        <v>https://www.lazada.vn/products/banh-chocopie-dark-orion-vi-cacao-hop-lon-12-cai-360g-i2151205164.html</v>
      </c>
      <c r="C2142" s="10" t="s">
        <v>2142</v>
      </c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8">
        <v>6997.0</v>
      </c>
      <c r="B2143" s="9" t="str">
        <f>HYPERLINK("https://www.lazada.vn/products/vun-banh-oreo-goi-400gr-voi-3-mui-vi-i2147438401.html", "https://www.lazada.vn/products/vun-banh-oreo-goi-400gr-voi-3-mui-vi-i2147438401.html")</f>
        <v>https://www.lazada.vn/products/vun-banh-oreo-goi-400gr-voi-3-mui-vi-i2147438401.html</v>
      </c>
      <c r="C2143" s="10" t="s">
        <v>2143</v>
      </c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8">
        <v>6998.0</v>
      </c>
      <c r="B2144" s="9" t="str">
        <f>HYPERLINK("https://www.lazada.vn/products/banh-tet-dau-mo-va-banh-u-i2145485256.html", "https://www.lazada.vn/products/banh-tet-dau-mo-va-banh-u-i2145485256.html")</f>
        <v>https://www.lazada.vn/products/banh-tet-dau-mo-va-banh-u-i2145485256.html</v>
      </c>
      <c r="C2144" s="10" t="s">
        <v>2144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8">
        <v>6999.0</v>
      </c>
      <c r="B2145" s="9" t="str">
        <f>HYPERLINK("https://www.lazada.vn/products/combo-3-mon-banh-pia-keo-dua-tra-sen-banh-pia-2-sao-400gr-keo-dua-thanh-long-nguyen-chat-350gr-tra-sen-100gr-i2130401304.html", "https://www.lazada.vn/products/combo-3-mon-banh-pia-keo-dua-tra-sen-banh-pia-2-sao-400gr-keo-dua-thanh-long-nguyen-chat-350gr-tra-sen-100gr-i2130401304.html")</f>
        <v>https://www.lazada.vn/products/combo-3-mon-banh-pia-keo-dua-tra-sen-banh-pia-2-sao-400gr-keo-dua-thanh-long-nguyen-chat-350gr-tra-sen-100gr-i2130401304.html</v>
      </c>
      <c r="C2145" s="10" t="s">
        <v>2145</v>
      </c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8">
        <v>7000.0</v>
      </c>
      <c r="B2146" s="9" t="str">
        <f>HYPERLINK("https://www.lazada.vn/products/combo-5-banh-pia-soc-trang-tan-hue-vien-1-sao-320gr-banh-pia-dac-san-mien-tay-i2128486741.html", "https://www.lazada.vn/products/combo-5-banh-pia-soc-trang-tan-hue-vien-1-sao-320gr-banh-pia-dac-san-mien-tay-i2128486741.html")</f>
        <v>https://www.lazada.vn/products/combo-5-banh-pia-soc-trang-tan-hue-vien-1-sao-320gr-banh-pia-dac-san-mien-tay-i2128486741.html</v>
      </c>
      <c r="C2146" s="10" t="s">
        <v>2146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8">
        <v>7001.0</v>
      </c>
      <c r="B2147" s="9" t="str">
        <f>HYPERLINK("https://www.lazada.vn/products/banh-cookies-lai-phu-kem-tong-hop-280g-i2114681446.html", "https://www.lazada.vn/products/banh-cookies-lai-phu-kem-tong-hop-280g-i2114681446.html")</f>
        <v>https://www.lazada.vn/products/banh-cookies-lai-phu-kem-tong-hop-280g-i2114681446.html</v>
      </c>
      <c r="C2147" s="10" t="s">
        <v>2147</v>
      </c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8">
        <v>7002.0</v>
      </c>
      <c r="B2148" s="9" t="str">
        <f>HYPERLINK("https://www.lazada.vn/products/bim-bim-snack-tom-cay-dac-biet-35g-i2114666260.html", "https://www.lazada.vn/products/bim-bim-snack-tom-cay-dac-biet-35g-i2114666260.html")</f>
        <v>https://www.lazada.vn/products/bim-bim-snack-tom-cay-dac-biet-35g-i2114666260.html</v>
      </c>
      <c r="C2148" s="10" t="s">
        <v>2148</v>
      </c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8">
        <v>7003.0</v>
      </c>
      <c r="B2149" s="9" t="str">
        <f>HYPERLINK("https://www.lazada.vn/products/banh-dua-nuong-tam-huu-dung-hop-180g-i2099579764.html", "https://www.lazada.vn/products/banh-dua-nuong-tam-huu-dung-hop-180g-i2099579764.html")</f>
        <v>https://www.lazada.vn/products/banh-dua-nuong-tam-huu-dung-hop-180g-i2099579764.html</v>
      </c>
      <c r="C2149" s="10" t="s">
        <v>2149</v>
      </c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8">
        <v>7004.0</v>
      </c>
      <c r="B2150" s="9" t="str">
        <f>HYPERLINK("https://www.lazada.vn/products/snack-pillows-oishi-nhan-sua-duasocolakem-vani-khoai-mon-goi-85gr-thuc-pham-gia-dung-hung-phuc-i3026404642.html", "https://www.lazada.vn/products/snack-pillows-oishi-nhan-sua-duasocolakem-vani-khoai-mon-goi-85gr-thuc-pham-gia-dung-hung-phuc-i3026404642.html")</f>
        <v>https://www.lazada.vn/products/snack-pillows-oishi-nhan-sua-duasocolakem-vani-khoai-mon-goi-85gr-thuc-pham-gia-dung-hung-phuc-i3026404642.html</v>
      </c>
      <c r="C2150" s="10" t="s">
        <v>2150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8">
        <v>7005.0</v>
      </c>
      <c r="B2151" s="9" t="str">
        <f>HYPERLINK("https://www.lazada.vn/products/loc-12-hop-banh-tipo-trung-39g-i2099196854.html", "https://www.lazada.vn/products/loc-12-hop-banh-tipo-trung-39g-i2099196854.html")</f>
        <v>https://www.lazada.vn/products/loc-12-hop-banh-tipo-trung-39g-i2099196854.html</v>
      </c>
      <c r="C2151" s="10" t="s">
        <v>2151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8">
        <v>7006.0</v>
      </c>
      <c r="B2152" s="9" t="str">
        <f>HYPERLINK("https://www.lazada.vn/products/snack-pillows-oishi-nhan-sua-duasocolakem-vani-khoai-mon-goi-85gr-ha-anh-2k-i3026319822.html", "https://www.lazada.vn/products/snack-pillows-oishi-nhan-sua-duasocolakem-vani-khoai-mon-goi-85gr-ha-anh-2k-i3026319822.html")</f>
        <v>https://www.lazada.vn/products/snack-pillows-oishi-nhan-sua-duasocolakem-vani-khoai-mon-goi-85gr-ha-anh-2k-i3026319822.html</v>
      </c>
      <c r="C2152" s="10" t="s">
        <v>2152</v>
      </c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8">
        <v>7007.0</v>
      </c>
      <c r="B2153" s="9" t="str">
        <f>HYPERLINK("https://www.lazada.vn/products/banh-tipo-trung-hop-250g-i2098016946.html", "https://www.lazada.vn/products/banh-tipo-trung-hop-250g-i2098016946.html")</f>
        <v>https://www.lazada.vn/products/banh-tipo-trung-hop-250g-i2098016946.html</v>
      </c>
      <c r="C2153" s="10" t="s">
        <v>2153</v>
      </c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8">
        <v>7008.0</v>
      </c>
      <c r="B2154" s="9" t="str">
        <f>HYPERLINK("https://www.lazada.vn/products/banh-gao-lut-dau-tam-it-duong-vi-ngot-dau-tam-thanh-thanh-danh-cho-nguoi-an-kieng-giau-dinh-duong-ho-tro-giam-can-hieu-qua-i2543540346.html", "https://www.lazada.vn/products/banh-gao-lut-dau-tam-it-duong-vi-ngot-dau-tam-thanh-thanh-danh-cho-nguoi-an-kieng-giau-dinh-duong-ho-tro-giam-can-hieu-qua-i2543540346.html")</f>
        <v>https://www.lazada.vn/products/banh-gao-lut-dau-tam-it-duong-vi-ngot-dau-tam-thanh-thanh-danh-cho-nguoi-an-kieng-giau-dinh-duong-ho-tro-giam-can-hieu-qua-i2543540346.html</v>
      </c>
      <c r="C2154" s="10" t="s">
        <v>2154</v>
      </c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8">
        <v>7009.0</v>
      </c>
      <c r="B2155" s="9" t="str">
        <f>HYPERLINK("https://www.lazada.vn/products/banh-kitkat-lua-manh-matcha-cacao-truyen-thong-140gr-nhat-ban-i2092682412.html", "https://www.lazada.vn/products/banh-kitkat-lua-manh-matcha-cacao-truyen-thong-140gr-nhat-ban-i2092682412.html")</f>
        <v>https://www.lazada.vn/products/banh-kitkat-lua-manh-matcha-cacao-truyen-thong-140gr-nhat-ban-i2092682412.html</v>
      </c>
      <c r="C2155" s="10" t="s">
        <v>2155</v>
      </c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8">
        <v>7010.0</v>
      </c>
      <c r="B2156" s="9" t="str">
        <f>HYPERLINK("https://www.lazada.vn/products/kim-sa-chay-tan-hue-vien-480g-tui-12-banh-i1888720245.html", "https://www.lazada.vn/products/kim-sa-chay-tan-hue-vien-480g-tui-12-banh-i1888720245.html")</f>
        <v>https://www.lazada.vn/products/kim-sa-chay-tan-hue-vien-480g-tui-12-banh-i1888720245.html</v>
      </c>
      <c r="C2156" s="10" t="s">
        <v>2156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8">
        <v>7011.0</v>
      </c>
      <c r="B2157" s="9" t="str">
        <f>HYPERLINK("https://www.lazada.vn/products/banh-cosy-wonderful-socola-yen-mach-196gr-153gr-52122-i2084706069.html", "https://www.lazada.vn/products/banh-cosy-wonderful-socola-yen-mach-196gr-153gr-52122-i2084706069.html")</f>
        <v>https://www.lazada.vn/products/banh-cosy-wonderful-socola-yen-mach-196gr-153gr-52122-i2084706069.html</v>
      </c>
      <c r="C2157" s="10" t="s">
        <v>2157</v>
      </c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8">
        <v>7012.0</v>
      </c>
      <c r="B2158" s="9" t="str">
        <f>HYPERLINK("https://www.lazada.vn/products/ravasooji-semolina-1kg-i1810631930.html", "https://www.lazada.vn/products/ravasooji-semolina-1kg-i1810631930.html")</f>
        <v>https://www.lazada.vn/products/ravasooji-semolina-1kg-i1810631930.html</v>
      </c>
      <c r="C2158" s="10" t="s">
        <v>2158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8">
        <v>7013.0</v>
      </c>
      <c r="B2159" s="9" t="str">
        <f>HYPERLINK("https://www.lazada.vn/products/banh-quy-bo-thap-cam-lu-hop-310gr-13915-tet-2025-i2084518701.html", "https://www.lazada.vn/products/banh-quy-bo-thap-cam-lu-hop-310gr-13915-tet-2025-i2084518701.html")</f>
        <v>https://www.lazada.vn/products/banh-quy-bo-thap-cam-lu-hop-310gr-13915-tet-2025-i2084518701.html</v>
      </c>
      <c r="C2159" s="10" t="s">
        <v>2159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8">
        <v>7014.0</v>
      </c>
      <c r="B2160" s="9" t="str">
        <f>HYPERLINK("https://www.lazada.vn/products/tran-chau-gia-uy-2kg-du-mui-i1569528267.html", "https://www.lazada.vn/products/tran-chau-gia-uy-2kg-du-mui-i1569528267.html")</f>
        <v>https://www.lazada.vn/products/tran-chau-gia-uy-2kg-du-mui-i1569528267.html</v>
      </c>
      <c r="C2160" s="10" t="s">
        <v>2160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8">
        <v>7015.0</v>
      </c>
      <c r="B2161" s="9" t="str">
        <f>HYPERLINK("https://www.lazada.vn/products/banh-quy-lu-assorted-cookies-hop-180g-14677-tet-2025-i2084465806.html", "https://www.lazada.vn/products/banh-quy-lu-assorted-cookies-hop-180g-14677-tet-2025-i2084465806.html")</f>
        <v>https://www.lazada.vn/products/banh-quy-lu-assorted-cookies-hop-180g-14677-tet-2025-i2084465806.html</v>
      </c>
      <c r="C2161" s="10" t="s">
        <v>2161</v>
      </c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8">
        <v>7016.0</v>
      </c>
      <c r="B2162" s="9" t="str">
        <f>HYPERLINK("https://www.lazada.vn/products/mivolis-biotin-cua-duc-hop-60-vien-i1560087437.html", "https://www.lazada.vn/products/mivolis-biotin-cua-duc-hop-60-vien-i1560087437.html")</f>
        <v>https://www.lazada.vn/products/mivolis-biotin-cua-duc-hop-60-vien-i1560087437.html</v>
      </c>
      <c r="C2162" s="10" t="s">
        <v>2162</v>
      </c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8">
        <v>7017.0</v>
      </c>
      <c r="B2163" s="9" t="str">
        <f>HYPERLINK("https://www.lazada.vn/products/banh-socola-nextar-nabati-112g-hop-8-banh-vi-dau-socola-dua-b46-an-vat-beegin-i2083328432.html", "https://www.lazada.vn/products/banh-socola-nextar-nabati-112g-hop-8-banh-vi-dau-socola-dua-b46-an-vat-beegin-i2083328432.html")</f>
        <v>https://www.lazada.vn/products/banh-socola-nextar-nabati-112g-hop-8-banh-vi-dau-socola-dua-b46-an-vat-beegin-i2083328432.html</v>
      </c>
      <c r="C2163" s="10" t="s">
        <v>2163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8">
        <v>7018.0</v>
      </c>
      <c r="B2164" s="9" t="str">
        <f>HYPERLINK("https://www.lazada.vn/products/bot-banh-xeo-tai-ky-food-goi-400g-i1522103117.html", "https://www.lazada.vn/products/bot-banh-xeo-tai-ky-food-goi-400g-i1522103117.html")</f>
        <v>https://www.lazada.vn/products/bot-banh-xeo-tai-ky-food-goi-400g-i1522103117.html</v>
      </c>
      <c r="C2164" s="10" t="s">
        <v>2164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8">
        <v>7019.0</v>
      </c>
      <c r="B2165" s="9" t="str">
        <f>HYPERLINK("https://www.lazada.vn/products/1ky-duong-thot-not-nguyen-chat-100-i1489238394.html", "https://www.lazada.vn/products/1ky-duong-thot-not-nguyen-chat-100-i1489238394.html")</f>
        <v>https://www.lazada.vn/products/1ky-duong-thot-not-nguyen-chat-100-i1489238394.html</v>
      </c>
      <c r="C2165" s="10" t="s">
        <v>2165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8">
        <v>7020.0</v>
      </c>
      <c r="B2166" s="9" t="str">
        <f>HYPERLINK("https://www.lazada.vn/products/banh-quy-bo-danisa-melody-hop-nhac-992g-limited-i2076574249.html", "https://www.lazada.vn/products/banh-quy-bo-danisa-melody-hop-nhac-992g-limited-i2076574249.html")</f>
        <v>https://www.lazada.vn/products/banh-quy-bo-danisa-melody-hop-nhac-992g-limited-i2076574249.html</v>
      </c>
      <c r="C2166" s="10" t="s">
        <v>2166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8">
        <v>7021.0</v>
      </c>
      <c r="B2167" s="9" t="str">
        <f>HYPERLINK("https://www.lazada.vn/products/bot-la-nep-la-dua-tao-mau-xanh-la-50-gam-i1431667658.html", "https://www.lazada.vn/products/bot-la-nep-la-dua-tao-mau-xanh-la-50-gam-i1431667658.html")</f>
        <v>https://www.lazada.vn/products/bot-la-nep-la-dua-tao-mau-xanh-la-50-gam-i1431667658.html</v>
      </c>
      <c r="C2167" s="10" t="s">
        <v>2167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8">
        <v>7022.0</v>
      </c>
      <c r="B2168" s="9" t="str">
        <f>HYPERLINK("https://www.lazada.vn/products/banh-quy-gung-ginger-nuts-royalty-healthy-300g-i2072289291.html", "https://www.lazada.vn/products/banh-quy-gung-ginger-nuts-royalty-healthy-300g-i2072289291.html")</f>
        <v>https://www.lazada.vn/products/banh-quy-gung-ginger-nuts-royalty-healthy-300g-i2072289291.html</v>
      </c>
      <c r="C2168" s="10" t="s">
        <v>2168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8">
        <v>7023.0</v>
      </c>
      <c r="B2169" s="9" t="str">
        <f>HYPERLINK("https://www.lazada.vn/products/tinh-bot-gao-nep-thai-lan-400g-nhap-khau-hieu-jadeleaf-bot-nep-lam-mochi-kem-sieu-ngon-i1398625006.html", "https://www.lazada.vn/products/tinh-bot-gao-nep-thai-lan-400g-nhap-khau-hieu-jadeleaf-bot-nep-lam-mochi-kem-sieu-ngon-i1398625006.html")</f>
        <v>https://www.lazada.vn/products/tinh-bot-gao-nep-thai-lan-400g-nhap-khau-hieu-jadeleaf-bot-nep-lam-mochi-kem-sieu-ngon-i1398625006.html</v>
      </c>
      <c r="C2169" s="10" t="s">
        <v>2169</v>
      </c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8">
        <v>7024.0</v>
      </c>
      <c r="B2170" s="9" t="str">
        <f>HYPERLINK("https://www.lazada.vn/products/banh-chocopie-phu-socola-dua-hau-pham-nguyen-bich-12-banh-i2068297488.html", "https://www.lazada.vn/products/banh-chocopie-phu-socola-dua-hau-pham-nguyen-bich-12-banh-i2068297488.html")</f>
        <v>https://www.lazada.vn/products/banh-chocopie-phu-socola-dua-hau-pham-nguyen-bich-12-banh-i2068297488.html</v>
      </c>
      <c r="C2170" s="10" t="s">
        <v>2170</v>
      </c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8">
        <v>7025.0</v>
      </c>
      <c r="B2171" s="9" t="str">
        <f>HYPERLINK("https://www.lazada.vn/products/tinh-bot-nang-1kg-nhap-khau-thai-lan-hieu-jade-leaf-i1398616040.html", "https://www.lazada.vn/products/tinh-bot-nang-1kg-nhap-khau-thai-lan-hieu-jade-leaf-i1398616040.html")</f>
        <v>https://www.lazada.vn/products/tinh-bot-nang-1kg-nhap-khau-thai-lan-hieu-jade-leaf-i1398616040.html</v>
      </c>
      <c r="C2171" s="10" t="s">
        <v>2171</v>
      </c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8">
        <v>7026.0</v>
      </c>
      <c r="B2172" s="9" t="str">
        <f>HYPERLINK("https://www.lazada.vn/products/fd-dried-fig-chips-baking-dessert-decorative-material-various-fruit-chips-crispy-loose-500g-snack-dried-fruit-from-xinjiang-i2923819479.html", "https://www.lazada.vn/products/fd-dried-fig-chips-baking-dessert-decorative-material-various-fruit-chips-crispy-loose-500g-snack-dried-fruit-from-xinjiang-i2923819479.html")</f>
        <v>https://www.lazada.vn/products/fd-dried-fig-chips-baking-dessert-decorative-material-various-fruit-chips-crispy-loose-500g-snack-dried-fruit-from-xinjiang-i2923819479.html</v>
      </c>
      <c r="C2172" s="10" t="s">
        <v>2172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8">
        <v>7027.0</v>
      </c>
      <c r="B2173" s="9" t="str">
        <f>HYPERLINK("https://www.lazada.vn/products/tipo-banh-hop-thiec-cookies-150g-chocotale-bo-i2063711244.html", "https://www.lazada.vn/products/tipo-banh-hop-thiec-cookies-150g-chocotale-bo-i2063711244.html")</f>
        <v>https://www.lazada.vn/products/tipo-banh-hop-thiec-cookies-150g-chocotale-bo-i2063711244.html</v>
      </c>
      <c r="C2173" s="10" t="s">
        <v>2173</v>
      </c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8">
        <v>7028.0</v>
      </c>
      <c r="B2174" s="9" t="str">
        <f>HYPERLINK("https://www.lazada.vn/products/tinh-bot-ngo-thai-lan-1kg-nhap-khau-chinh-hang-hieu-jade-leaf-i1398612097.html", "https://www.lazada.vn/products/tinh-bot-ngo-thai-lan-1kg-nhap-khau-chinh-hang-hieu-jade-leaf-i1398612097.html")</f>
        <v>https://www.lazada.vn/products/tinh-bot-ngo-thai-lan-1kg-nhap-khau-chinh-hang-hieu-jade-leaf-i1398612097.html</v>
      </c>
      <c r="C2174" s="10" t="s">
        <v>2174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8">
        <v>7029.0</v>
      </c>
      <c r="B2175" s="9" t="str">
        <f>HYPERLINK("https://www.lazada.vn/products/sunshine-fresh-language-dried-pineapple-snack-dried-fruit-children-no-added-pregnant-women-bag-leisure-snacks-pineapple-crisps-i2923817369.html", "https://www.lazada.vn/products/sunshine-fresh-language-dried-pineapple-snack-dried-fruit-children-no-added-pregnant-women-bag-leisure-snacks-pineapple-crisps-i2923817369.html")</f>
        <v>https://www.lazada.vn/products/sunshine-fresh-language-dried-pineapple-snack-dried-fruit-children-no-added-pregnant-women-bag-leisure-snacks-pineapple-crisps-i2923817369.html</v>
      </c>
      <c r="C2175" s="10" t="s">
        <v>2175</v>
      </c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8">
        <v>7030.0</v>
      </c>
      <c r="B2176" s="9" t="str">
        <f>HYPERLINK("https://www.lazada.vn/products/banh-kem-oc-que-socola-sweet-gone-8k-2-cai-i2061007389.html", "https://www.lazada.vn/products/banh-kem-oc-que-socola-sweet-gone-8k-2-cai-i2061007389.html")</f>
        <v>https://www.lazada.vn/products/banh-kem-oc-que-socola-sweet-gone-8k-2-cai-i2061007389.html</v>
      </c>
      <c r="C2176" s="10" t="s">
        <v>2176</v>
      </c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8">
        <v>7031.0</v>
      </c>
      <c r="B2177" s="9" t="str">
        <f>HYPERLINK("https://www.lazada.vn/products/tinh-bot-nang-thai-lan-400g-nhap-khau-thuong-hieu-jade-leaf-i1398535447.html", "https://www.lazada.vn/products/tinh-bot-nang-thai-lan-400g-nhap-khau-thuong-hieu-jade-leaf-i1398535447.html")</f>
        <v>https://www.lazada.vn/products/tinh-bot-nang-thai-lan-400g-nhap-khau-thuong-hieu-jade-leaf-i1398535447.html</v>
      </c>
      <c r="C2177" s="10" t="s">
        <v>2177</v>
      </c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8">
        <v>7032.0</v>
      </c>
      <c r="B2178" s="9" t="str">
        <f>HYPERLINK("https://www.lazada.vn/products/trai-cay-dong-kho-pho-mai-apple-va-strawberry-snack-cho-ba-bau-tra-sua-chua-dried-fruit-va-snack-dried-milk-block-i2923815037.html", "https://www.lazada.vn/products/trai-cay-dong-kho-pho-mai-apple-va-strawberry-snack-cho-ba-bau-tra-sua-chua-dried-fruit-va-snack-dried-milk-block-i2923815037.html")</f>
        <v>https://www.lazada.vn/products/trai-cay-dong-kho-pho-mai-apple-va-strawberry-snack-cho-ba-bau-tra-sua-chua-dried-fruit-va-snack-dried-milk-block-i2923815037.html</v>
      </c>
      <c r="C2178" s="10" t="s">
        <v>2178</v>
      </c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8">
        <v>7033.0</v>
      </c>
      <c r="B2179" s="9" t="str">
        <f>HYPERLINK("https://www.lazada.vn/products/combo-24-cay-goi-banh-quy-so-co-la-oreo-vani-110g-i2059501288.html", "https://www.lazada.vn/products/combo-24-cay-goi-banh-quy-so-co-la-oreo-vani-110g-i2059501288.html")</f>
        <v>https://www.lazada.vn/products/combo-24-cay-goi-banh-quy-so-co-la-oreo-vani-110g-i2059501288.html</v>
      </c>
      <c r="C2179" s="10" t="s">
        <v>2179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8">
        <v>7034.0</v>
      </c>
      <c r="B2180" s="9" t="str">
        <f>HYPERLINK("https://www.lazada.vn/products/tinh-bot-gao-te-400g-thai-lan-nhap-khau-i1398529504.html", "https://www.lazada.vn/products/tinh-bot-gao-te-400g-thai-lan-nhap-khau-i1398529504.html")</f>
        <v>https://www.lazada.vn/products/tinh-bot-gao-te-400g-thai-lan-nhap-khau-i1398529504.html</v>
      </c>
      <c r="C2180" s="10" t="s">
        <v>2180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8">
        <v>7035.0</v>
      </c>
      <c r="B2181" s="9" t="str">
        <f>HYPERLINK("https://www.lazada.vn/products/strawberry-dried-freeze-dried-whole-large-bag-mixed-fruit-snacks-healthy-dry-fruit-treats-from-china-fujian-quanzhou-jinjiang-i2923814324.html", "https://www.lazada.vn/products/strawberry-dried-freeze-dried-whole-large-bag-mixed-fruit-snacks-healthy-dry-fruit-treats-from-china-fujian-quanzhou-jinjiang-i2923814324.html")</f>
        <v>https://www.lazada.vn/products/strawberry-dried-freeze-dried-whole-large-bag-mixed-fruit-snacks-healthy-dry-fruit-treats-from-china-fujian-quanzhou-jinjiang-i2923814324.html</v>
      </c>
      <c r="C2181" s="10" t="s">
        <v>2181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8">
        <v>7036.0</v>
      </c>
      <c r="B2182" s="9" t="str">
        <f>HYPERLINK("https://www.lazada.vn/products/combo-5-hop-banh-sua-long-thanh-nguyen-chat-hieu-domilk-i2055017297.html", "https://www.lazada.vn/products/combo-5-hop-banh-sua-long-thanh-nguyen-chat-hieu-domilk-i2055017297.html")</f>
        <v>https://www.lazada.vn/products/combo-5-hop-banh-sua-long-thanh-nguyen-chat-hieu-domilk-i2055017297.html</v>
      </c>
      <c r="C2182" s="10" t="s">
        <v>2182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8">
        <v>7037.0</v>
      </c>
      <c r="B2183" s="9" t="str">
        <f>HYPERLINK("https://www.lazada.vn/products/biando-pure-wheat-mixed-grain-biscuits-original-sesame-flavor-breakfast-snack-whole-wheat-coarse-grain-fiber-digestive-biscuits-i2923814127.html", "https://www.lazada.vn/products/biando-pure-wheat-mixed-grain-biscuits-original-sesame-flavor-breakfast-snack-whole-wheat-coarse-grain-fiber-digestive-biscuits-i2923814127.html")</f>
        <v>https://www.lazada.vn/products/biando-pure-wheat-mixed-grain-biscuits-original-sesame-flavor-breakfast-snack-whole-wheat-coarse-grain-fiber-digestive-biscuits-i2923814127.html</v>
      </c>
      <c r="C2183" s="10" t="s">
        <v>2183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8">
        <v>7038.0</v>
      </c>
      <c r="B2184" s="9" t="str">
        <f>HYPERLINK("https://www.lazada.vn/products/1-cai-banh-mi-cha-bong-ruoc-man-i2747680898.html", "https://www.lazada.vn/products/1-cai-banh-mi-cha-bong-ruoc-man-i2747680898.html")</f>
        <v>https://www.lazada.vn/products/1-cai-banh-mi-cha-bong-ruoc-man-i2747680898.html</v>
      </c>
      <c r="C2184" s="10" t="s">
        <v>2184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8">
        <v>7039.0</v>
      </c>
      <c r="B2185" s="9" t="str">
        <f>HYPERLINK("https://www.lazada.vn/products/tom-kho-i2830494179.html", "https://www.lazada.vn/products/tom-kho-i2830494179.html")</f>
        <v>https://www.lazada.vn/products/tom-kho-i2830494179.html</v>
      </c>
      <c r="C2185" s="10" t="s">
        <v>2185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8">
        <v>7040.0</v>
      </c>
      <c r="B2186" s="9" t="str">
        <f>HYPERLINK("https://www.lazada.vn/products/bia-thu-cong-rooster-beers-pale-bia-ga-pale-thung-10-lon-cao-sleek-can-x-330ml-i2717447655.html", "https://www.lazada.vn/products/bia-thu-cong-rooster-beers-pale-bia-ga-pale-thung-10-lon-cao-sleek-can-x-330ml-i2717447655.html")</f>
        <v>https://www.lazada.vn/products/bia-thu-cong-rooster-beers-pale-bia-ga-pale-thung-10-lon-cao-sleek-can-x-330ml-i2717447655.html</v>
      </c>
      <c r="C2186" s="10" t="s">
        <v>2186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8">
        <v>7041.0</v>
      </c>
      <c r="B2187" s="9" t="str">
        <f>HYPERLINK("https://www.lazada.vn/products/so-chu-trai-cay-han-quoc-good-day-360ml-i2219454753.html", "https://www.lazada.vn/products/so-chu-trai-cay-han-quoc-good-day-360ml-i2219454753.html")</f>
        <v>https://www.lazada.vn/products/so-chu-trai-cay-han-quoc-good-day-360ml-i2219454753.html</v>
      </c>
      <c r="C2187" s="10" t="s">
        <v>2187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8">
        <v>7042.0</v>
      </c>
      <c r="B2188" s="9" t="str">
        <f>HYPERLINK("https://www.lazada.vn/products/combo-6-banh-bong-lan-tam-giac-weiseil-vi-man-xoi-tra-xanh-socola-phomai-b196-beegin-mart-i2745762160.html", "https://www.lazada.vn/products/combo-6-banh-bong-lan-tam-giac-weiseil-vi-man-xoi-tra-xanh-socola-phomai-b196-beegin-mart-i2745762160.html")</f>
        <v>https://www.lazada.vn/products/combo-6-banh-bong-lan-tam-giac-weiseil-vi-man-xoi-tra-xanh-socola-phomai-b196-beegin-mart-i2745762160.html</v>
      </c>
      <c r="C2188" s="10" t="s">
        <v>2188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8">
        <v>7043.0</v>
      </c>
      <c r="B2189" s="9" t="str">
        <f>HYPERLINK("https://www.lazada.vn/products/tom-kho-i2830369673.html", "https://www.lazada.vn/products/tom-kho-i2830369673.html")</f>
        <v>https://www.lazada.vn/products/tom-kho-i2830369673.html</v>
      </c>
      <c r="C2189" s="10" t="s">
        <v>2189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8">
        <v>7044.0</v>
      </c>
      <c r="B2190" s="9" t="str">
        <f>HYPERLINK("https://www.lazada.vn/products/pia-long-chau-dau-tan-hue-vien-i2053277126.html", "https://www.lazada.vn/products/pia-long-chau-dau-tan-hue-vien-i2053277126.html")</f>
        <v>https://www.lazada.vn/products/pia-long-chau-dau-tan-hue-vien-i2053277126.html</v>
      </c>
      <c r="C2190" s="10" t="s">
        <v>2190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8">
        <v>7045.0</v>
      </c>
      <c r="B2191" s="9" t="str">
        <f>HYPERLINK("https://www.lazada.vn/products/combo-6-lon-nuoc-cot-dua-mom-cooks-400mllon-i2080188437.html", "https://www.lazada.vn/products/combo-6-lon-nuoc-cot-dua-mom-cooks-400mllon-i2080188437.html")</f>
        <v>https://www.lazada.vn/products/combo-6-lon-nuoc-cot-dua-mom-cooks-400mllon-i2080188437.html</v>
      </c>
      <c r="C2191" s="10" t="s">
        <v>2191</v>
      </c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8">
        <v>7046.0</v>
      </c>
      <c r="B2192" s="9" t="str">
        <f>HYPERLINK("https://www.lazada.vn/products/combo-6-banh-bong-lan-tam-giac-weiseil-vi-man-xoi-tra-xanh-socola-phomai-b196-an-vat-beegin-i2745756065.html", "https://www.lazada.vn/products/combo-6-banh-bong-lan-tam-giac-weiseil-vi-man-xoi-tra-xanh-socola-phomai-b196-an-vat-beegin-i2745756065.html")</f>
        <v>https://www.lazada.vn/products/combo-6-banh-bong-lan-tam-giac-weiseil-vi-man-xoi-tra-xanh-socola-phomai-b196-an-vat-beegin-i2745756065.html</v>
      </c>
      <c r="C2192" s="10" t="s">
        <v>2192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8">
        <v>7047.0</v>
      </c>
      <c r="B2193" s="9" t="str">
        <f>HYPERLINK("https://www.lazada.vn/products/banh-viet-ngon-bo-re-chat-luong-cao-i2044963099.html", "https://www.lazada.vn/products/banh-viet-ngon-bo-re-chat-luong-cao-i2044963099.html")</f>
        <v>https://www.lazada.vn/products/banh-viet-ngon-bo-re-chat-luong-cao-i2044963099.html</v>
      </c>
      <c r="C2193" s="10" t="s">
        <v>2193</v>
      </c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8">
        <v>7048.0</v>
      </c>
      <c r="B2194" s="9" t="str">
        <f>HYPERLINK("https://www.lazada.vn/products/combo-2-lon-nuoc-cot-dua-mom-cooks-400mllon-i2080186337.html", "https://www.lazada.vn/products/combo-2-lon-nuoc-cot-dua-mom-cooks-400mllon-i2080186337.html")</f>
        <v>https://www.lazada.vn/products/combo-2-lon-nuoc-cot-dua-mom-cooks-400mllon-i2080186337.html</v>
      </c>
      <c r="C2194" s="10" t="s">
        <v>2194</v>
      </c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8">
        <v>7049.0</v>
      </c>
      <c r="B2195" s="9" t="str">
        <f>HYPERLINK("https://www.lazada.vn/products/ca-phe-capuchino-dua-archcafe-tui-50-goi-x-20-gr-71343-i3024128492.html", "https://www.lazada.vn/products/ca-phe-capuchino-dua-archcafe-tui-50-goi-x-20-gr-71343-i3024128492.html")</f>
        <v>https://www.lazada.vn/products/ca-phe-capuchino-dua-archcafe-tui-50-goi-x-20-gr-71343-i3024128492.html</v>
      </c>
      <c r="C2195" s="10" t="s">
        <v>2195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8">
        <v>7050.0</v>
      </c>
      <c r="B2196" s="9" t="str">
        <f>HYPERLINK("https://www.lazada.vn/products/tinh-bot-gao-nep-thai-lan-1kg-nhap-khau-hieu-jadeleaf-bot-nep-lam-mochi-kem-sieu-ngon-i1398443772.html", "https://www.lazada.vn/products/tinh-bot-gao-nep-thai-lan-1kg-nhap-khau-hieu-jadeleaf-bot-nep-lam-mochi-kem-sieu-ngon-i1398443772.html")</f>
        <v>https://www.lazada.vn/products/tinh-bot-gao-nep-thai-lan-1kg-nhap-khau-hieu-jadeleaf-bot-nep-lam-mochi-kem-sieu-ngon-i1398443772.html</v>
      </c>
      <c r="C2196" s="10" t="s">
        <v>2196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8">
        <v>7051.0</v>
      </c>
      <c r="B2197" s="9" t="str">
        <f>HYPERLINK("https://www.lazada.vn/products/combo-3-lon-nuoc-cot-dua-mom-cooks-400mllon-i2080175295.html", "https://www.lazada.vn/products/combo-3-lon-nuoc-cot-dua-mom-cooks-400mllon-i2080175295.html")</f>
        <v>https://www.lazada.vn/products/combo-3-lon-nuoc-cot-dua-mom-cooks-400mllon-i2080175295.html</v>
      </c>
      <c r="C2197" s="10" t="s">
        <v>2197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8">
        <v>7052.0</v>
      </c>
      <c r="B2198" s="9" t="str">
        <f>HYPERLINK("https://www.lazada.vn/products/thung-1kg-10c-banh-bong-lan-tam-giac-weiseil-vi-man-xoi-tra-xanh-socola-phomai-b196-gia-ngan-food-i2745753071.html", "https://www.lazada.vn/products/thung-1kg-10c-banh-bong-lan-tam-giac-weiseil-vi-man-xoi-tra-xanh-socola-phomai-b196-gia-ngan-food-i2745753071.html")</f>
        <v>https://www.lazada.vn/products/thung-1kg-10c-banh-bong-lan-tam-giac-weiseil-vi-man-xoi-tra-xanh-socola-phomai-b196-gia-ngan-food-i2745753071.html</v>
      </c>
      <c r="C2198" s="10" t="s">
        <v>2198</v>
      </c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8">
        <v>7053.0</v>
      </c>
      <c r="B2199" s="9" t="str">
        <f>HYPERLINK("https://www.lazada.vn/products/combo-3-cai-banh-socola-nabati-nextar-do-an-vat-i2044093768.html", "https://www.lazada.vn/products/combo-3-cai-banh-socola-nabati-nextar-do-an-vat-i2044093768.html")</f>
        <v>https://www.lazada.vn/products/combo-3-cai-banh-socola-nabati-nextar-do-an-vat-i2044093768.html</v>
      </c>
      <c r="C2199" s="10" t="s">
        <v>2199</v>
      </c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8">
        <v>7054.0</v>
      </c>
      <c r="B2200" s="9" t="str">
        <f>HYPERLINK("https://www.lazada.vn/products/bot-mi-nguyen-cam-mamas-choice-i1396974012.html", "https://www.lazada.vn/products/bot-mi-nguyen-cam-mamas-choice-i1396974012.html")</f>
        <v>https://www.lazada.vn/products/bot-mi-nguyen-cam-mamas-choice-i1396974012.html</v>
      </c>
      <c r="C2200" s="10" t="s">
        <v>2200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8">
        <v>7055.0</v>
      </c>
      <c r="B2201" s="9" t="str">
        <f>HYPERLINK("https://www.lazada.vn/products/nuoc-cot-dua-mom-cooks-400mllon-i2079999797.html", "https://www.lazada.vn/products/nuoc-cot-dua-mom-cooks-400mllon-i2079999797.html")</f>
        <v>https://www.lazada.vn/products/nuoc-cot-dua-mom-cooks-400mllon-i2079999797.html</v>
      </c>
      <c r="C2201" s="10" t="s">
        <v>2201</v>
      </c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8">
        <v>7056.0</v>
      </c>
      <c r="B2202" s="9" t="str">
        <f>HYPERLINK("https://www.lazada.vn/products/banh-xop-ngu-coc-23-vi-nhan-pho-mai-han-quoc-tui-khong-lo-500g-i2039464609.html", "https://www.lazada.vn/products/banh-xop-ngu-coc-23-vi-nhan-pho-mai-han-quoc-tui-khong-lo-500g-i2039464609.html")</f>
        <v>https://www.lazada.vn/products/banh-xop-ngu-coc-23-vi-nhan-pho-mai-han-quoc-tui-khong-lo-500g-i2039464609.html</v>
      </c>
      <c r="C2202" s="10" t="s">
        <v>2202</v>
      </c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8">
        <v>7057.0</v>
      </c>
      <c r="B2203" s="9" t="str">
        <f>HYPERLINK("https://www.lazada.vn/products/combo-6-banh-bong-lan-tam-giac-weiseil-vi-man-xoi-tra-xanh-socola-phomai-b196-beegin-food-i2745740203.html", "https://www.lazada.vn/products/combo-6-banh-bong-lan-tam-giac-weiseil-vi-man-xoi-tra-xanh-socola-phomai-b196-beegin-food-i2745740203.html")</f>
        <v>https://www.lazada.vn/products/combo-6-banh-bong-lan-tam-giac-weiseil-vi-man-xoi-tra-xanh-socola-phomai-b196-beegin-food-i2745740203.html</v>
      </c>
      <c r="C2203" s="10" t="s">
        <v>2203</v>
      </c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8">
        <v>7058.0</v>
      </c>
      <c r="B2204" s="9" t="str">
        <f>HYPERLINK("https://www.lazada.vn/products/hcmbot-banh-pancake-birch-benders-keto-pancake-waffle-mix-low-carb-high-protein-grain-free-gluten-free-low-glycemic-283g-10oz-i1396910228.html", "https://www.lazada.vn/products/hcmbot-banh-pancake-birch-benders-keto-pancake-waffle-mix-low-carb-high-protein-grain-free-gluten-free-low-glycemic-283g-10oz-i1396910228.html")</f>
        <v>https://www.lazada.vn/products/hcmbot-banh-pancake-birch-benders-keto-pancake-waffle-mix-low-carb-high-protein-grain-free-gluten-free-low-glycemic-283g-10oz-i1396910228.html</v>
      </c>
      <c r="C2204" s="10" t="s">
        <v>2204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8">
        <v>7059.0</v>
      </c>
      <c r="B2205" s="9" t="str">
        <f>HYPERLINK("https://www.lazada.vn/products/pa-te-chay-phuong-loan-lon-150g-vi-truyen-thong-thuc-pham-chay-ngon-i2076190727.html", "https://www.lazada.vn/products/pa-te-chay-phuong-loan-lon-150g-vi-truyen-thong-thuc-pham-chay-ngon-i2076190727.html")</f>
        <v>https://www.lazada.vn/products/pa-te-chay-phuong-loan-lon-150g-vi-truyen-thong-thuc-pham-chay-ngon-i2076190727.html</v>
      </c>
      <c r="C2205" s="10" t="s">
        <v>2205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8">
        <v>7060.0</v>
      </c>
      <c r="B2206" s="9" t="str">
        <f>HYPERLINK("https://www.lazada.vn/products/banh-pia-xua-tan-phat-nhan-mon-sau-rieng-khong-trung-350grcay-4cai-i2033034056.html", "https://www.lazada.vn/products/banh-pia-xua-tan-phat-nhan-mon-sau-rieng-khong-trung-350grcay-4cai-i2033034056.html")</f>
        <v>https://www.lazada.vn/products/banh-pia-xua-tan-phat-nhan-mon-sau-rieng-khong-trung-350grcay-4cai-i2033034056.html</v>
      </c>
      <c r="C2206" s="10" t="s">
        <v>2206</v>
      </c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8">
        <v>7061.0</v>
      </c>
      <c r="B2207" s="9" t="str">
        <f>HYPERLINK("https://www.lazada.vn/products/combo-12-banh-bong-lan-tam-giac-weiseil-vi-man-xoi-tra-xanh-socola-phomai-b196-beegin-food-i2745733218.html", "https://www.lazada.vn/products/combo-12-banh-bong-lan-tam-giac-weiseil-vi-man-xoi-tra-xanh-socola-phomai-b196-beegin-food-i2745733218.html")</f>
        <v>https://www.lazada.vn/products/combo-12-banh-bong-lan-tam-giac-weiseil-vi-man-xoi-tra-xanh-socola-phomai-b196-beegin-food-i2745733218.html</v>
      </c>
      <c r="C2207" s="10" t="s">
        <v>2207</v>
      </c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8">
        <v>7062.0</v>
      </c>
      <c r="B2208" s="9" t="str">
        <f>HYPERLINK("https://www.lazada.vn/products/bot-lua-mi-nguyen-cam-nay-mam-viethealthy-500gr-i851790657.html", "https://www.lazada.vn/products/bot-lua-mi-nguyen-cam-nay-mam-viethealthy-500gr-i851790657.html")</f>
        <v>https://www.lazada.vn/products/bot-lua-mi-nguyen-cam-nay-mam-viethealthy-500gr-i851790657.html</v>
      </c>
      <c r="C2208" s="10" t="s">
        <v>2208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8">
        <v>7063.0</v>
      </c>
      <c r="B2209" s="9" t="str">
        <f>HYPERLINK("https://www.lazada.vn/products/bot-mi-nguyen-cam-bobs-red-mill-goi-le-500g-i847710234.html", "https://www.lazada.vn/products/bot-mi-nguyen-cam-bobs-red-mill-goi-le-500g-i847710234.html")</f>
        <v>https://www.lazada.vn/products/bot-mi-nguyen-cam-bobs-red-mill-goi-le-500g-i847710234.html</v>
      </c>
      <c r="C2209" s="10" t="s">
        <v>2209</v>
      </c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8">
        <v>7064.0</v>
      </c>
      <c r="B2210" s="9" t="str">
        <f>HYPERLINK("https://www.lazada.vn/products/hcm-mang-chua-tuoi-hu-500-gram-dung-nau-lau-nau-canh-xao-kho-bop-goi-i2076039039.html", "https://www.lazada.vn/products/hcm-mang-chua-tuoi-hu-500-gram-dung-nau-lau-nau-canh-xao-kho-bop-goi-i2076039039.html")</f>
        <v>https://www.lazada.vn/products/hcm-mang-chua-tuoi-hu-500-gram-dung-nau-lau-nau-canh-xao-kho-bop-goi-i2076039039.html</v>
      </c>
      <c r="C2210" s="10" t="s">
        <v>2210</v>
      </c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8">
        <v>7065.0</v>
      </c>
      <c r="B2211" s="9" t="str">
        <f>HYPERLINK("https://www.lazada.vn/products/combo-12-banh-bong-lan-tam-giac-weiseil-vi-man-xoi-tra-xanh-socola-phomai-b196-gia-ngan-food-i2745699169.html", "https://www.lazada.vn/products/combo-12-banh-bong-lan-tam-giac-weiseil-vi-man-xoi-tra-xanh-socola-phomai-b196-gia-ngan-food-i2745699169.html")</f>
        <v>https://www.lazada.vn/products/combo-12-banh-bong-lan-tam-giac-weiseil-vi-man-xoi-tra-xanh-socola-phomai-b196-gia-ngan-food-i2745699169.html</v>
      </c>
      <c r="C2211" s="10" t="s">
        <v>2211</v>
      </c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8">
        <v>7066.0</v>
      </c>
      <c r="B2212" s="9" t="str">
        <f>HYPERLINK("https://www.lazada.vn/products/banh-new-york-perfect-cheese-nhat-ban-hop-12-banh-i2028496808.html", "https://www.lazada.vn/products/banh-new-york-perfect-cheese-nhat-ban-hop-12-banh-i2028496808.html")</f>
        <v>https://www.lazada.vn/products/banh-new-york-perfect-cheese-nhat-ban-hop-12-banh-i2028496808.html</v>
      </c>
      <c r="C2212" s="10" t="s">
        <v>2212</v>
      </c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8">
        <v>7067.0</v>
      </c>
      <c r="B2213" s="9" t="str">
        <f>HYPERLINK("https://www.lazada.vn/products/hcmbot-tau-hu-singapore-dau-nanh-den-pha-san-goi-90g-460ml-i788984195.html", "https://www.lazada.vn/products/hcmbot-tau-hu-singapore-dau-nanh-den-pha-san-goi-90g-460ml-i788984195.html")</f>
        <v>https://www.lazada.vn/products/hcmbot-tau-hu-singapore-dau-nanh-den-pha-san-goi-90g-460ml-i788984195.html</v>
      </c>
      <c r="C2213" s="10" t="s">
        <v>2213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8">
        <v>7068.0</v>
      </c>
      <c r="B2214" s="9" t="str">
        <f>HYPERLINK("https://www.lazada.vn/products/hu-500gr-nuoc-sot-mam-me-nguyen-chat-dung-chung-voi-banh-trang-hoac-kho-nuong-cac-loai-i2075096359.html", "https://www.lazada.vn/products/hu-500gr-nuoc-sot-mam-me-nguyen-chat-dung-chung-voi-banh-trang-hoac-kho-nuong-cac-loai-i2075096359.html")</f>
        <v>https://www.lazada.vn/products/hu-500gr-nuoc-sot-mam-me-nguyen-chat-dung-chung-voi-banh-trang-hoac-kho-nuong-cac-loai-i2075096359.html</v>
      </c>
      <c r="C2214" s="10" t="s">
        <v>2214</v>
      </c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8">
        <v>7069.0</v>
      </c>
      <c r="B2215" s="9" t="str">
        <f>HYPERLINK("https://www.lazada.vn/products/banh-hot-hit-i2026330069.html", "https://www.lazada.vn/products/banh-hot-hit-i2026330069.html")</f>
        <v>https://www.lazada.vn/products/banh-hot-hit-i2026330069.html</v>
      </c>
      <c r="C2215" s="10" t="s">
        <v>2215</v>
      </c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8">
        <v>7070.0</v>
      </c>
      <c r="B2216" s="9" t="str">
        <f>HYPERLINK("https://www.lazada.vn/products/combo-12-banh-bong-lan-tam-giac-weiseil-vi-man-xoi-tra-xanh-socola-phomai-b196-beegin-mart-i2745690501.html", "https://www.lazada.vn/products/combo-12-banh-bong-lan-tam-giac-weiseil-vi-man-xoi-tra-xanh-socola-phomai-b196-beegin-mart-i2745690501.html")</f>
        <v>https://www.lazada.vn/products/combo-12-banh-bong-lan-tam-giac-weiseil-vi-man-xoi-tra-xanh-socola-phomai-b196-beegin-mart-i2745690501.html</v>
      </c>
      <c r="C2216" s="10" t="s">
        <v>2216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8">
        <v>7071.0</v>
      </c>
      <c r="B2217" s="9" t="str">
        <f>HYPERLINK("https://www.lazada.vn/products/luong-kho-ca-cao-cong-ty-22-700ghop-i2023771228.html", "https://www.lazada.vn/products/luong-kho-ca-cao-cong-ty-22-700ghop-i2023771228.html")</f>
        <v>https://www.lazada.vn/products/luong-kho-ca-cao-cong-ty-22-700ghop-i2023771228.html</v>
      </c>
      <c r="C2217" s="10" t="s">
        <v>2217</v>
      </c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8">
        <v>7072.0</v>
      </c>
      <c r="B2218" s="9" t="str">
        <f>HYPERLINK("https://www.lazada.vn/products/dau-gao-suriny-rice-bran-700ml-i2069875847.html", "https://www.lazada.vn/products/dau-gao-suriny-rice-bran-700ml-i2069875847.html")</f>
        <v>https://www.lazada.vn/products/dau-gao-suriny-rice-bran-700ml-i2069875847.html</v>
      </c>
      <c r="C2218" s="10" t="s">
        <v>2218</v>
      </c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8">
        <v>7073.0</v>
      </c>
      <c r="B2219" s="9" t="str">
        <f>HYPERLINK("https://www.lazada.vn/products/hcmbot-tau-hu-singapore-dau-nanh-den-pha-san-goi-180g-920ml-i788880187.html", "https://www.lazada.vn/products/hcmbot-tau-hu-singapore-dau-nanh-den-pha-san-goi-180g-920ml-i788880187.html")</f>
        <v>https://www.lazada.vn/products/hcmbot-tau-hu-singapore-dau-nanh-den-pha-san-goi-180g-920ml-i788880187.html</v>
      </c>
      <c r="C2219" s="10" t="s">
        <v>2219</v>
      </c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8">
        <v>7074.0</v>
      </c>
      <c r="B2220" s="9" t="str">
        <f>HYPERLINK("https://www.lazada.vn/products/thung-1kg-10c-banh-bong-lan-tam-giac-weiseil-vi-man-xoi-tra-xanh-socola-phomai-b196-beegin-food-i2745652669.html", "https://www.lazada.vn/products/thung-1kg-10c-banh-bong-lan-tam-giac-weiseil-vi-man-xoi-tra-xanh-socola-phomai-b196-beegin-food-i2745652669.html")</f>
        <v>https://www.lazada.vn/products/thung-1kg-10c-banh-bong-lan-tam-giac-weiseil-vi-man-xoi-tra-xanh-socola-phomai-b196-beegin-food-i2745652669.html</v>
      </c>
      <c r="C2220" s="10" t="s">
        <v>2220</v>
      </c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8">
        <v>7075.0</v>
      </c>
      <c r="B2221" s="9" t="str">
        <f>HYPERLINK("https://www.lazada.vn/products/vang-bich-penasol-airen-3-lit-i2613543430.html", "https://www.lazada.vn/products/vang-bich-penasol-airen-3-lit-i2613543430.html")</f>
        <v>https://www.lazada.vn/products/vang-bich-penasol-airen-3-lit-i2613543430.html</v>
      </c>
      <c r="C2221" s="10" t="s">
        <v>2221</v>
      </c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8">
        <v>7076.0</v>
      </c>
      <c r="B2222" s="9" t="str">
        <f>HYPERLINK("https://www.lazada.vn/products/banh-nextar-socola-nabati-112g-hop-8-banh-vi-dau-socola-dua-b46-beegin-food-i2022443737.html", "https://www.lazada.vn/products/banh-nextar-socola-nabati-112g-hop-8-banh-vi-dau-socola-dua-b46-beegin-food-i2022443737.html")</f>
        <v>https://www.lazada.vn/products/banh-nextar-socola-nabati-112g-hop-8-banh-vi-dau-socola-dua-b46-beegin-food-i2022443737.html</v>
      </c>
      <c r="C2222" s="10" t="s">
        <v>2222</v>
      </c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8">
        <v>7077.0</v>
      </c>
      <c r="B2223" s="9" t="str">
        <f>HYPERLINK("https://www.lazada.vn/products/dam-den-hong-kong-chiakiang-tran-giang-550ml-i2064125271.html", "https://www.lazada.vn/products/dam-den-hong-kong-chiakiang-tran-giang-550ml-i2064125271.html")</f>
        <v>https://www.lazada.vn/products/dam-den-hong-kong-chiakiang-tran-giang-550ml-i2064125271.html</v>
      </c>
      <c r="C2223" s="10" t="s">
        <v>2223</v>
      </c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8">
        <v>7078.0</v>
      </c>
      <c r="B2224" s="9" t="str">
        <f>HYPERLINK("https://www.lazada.vn/products/thung-1kg-10c-banh-bong-lan-tam-giac-weiseil-vi-man-xoi-tra-xanh-socola-phomai-b196-beegin-mart-i2745612883.html", "https://www.lazada.vn/products/thung-1kg-10c-banh-bong-lan-tam-giac-weiseil-vi-man-xoi-tra-xanh-socola-phomai-b196-beegin-mart-i2745612883.html")</f>
        <v>https://www.lazada.vn/products/thung-1kg-10c-banh-bong-lan-tam-giac-weiseil-vi-man-xoi-tra-xanh-socola-phomai-b196-beegin-mart-i2745612883.html</v>
      </c>
      <c r="C2224" s="10" t="s">
        <v>2224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8">
        <v>7079.0</v>
      </c>
      <c r="B2225" s="9" t="str">
        <f>HYPERLINK("https://www.lazada.vn/products/date-luon-moi-banh-mi-hoa-cuc-harrys-brioche-tressee-500gr-nhap-khau-phap-i721096495.html", "https://www.lazada.vn/products/date-luon-moi-banh-mi-hoa-cuc-harrys-brioche-tressee-500gr-nhap-khau-phap-i721096495.html")</f>
        <v>https://www.lazada.vn/products/date-luon-moi-banh-mi-hoa-cuc-harrys-brioche-tressee-500gr-nhap-khau-phap-i721096495.html</v>
      </c>
      <c r="C2225" s="10" t="s">
        <v>2225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8">
        <v>7080.0</v>
      </c>
      <c r="B2226" s="9" t="str">
        <f>HYPERLINK("https://www.lazada.vn/products/banh-gao-lut-mam-la-tia-to-i2014018572.html", "https://www.lazada.vn/products/banh-gao-lut-mam-la-tia-to-i2014018572.html")</f>
        <v>https://www.lazada.vn/products/banh-gao-lut-mam-la-tia-to-i2014018572.html</v>
      </c>
      <c r="C2226" s="10" t="s">
        <v>2226</v>
      </c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8">
        <v>7081.0</v>
      </c>
      <c r="B2227" s="9" t="str">
        <f>HYPERLINK("https://www.lazada.vn/products/1kg-mien-dong-phia-den-dac-san-cao-bang-hang-chuan-100-i2059685985.html", "https://www.lazada.vn/products/1kg-mien-dong-phia-den-dac-san-cao-bang-hang-chuan-100-i2059685985.html")</f>
        <v>https://www.lazada.vn/products/1kg-mien-dong-phia-den-dac-san-cao-bang-hang-chuan-100-i2059685985.html</v>
      </c>
      <c r="C2227" s="10" t="s">
        <v>2227</v>
      </c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8">
        <v>7082.0</v>
      </c>
      <c r="B2228" s="9" t="str">
        <f>HYPERLINK("https://www.lazada.vn/products/banh-quy-trung-muoi-i720930833.html", "https://www.lazada.vn/products/banh-quy-trung-muoi-i720930833.html")</f>
        <v>https://www.lazada.vn/products/banh-quy-trung-muoi-i720930833.html</v>
      </c>
      <c r="C2228" s="10" t="s">
        <v>2228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8">
        <v>7083.0</v>
      </c>
      <c r="B2229" s="9" t="str">
        <f>HYPERLINK("https://www.lazada.vn/products/combo-6-banh-bong-lan-tam-giac-weiseil-vi-man-xoi-tra-xanh-socola-phomai-b196-gia-ngan-food-i2745502714.html", "https://www.lazada.vn/products/combo-6-banh-bong-lan-tam-giac-weiseil-vi-man-xoi-tra-xanh-socola-phomai-b196-gia-ngan-food-i2745502714.html")</f>
        <v>https://www.lazada.vn/products/combo-6-banh-bong-lan-tam-giac-weiseil-vi-man-xoi-tra-xanh-socola-phomai-b196-gia-ngan-food-i2745502714.html</v>
      </c>
      <c r="C2229" s="10" t="s">
        <v>2229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8">
        <v>7084.0</v>
      </c>
      <c r="B2230" s="9" t="str">
        <f>HYPERLINK("https://www.lazada.vn/products/banh-in-trang-ca-cao-1ki-i2013869987.html", "https://www.lazada.vn/products/banh-in-trang-ca-cao-1ki-i2013869987.html")</f>
        <v>https://www.lazada.vn/products/banh-in-trang-ca-cao-1ki-i2013869987.html</v>
      </c>
      <c r="C2230" s="10" t="s">
        <v>2230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8">
        <v>7085.0</v>
      </c>
      <c r="B2231" s="9" t="str">
        <f>HYPERLINK("https://www.lazada.vn/products/hop-dung-60-vien-naru-tang-kich-thuoc-nam-gioi-noi-dia-nhat-ban-i2059186949.html", "https://www.lazada.vn/products/hop-dung-60-vien-naru-tang-kich-thuoc-nam-gioi-noi-dia-nhat-ban-i2059186949.html")</f>
        <v>https://www.lazada.vn/products/hop-dung-60-vien-naru-tang-kich-thuoc-nam-gioi-noi-dia-nhat-ban-i2059186949.html</v>
      </c>
      <c r="C2231" s="10" t="s">
        <v>2231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8">
        <v>7086.0</v>
      </c>
      <c r="B2232" s="9" t="str">
        <f>HYPERLINK("https://www.lazada.vn/products/bot-banking-soda-my-454-gram-i674212905.html", "https://www.lazada.vn/products/bot-banking-soda-my-454-gram-i674212905.html")</f>
        <v>https://www.lazada.vn/products/bot-banking-soda-my-454-gram-i674212905.html</v>
      </c>
      <c r="C2232" s="10" t="s">
        <v>2232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8">
        <v>7087.0</v>
      </c>
      <c r="B2233" s="9" t="str">
        <f>HYPERLINK("https://www.lazada.vn/products/combo-6-banh-bong-lan-tam-giac-weiseil-vi-man-xoi-tra-xanh-socola-phomai-b196-beegin-food-store-i2745435799.html", "https://www.lazada.vn/products/combo-6-banh-bong-lan-tam-giac-weiseil-vi-man-xoi-tra-xanh-socola-phomai-b196-beegin-food-store-i2745435799.html")</f>
        <v>https://www.lazada.vn/products/combo-6-banh-bong-lan-tam-giac-weiseil-vi-man-xoi-tra-xanh-socola-phomai-b196-beegin-food-store-i2745435799.html</v>
      </c>
      <c r="C2233" s="10" t="s">
        <v>2233</v>
      </c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8">
        <v>7088.0</v>
      </c>
      <c r="B2234" s="9" t="str">
        <f>HYPERLINK("https://www.lazada.vn/products/banh-quy-kem-bourbon-nhat-ban-i2013462252.html", "https://www.lazada.vn/products/banh-quy-kem-bourbon-nhat-ban-i2013462252.html")</f>
        <v>https://www.lazada.vn/products/banh-quy-kem-bourbon-nhat-ban-i2013462252.html</v>
      </c>
      <c r="C2234" s="10" t="s">
        <v>2234</v>
      </c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8">
        <v>7089.0</v>
      </c>
      <c r="B2235" s="9" t="str">
        <f>HYPERLINK("https://www.lazada.vn/products/nuoc-co-do-nep-ha-noi-dung-de-cung-chai-420ml-i2614174585.html", "https://www.lazada.vn/products/nuoc-co-do-nep-ha-noi-dung-de-cung-chai-420ml-i2614174585.html")</f>
        <v>https://www.lazada.vn/products/nuoc-co-do-nep-ha-noi-dung-de-cung-chai-420ml-i2614174585.html</v>
      </c>
      <c r="C2235" s="10" t="s">
        <v>2235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8">
        <v>7090.0</v>
      </c>
      <c r="B2236" s="9" t="str">
        <f>HYPERLINK("https://www.lazada.vn/products/hop-xit-xoang-ngat-mui-ag-nhat-ban-15ml-30ml-mau-xanhtim-i2059154979.html", "https://www.lazada.vn/products/hop-xit-xoang-ngat-mui-ag-nhat-ban-15ml-30ml-mau-xanhtim-i2059154979.html")</f>
        <v>https://www.lazada.vn/products/hop-xit-xoang-ngat-mui-ag-nhat-ban-15ml-30ml-mau-xanhtim-i2059154979.html</v>
      </c>
      <c r="C2236" s="10" t="s">
        <v>2236</v>
      </c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8">
        <v>7091.0</v>
      </c>
      <c r="B2237" s="9" t="str">
        <f>HYPERLINK("https://www.lazada.vn/products/banh-mi-hoa-cuc-i641664383.html", "https://www.lazada.vn/products/banh-mi-hoa-cuc-i641664383.html")</f>
        <v>https://www.lazada.vn/products/banh-mi-hoa-cuc-i641664383.html</v>
      </c>
      <c r="C2237" s="10" t="s">
        <v>2237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8">
        <v>7092.0</v>
      </c>
      <c r="B2238" s="9" t="str">
        <f>HYPERLINK("https://www.lazada.vn/products/combo-12-banh-bong-lan-tam-giac-weiseil-vi-man-xoi-tra-xanh-socola-phomai-b196-beegin-food-store-i2745399797.html", "https://www.lazada.vn/products/combo-12-banh-bong-lan-tam-giac-weiseil-vi-man-xoi-tra-xanh-socola-phomai-b196-beegin-food-store-i2745399797.html")</f>
        <v>https://www.lazada.vn/products/combo-12-banh-bong-lan-tam-giac-weiseil-vi-man-xoi-tra-xanh-socola-phomai-b196-beegin-food-store-i2745399797.html</v>
      </c>
      <c r="C2238" s="10" t="s">
        <v>2238</v>
      </c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8">
        <v>7093.0</v>
      </c>
      <c r="B2239" s="9" t="str">
        <f>HYPERLINK("https://www.lazada.vn/products/banh-gao-an-orion-nhieu-vi-i2008766294.html", "https://www.lazada.vn/products/banh-gao-an-orion-nhieu-vi-i2008766294.html")</f>
        <v>https://www.lazada.vn/products/banh-gao-an-orion-nhieu-vi-i2008766294.html</v>
      </c>
      <c r="C2239" s="10" t="s">
        <v>2239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8">
        <v>7094.0</v>
      </c>
      <c r="B2240" s="9" t="str">
        <f>HYPERLINK("https://www.lazada.vn/products/bot-cacao-hersheys-cocoa-nguyen-chat-hop-226g-i2399027708.html", "https://www.lazada.vn/products/bot-cacao-hersheys-cocoa-nguyen-chat-hop-226g-i2399027708.html")</f>
        <v>https://www.lazada.vn/products/bot-cacao-hersheys-cocoa-nguyen-chat-hop-226g-i2399027708.html</v>
      </c>
      <c r="C2240" s="10" t="s">
        <v>2240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8">
        <v>7095.0</v>
      </c>
      <c r="B2241" s="9" t="str">
        <f>HYPERLINK("https://www.lazada.vn/products/pate-gan-ngong-95g-nk-nga-i2059048142.html", "https://www.lazada.vn/products/pate-gan-ngong-95g-nk-nga-i2059048142.html")</f>
        <v>https://www.lazada.vn/products/pate-gan-ngong-95g-nk-nga-i2059048142.html</v>
      </c>
      <c r="C2241" s="10" t="s">
        <v>2241</v>
      </c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8">
        <v>7096.0</v>
      </c>
      <c r="B2242" s="9" t="str">
        <f>HYPERLINK("https://www.lazada.vn/products/1kg-banh-trang-seu-mong-tay-ninh-banh-trang-i543410201.html", "https://www.lazada.vn/products/1kg-banh-trang-seu-mong-tay-ninh-banh-trang-i543410201.html")</f>
        <v>https://www.lazada.vn/products/1kg-banh-trang-seu-mong-tay-ninh-banh-trang-i543410201.html</v>
      </c>
      <c r="C2242" s="10" t="s">
        <v>2242</v>
      </c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8">
        <v>7097.0</v>
      </c>
      <c r="B2243" s="9" t="str">
        <f>HYPERLINK("https://www.lazada.vn/products/thung-1kg-banh-bong-lan-tam-giac-weiseil-vi-man-xoi-tra-xanh-socola-10-banh-b196-chuyen-si-tpnk-i2745379940.html", "https://www.lazada.vn/products/thung-1kg-banh-bong-lan-tam-giac-weiseil-vi-man-xoi-tra-xanh-socola-10-banh-b196-chuyen-si-tpnk-i2745379940.html")</f>
        <v>https://www.lazada.vn/products/thung-1kg-banh-bong-lan-tam-giac-weiseil-vi-man-xoi-tra-xanh-socola-10-banh-b196-chuyen-si-tpnk-i2745379940.html</v>
      </c>
      <c r="C2243" s="10" t="s">
        <v>2243</v>
      </c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8">
        <v>7098.0</v>
      </c>
      <c r="B2244" s="9" t="str">
        <f>HYPERLINK("https://www.lazada.vn/products/banh-socola-kem-choco-pn-goi-216g-12-cai-i2008675856.html", "https://www.lazada.vn/products/banh-socola-kem-choco-pn-goi-216g-12-cai-i2008675856.html")</f>
        <v>https://www.lazada.vn/products/banh-socola-kem-choco-pn-goi-216g-12-cai-i2008675856.html</v>
      </c>
      <c r="C2244" s="10" t="s">
        <v>2244</v>
      </c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8">
        <v>7099.0</v>
      </c>
      <c r="B2245" s="9" t="str">
        <f>HYPERLINK("https://www.lazada.vn/products/nuoc-ngot-sa-xi-chuong-duong-loc-6-lon-330ml-i2594907844.html", "https://www.lazada.vn/products/nuoc-ngot-sa-xi-chuong-duong-loc-6-lon-330ml-i2594907844.html")</f>
        <v>https://www.lazada.vn/products/nuoc-ngot-sa-xi-chuong-duong-loc-6-lon-330ml-i2594907844.html</v>
      </c>
      <c r="C2245" s="10" t="s">
        <v>2245</v>
      </c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8">
        <v>7100.0</v>
      </c>
      <c r="B2246" s="9" t="str">
        <f>HYPERLINK("https://www.lazada.vn/products/thung-1kg-10c-banh-bong-lan-tam-giac-weiseil-vi-man-xoi-tra-xanh-socola-phomai-b196-beegin-food-shop-i2745379888.html", "https://www.lazada.vn/products/thung-1kg-10c-banh-bong-lan-tam-giac-weiseil-vi-man-xoi-tra-xanh-socola-phomai-b196-beegin-food-shop-i2745379888.html")</f>
        <v>https://www.lazada.vn/products/thung-1kg-10c-banh-bong-lan-tam-giac-weiseil-vi-man-xoi-tra-xanh-socola-phomai-b196-beegin-food-shop-i2745379888.html</v>
      </c>
      <c r="C2246" s="10" t="s">
        <v>2246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8">
        <v>7101.0</v>
      </c>
      <c r="B2247" s="9" t="str">
        <f>HYPERLINK("https://www.lazada.vn/products/hcmcombol-2-banh-bong-lan-shoungong-mong-to-i530572041.html", "https://www.lazada.vn/products/hcmcombol-2-banh-bong-lan-shoungong-mong-to-i530572041.html")</f>
        <v>https://www.lazada.vn/products/hcmcombol-2-banh-bong-lan-shoungong-mong-to-i530572041.html</v>
      </c>
      <c r="C2247" s="10" t="s">
        <v>2247</v>
      </c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8">
        <v>7102.0</v>
      </c>
      <c r="B2248" s="9" t="str">
        <f>HYPERLINK("https://www.lazada.vn/products/cu-kieu-ngam-giam-duong-trang-gion-co-vi-chua-ngot-hu-500gr-i2057242019.html", "https://www.lazada.vn/products/cu-kieu-ngam-giam-duong-trang-gion-co-vi-chua-ngot-hu-500gr-i2057242019.html")</f>
        <v>https://www.lazada.vn/products/cu-kieu-ngam-giam-duong-trang-gion-co-vi-chua-ngot-hu-500gr-i2057242019.html</v>
      </c>
      <c r="C2248" s="10" t="s">
        <v>2248</v>
      </c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8">
        <v>7103.0</v>
      </c>
      <c r="B2249" s="9" t="str">
        <f>HYPERLINK("https://www.lazada.vn/products/thung-1kg-10c-banh-bong-lan-tam-giac-weiseil-vi-man-xoi-tra-xanh-socola-phomai-b196-beegin-food-store-i2745377906.html", "https://www.lazada.vn/products/thung-1kg-10c-banh-bong-lan-tam-giac-weiseil-vi-man-xoi-tra-xanh-socola-phomai-b196-beegin-food-store-i2745377906.html")</f>
        <v>https://www.lazada.vn/products/thung-1kg-10c-banh-bong-lan-tam-giac-weiseil-vi-man-xoi-tra-xanh-socola-phomai-b196-beegin-food-store-i2745377906.html</v>
      </c>
      <c r="C2249" s="10" t="s">
        <v>2249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8">
        <v>7104.0</v>
      </c>
      <c r="B2250" s="9" t="str">
        <f>HYPERLINK("https://www.lazada.vn/products/sua-bot-nguyen-kem-hai-con-bo-do-500g-i509160177.html", "https://www.lazada.vn/products/sua-bot-nguyen-kem-hai-con-bo-do-500g-i509160177.html")</f>
        <v>https://www.lazada.vn/products/sua-bot-nguyen-kem-hai-con-bo-do-500g-i509160177.html</v>
      </c>
      <c r="C2250" s="10" t="s">
        <v>2250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8">
        <v>7105.0</v>
      </c>
      <c r="B2251" s="9" t="str">
        <f>HYPERLINK("https://www.lazada.vn/products/chao-dau-tan-long-an-huong-vi-truyen-thong-750g-an-la-ghien-i2056492203.html", "https://www.lazada.vn/products/chao-dau-tan-long-an-huong-vi-truyen-thong-750g-an-la-ghien-i2056492203.html")</f>
        <v>https://www.lazada.vn/products/chao-dau-tan-long-an-huong-vi-truyen-thong-750g-an-la-ghien-i2056492203.html</v>
      </c>
      <c r="C2251" s="10" t="s">
        <v>2251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8">
        <v>7106.0</v>
      </c>
      <c r="B2252" s="9" t="str">
        <f>HYPERLINK("https://www.lazada.vn/products/banh-trung-cuon-cha-bong-calleton-thung-2kg-banh-trung-nhan-ruoc-mem-banh-tuoi-an-sang-thom-ngon-i2744979342.html", "https://www.lazada.vn/products/banh-trung-cuon-cha-bong-calleton-thung-2kg-banh-trung-nhan-ruoc-mem-banh-tuoi-an-sang-thom-ngon-i2744979342.html")</f>
        <v>https://www.lazada.vn/products/banh-trung-cuon-cha-bong-calleton-thung-2kg-banh-trung-nhan-ruoc-mem-banh-tuoi-an-sang-thom-ngon-i2744979342.html</v>
      </c>
      <c r="C2252" s="10" t="s">
        <v>2252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8">
        <v>7107.0</v>
      </c>
      <c r="B2253" s="9" t="str">
        <f>HYPERLINK("https://www.lazada.vn/products/hcmbot-tau-hu-singapore-dau-huu-co-pha-san-goi-360g-185-lit-i2409798509.html", "https://www.lazada.vn/products/hcmbot-tau-hu-singapore-dau-huu-co-pha-san-goi-360g-185-lit-i2409798509.html")</f>
        <v>https://www.lazada.vn/products/hcmbot-tau-hu-singapore-dau-huu-co-pha-san-goi-360g-185-lit-i2409798509.html</v>
      </c>
      <c r="C2253" s="10" t="s">
        <v>2253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8">
        <v>7108.0</v>
      </c>
      <c r="B2254" s="9" t="str">
        <f>HYPERLINK("https://www.lazada.vn/products/hot-voi-banh-mi-nhan-kem-sot-u-u-rongyan-i2744646192.html", "https://www.lazada.vn/products/hot-voi-banh-mi-nhan-kem-sot-u-u-rongyan-i2744646192.html")</f>
        <v>https://www.lazada.vn/products/hot-voi-banh-mi-nhan-kem-sot-u-u-rongyan-i2744646192.html</v>
      </c>
      <c r="C2254" s="10" t="s">
        <v>2254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8">
        <v>7109.0</v>
      </c>
      <c r="B2255" s="9" t="str">
        <f>HYPERLINK("https://www.lazada.vn/products/tinh-bot-cu-sen-100-nguyen-chat-tu-cu-sen-tuoi-lon-350gram-i2055680465.html", "https://www.lazada.vn/products/tinh-bot-cu-sen-100-nguyen-chat-tu-cu-sen-tuoi-lon-350gram-i2055680465.html")</f>
        <v>https://www.lazada.vn/products/tinh-bot-cu-sen-100-nguyen-chat-tu-cu-sen-tuoi-lon-350gram-i2055680465.html</v>
      </c>
      <c r="C2255" s="10" t="s">
        <v>2255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8">
        <v>7110.0</v>
      </c>
      <c r="B2256" s="9" t="str">
        <f>HYPERLINK("https://www.lazada.vn/products/buon-si-re-hop-banh-dinh-duong-16cai-re-ngon-an-sang-an-trua-an-xe-i2742324631.html", "https://www.lazada.vn/products/buon-si-re-hop-banh-dinh-duong-16cai-re-ngon-an-sang-an-trua-an-xe-i2742324631.html")</f>
        <v>https://www.lazada.vn/products/buon-si-re-hop-banh-dinh-duong-16cai-re-ngon-an-sang-an-trua-an-xe-i2742324631.html</v>
      </c>
      <c r="C2256" s="10" t="s">
        <v>2256</v>
      </c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8">
        <v>7111.0</v>
      </c>
      <c r="B2257" s="9" t="str">
        <f>HYPERLINK("https://www.lazada.vn/products/pillsbury-besan-1kg-i2118522774.html", "https://www.lazada.vn/products/pillsbury-besan-1kg-i2118522774.html")</f>
        <v>https://www.lazada.vn/products/pillsbury-besan-1kg-i2118522774.html</v>
      </c>
      <c r="C2257" s="10" t="s">
        <v>2257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8">
        <v>7112.0</v>
      </c>
      <c r="B2258" s="9" t="str">
        <f>HYPERLINK("https://www.lazada.vn/products/combo-10-hu-mam-ruoc-gia-vi-san-dac-san-vung-bien-phu-yen-i2055286433.html", "https://www.lazada.vn/products/combo-10-hu-mam-ruoc-gia-vi-san-dac-san-vung-bien-phu-yen-i2055286433.html")</f>
        <v>https://www.lazada.vn/products/combo-10-hu-mam-ruoc-gia-vi-san-dac-san-vung-bien-phu-yen-i2055286433.html</v>
      </c>
      <c r="C2258" s="10" t="s">
        <v>2258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8">
        <v>7113.0</v>
      </c>
      <c r="B2259" s="9" t="str">
        <f>HYPERLINK("https://www.lazada.vn/products/banh-cuon-kem-trung-cha-bong-hieu-ong-gia-hang-du-muc-i2742250072.html", "https://www.lazada.vn/products/banh-cuon-kem-trung-cha-bong-hieu-ong-gia-hang-du-muc-i2742250072.html")</f>
        <v>https://www.lazada.vn/products/banh-cuon-kem-trung-cha-bong-hieu-ong-gia-hang-du-muc-i2742250072.html</v>
      </c>
      <c r="C2259" s="10" t="s">
        <v>2259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8">
        <v>7114.0</v>
      </c>
      <c r="B2260" s="9" t="str">
        <f>HYPERLINK("https://www.lazada.vn/products/bot-lam-banh-pancake-wakodo-nhat-date-t22024-i1987177043.html", "https://www.lazada.vn/products/bot-lam-banh-pancake-wakodo-nhat-date-t22024-i1987177043.html")</f>
        <v>https://www.lazada.vn/products/bot-lam-banh-pancake-wakodo-nhat-date-t22024-i1987177043.html</v>
      </c>
      <c r="C2260" s="10" t="s">
        <v>2260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8">
        <v>7115.0</v>
      </c>
      <c r="B2261" s="9" t="str">
        <f>HYPERLINK("https://www.lazada.vn/products/ba-khia-muoi-nguyen-con-loai-chua-tron-con-to-thit-nhieu-hu-500gr-i2054563778.html", "https://www.lazada.vn/products/ba-khia-muoi-nguyen-con-loai-chua-tron-con-to-thit-nhieu-hu-500gr-i2054563778.html")</f>
        <v>https://www.lazada.vn/products/ba-khia-muoi-nguyen-con-loai-chua-tron-con-to-thit-nhieu-hu-500gr-i2054563778.html</v>
      </c>
      <c r="C2261" s="10" t="s">
        <v>2261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8">
        <v>7116.0</v>
      </c>
      <c r="B2262" s="9" t="str">
        <f>HYPERLINK("https://www.lazada.vn/products/banh-pho-mai-sua-nuong-keo-soi-noi-dia-trung-600g-i2742061766.html", "https://www.lazada.vn/products/banh-pho-mai-sua-nuong-keo-soi-noi-dia-trung-600g-i2742061766.html")</f>
        <v>https://www.lazada.vn/products/banh-pho-mai-sua-nuong-keo-soi-noi-dia-trung-600g-i2742061766.html</v>
      </c>
      <c r="C2262" s="10" t="s">
        <v>2262</v>
      </c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8">
        <v>7117.0</v>
      </c>
      <c r="B2263" s="9" t="str">
        <f>HYPERLINK("https://www.lazada.vn/products/gelatine-huu-co-sobo-duc-lam-thach-pudding-keo-deo-cho-be-i1823292525.html", "https://www.lazada.vn/products/gelatine-huu-co-sobo-duc-lam-thach-pudding-keo-deo-cho-be-i1823292525.html")</f>
        <v>https://www.lazada.vn/products/gelatine-huu-co-sobo-duc-lam-thach-pudding-keo-deo-cho-be-i1823292525.html</v>
      </c>
      <c r="C2263" s="10" t="s">
        <v>2263</v>
      </c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8">
        <v>7118.0</v>
      </c>
      <c r="B2264" s="9" t="str">
        <f>HYPERLINK("https://www.lazada.vn/products/3kg-qua-tao-meo-tuoi-i2052194015.html", "https://www.lazada.vn/products/3kg-qua-tao-meo-tuoi-i2052194015.html")</f>
        <v>https://www.lazada.vn/products/3kg-qua-tao-meo-tuoi-i2052194015.html</v>
      </c>
      <c r="C2264" s="10" t="s">
        <v>2264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8">
        <v>7119.0</v>
      </c>
      <c r="B2265" s="9" t="str">
        <f>HYPERLINK("https://www.lazada.vn/products/mandu-banh-xep-nhan-hai-san-va-thit-bibigo-cj-han-quoc-250g-i2741982827.html", "https://www.lazada.vn/products/mandu-banh-xep-nhan-hai-san-va-thit-bibigo-cj-han-quoc-250g-i2741982827.html")</f>
        <v>https://www.lazada.vn/products/mandu-banh-xep-nhan-hai-san-va-thit-bibigo-cj-han-quoc-250g-i2741982827.html</v>
      </c>
      <c r="C2265" s="10" t="s">
        <v>2265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8">
        <v>7120.0</v>
      </c>
      <c r="B2266" s="9" t="str">
        <f>HYPERLINK("https://www.lazada.vn/products/bot-lam-banh-pancake-greens-pancake-shake-325g-i1812479916.html", "https://www.lazada.vn/products/bot-lam-banh-pancake-greens-pancake-shake-325g-i1812479916.html")</f>
        <v>https://www.lazada.vn/products/bot-lam-banh-pancake-greens-pancake-shake-325g-i1812479916.html</v>
      </c>
      <c r="C2266" s="10" t="s">
        <v>2266</v>
      </c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8">
        <v>7121.0</v>
      </c>
      <c r="B2267" s="9" t="str">
        <f>HYPERLINK("https://www.lazada.vn/products/khoai-tay-so-co-la-kho-dong-lanh-yogurt-keo-deo-dinh-duong-probiotics-keo-deo-trai-cay-dong-lanh-qua-mong-qua-le-qua-man-i2923813179.html", "https://www.lazada.vn/products/khoai-tay-so-co-la-kho-dong-lanh-yogurt-keo-deo-dinh-duong-probiotics-keo-deo-trai-cay-dong-lanh-qua-mong-qua-le-qua-man-i2923813179.html")</f>
        <v>https://www.lazada.vn/products/khoai-tay-so-co-la-kho-dong-lanh-yogurt-keo-deo-dinh-duong-probiotics-keo-deo-trai-cay-dong-lanh-qua-mong-qua-le-qua-man-i2923813179.html</v>
      </c>
      <c r="C2267" s="10" t="s">
        <v>2267</v>
      </c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8">
        <v>7122.0</v>
      </c>
      <c r="B2268" s="9" t="str">
        <f>HYPERLINK("https://www.lazada.vn/products/banh-quy-soda-hat-lanh-vi-man-lao-shi-ren-black-truffle-ham-banh-quy-giai-tri-no-lau-huong-vi-hat-chia-hop-dung-400g-i2923810587.html", "https://www.lazada.vn/products/banh-quy-soda-hat-lanh-vi-man-lao-shi-ren-black-truffle-ham-banh-quy-giai-tri-no-lau-huong-vi-hat-chia-hop-dung-400g-i2923810587.html")</f>
        <v>https://www.lazada.vn/products/banh-quy-soda-hat-lanh-vi-man-lao-shi-ren-black-truffle-ham-banh-quy-giai-tri-no-lau-huong-vi-hat-chia-hop-dung-400g-i2923810587.html</v>
      </c>
      <c r="C2268" s="10" t="s">
        <v>2268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8">
        <v>7123.0</v>
      </c>
      <c r="B2269" s="9" t="str">
        <f>HYPERLINK("https://www.lazada.vn/products/soju-so-chu-trai-cay-han-quoc-7drops-360ml-i2219439945.html", "https://www.lazada.vn/products/soju-so-chu-trai-cay-han-quoc-7drops-360ml-i2219439945.html")</f>
        <v>https://www.lazada.vn/products/soju-so-chu-trai-cay-han-quoc-7drops-360ml-i2219439945.html</v>
      </c>
      <c r="C2269" s="10" t="s">
        <v>2269</v>
      </c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8">
        <v>7124.0</v>
      </c>
      <c r="B2270" s="9" t="str">
        <f>HYPERLINK("https://www.lazada.vn/products/banh-trang-nuoc-dua-nuong-mam-tep-tam-quan-binh-dinh-5-banh-i3014197945.html", "https://www.lazada.vn/products/banh-trang-nuoc-dua-nuong-mam-tep-tam-quan-binh-dinh-5-banh-i3014197945.html")</f>
        <v>https://www.lazada.vn/products/banh-trang-nuoc-dua-nuong-mam-tep-tam-quan-binh-dinh-5-banh-i3014197945.html</v>
      </c>
      <c r="C2270" s="10" t="s">
        <v>2270</v>
      </c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8">
        <v>7125.0</v>
      </c>
      <c r="B2271" s="9" t="str">
        <f>HYPERLINK("https://www.lazada.vn/products/ruou-vang-trang-moscato-dolce-guarini-alc-5-750ml-i2580275476.html", "https://www.lazada.vn/products/ruou-vang-trang-moscato-dolce-guarini-alc-5-750ml-i2580275476.html")</f>
        <v>https://www.lazada.vn/products/ruou-vang-trang-moscato-dolce-guarini-alc-5-750ml-i2580275476.html</v>
      </c>
      <c r="C2271" s="10" t="s">
        <v>2271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8">
        <v>7126.0</v>
      </c>
      <c r="B2272" s="9" t="str">
        <f>HYPERLINK("https://www.lazada.vn/products/3kg-qua-tao-meo-tuoi-i2052169075.html", "https://www.lazada.vn/products/3kg-qua-tao-meo-tuoi-i2052169075.html")</f>
        <v>https://www.lazada.vn/products/3kg-qua-tao-meo-tuoi-i2052169075.html</v>
      </c>
      <c r="C2272" s="10" t="s">
        <v>2272</v>
      </c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8">
        <v>7127.0</v>
      </c>
      <c r="B2273" s="9" t="str">
        <f>HYPERLINK("https://www.lazada.vn/products/bia-thu-cong-rooster-beers-ipa-bia-ga-ipa-loc-4-lon-x-330ml-i2698182239.html", "https://www.lazada.vn/products/bia-thu-cong-rooster-beers-ipa-bia-ga-ipa-loc-4-lon-x-330ml-i2698182239.html")</f>
        <v>https://www.lazada.vn/products/bia-thu-cong-rooster-beers-ipa-bia-ga-ipa-loc-4-lon-x-330ml-i2698182239.html</v>
      </c>
      <c r="C2273" s="10" t="s">
        <v>2273</v>
      </c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8">
        <v>7128.0</v>
      </c>
      <c r="B2274" s="9" t="str">
        <f>HYPERLINK("https://www.lazada.vn/products/bot-lam-banh-pancake-mix-buttermilk-hieu-betty-crocker-usa-1-kg-49-i1425989812.html", "https://www.lazada.vn/products/bot-lam-banh-pancake-mix-buttermilk-hieu-betty-crocker-usa-1-kg-49-i1425989812.html")</f>
        <v>https://www.lazada.vn/products/bot-lam-banh-pancake-mix-buttermilk-hieu-betty-crocker-usa-1-kg-49-i1425989812.html</v>
      </c>
      <c r="C2274" s="10" t="s">
        <v>2274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8">
        <v>7129.0</v>
      </c>
      <c r="B2275" s="9" t="str">
        <f>HYPERLINK("https://www.lazada.vn/products/banh-rau-dong-kho-da-dang-cho-tre-em-banh-sang-tao-dinh-duong-banh-thay-the-no-lau-banh-vat-vanh-dong-goi-lon-i2923812324.html", "https://www.lazada.vn/products/banh-rau-dong-kho-da-dang-cho-tre-em-banh-sang-tao-dinh-duong-banh-thay-the-no-lau-banh-vat-vanh-dong-goi-lon-i2923812324.html")</f>
        <v>https://www.lazada.vn/products/banh-rau-dong-kho-da-dang-cho-tre-em-banh-sang-tao-dinh-duong-banh-thay-the-no-lau-banh-vat-vanh-dong-goi-lon-i2923812324.html</v>
      </c>
      <c r="C2275" s="10" t="s">
        <v>2275</v>
      </c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8">
        <v>7130.0</v>
      </c>
      <c r="B2276" s="9" t="str">
        <f>HYPERLINK("https://www.lazada.vn/products/1-bich-10-goi-38g-banh-mi-oishi-kieu-phap-kem-socola-hay-kem-bo-sua-380g-i2741877858.html", "https://www.lazada.vn/products/1-bich-10-goi-38g-banh-mi-oishi-kieu-phap-kem-socola-hay-kem-bo-sua-380g-i2741877858.html")</f>
        <v>https://www.lazada.vn/products/1-bich-10-goi-38g-banh-mi-oishi-kieu-phap-kem-socola-hay-kem-bo-sua-380g-i2741877858.html</v>
      </c>
      <c r="C2276" s="10" t="s">
        <v>2276</v>
      </c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8">
        <v>7131.0</v>
      </c>
      <c r="B2277" s="9" t="str">
        <f>HYPERLINK("https://www.lazada.vn/products/cao-mem-atiso-ngoc-duy-da-lat-hu-05kg-tam-binh-foods-i2397700623.html", "https://www.lazada.vn/products/cao-mem-atiso-ngoc-duy-da-lat-hu-05kg-tam-binh-foods-i2397700623.html")</f>
        <v>https://www.lazada.vn/products/cao-mem-atiso-ngoc-duy-da-lat-hu-05kg-tam-binh-foods-i2397700623.html</v>
      </c>
      <c r="C2277" s="10" t="s">
        <v>2277</v>
      </c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8">
        <v>7132.0</v>
      </c>
      <c r="B2278" s="9" t="str">
        <f>HYPERLINK("https://www.lazada.vn/products/2kg-qua-tao-meo-tuoi-i2052152071.html", "https://www.lazada.vn/products/2kg-qua-tao-meo-tuoi-i2052152071.html")</f>
        <v>https://www.lazada.vn/products/2kg-qua-tao-meo-tuoi-i2052152071.html</v>
      </c>
      <c r="C2278" s="10" t="s">
        <v>2278</v>
      </c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8">
        <v>7133.0</v>
      </c>
      <c r="B2279" s="9" t="str">
        <f>HYPERLINK("https://www.lazada.vn/products/cac-set-che-khuc-bach-che-buoi-suong-sa-hot-luu-i1365491068.html", "https://www.lazada.vn/products/cac-set-che-khuc-bach-che-buoi-suong-sa-hot-luu-i1365491068.html")</f>
        <v>https://www.lazada.vn/products/cac-set-che-khuc-bach-che-buoi-suong-sa-hot-luu-i1365491068.html</v>
      </c>
      <c r="C2279" s="10" t="s">
        <v>2279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8">
        <v>7134.0</v>
      </c>
      <c r="B2280" s="9" t="str">
        <f>HYPERLINK("https://www.lazada.vn/products/three-squirrels-dried-mango-durian-almond-health-office-snacks-fruit-nuts-specialty-dried-fruit-yogurt-granule-block-series-i2923812279.html", "https://www.lazada.vn/products/three-squirrels-dried-mango-durian-almond-health-office-snacks-fruit-nuts-specialty-dried-fruit-yogurt-granule-block-series-i2923812279.html")</f>
        <v>https://www.lazada.vn/products/three-squirrels-dried-mango-durian-almond-health-office-snacks-fruit-nuts-specialty-dried-fruit-yogurt-granule-block-series-i2923812279.html</v>
      </c>
      <c r="C2280" s="10" t="s">
        <v>2280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8">
        <v>7135.0</v>
      </c>
      <c r="B2281" s="9" t="str">
        <f>HYPERLINK("https://www.lazada.vn/products/1-banh-bong-lan-tam-giac-dai-loan-vi-socola-hay-vi-pho-mai-100g-i2741869651.html", "https://www.lazada.vn/products/1-banh-bong-lan-tam-giac-dai-loan-vi-socola-hay-vi-pho-mai-100g-i2741869651.html")</f>
        <v>https://www.lazada.vn/products/1-banh-bong-lan-tam-giac-dai-loan-vi-socola-hay-vi-pho-mai-100g-i2741869651.html</v>
      </c>
      <c r="C2281" s="10" t="s">
        <v>2281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8">
        <v>7136.0</v>
      </c>
      <c r="B2282" s="9" t="str">
        <f>HYPERLINK("https://www.lazada.vn/products/1kg-qua-tao-meo-tuoi-i2052135203.html", "https://www.lazada.vn/products/1kg-qua-tao-meo-tuoi-i2052135203.html")</f>
        <v>https://www.lazada.vn/products/1kg-qua-tao-meo-tuoi-i2052135203.html</v>
      </c>
      <c r="C2282" s="10" t="s">
        <v>2282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8">
        <v>7137.0</v>
      </c>
      <c r="B2283" s="9" t="str">
        <f>HYPERLINK("https://www.lazada.vn/products/xue-ji-roasted-snacks-dried-frozen-strawberries-30gbag-office-treats-snacks-dried-fruit-healthy-food-low-fat-tasty-bites-i2923811081.html", "https://www.lazada.vn/products/xue-ji-roasted-snacks-dried-frozen-strawberries-30gbag-office-treats-snacks-dried-fruit-healthy-food-low-fat-tasty-bites-i2923811081.html")</f>
        <v>https://www.lazada.vn/products/xue-ji-roasted-snacks-dried-frozen-strawberries-30gbag-office-treats-snacks-dried-fruit-healthy-food-low-fat-tasty-bites-i2923811081.html</v>
      </c>
      <c r="C2283" s="10" t="s">
        <v>2283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8">
        <v>7138.0</v>
      </c>
      <c r="B2284" s="9" t="str">
        <f>HYPERLINK("https://www.lazada.vn/products/banh-ngan-lop-bo-careme-375gr-butter-puff-pastry-sheet-de-banh-pizza-nhap-khau-uc-i1302286361.html", "https://www.lazada.vn/products/banh-ngan-lop-bo-careme-375gr-butter-puff-pastry-sheet-de-banh-pizza-nhap-khau-uc-i1302286361.html")</f>
        <v>https://www.lazada.vn/products/banh-ngan-lop-bo-careme-375gr-butter-puff-pastry-sheet-de-banh-pizza-nhap-khau-uc-i1302286361.html</v>
      </c>
      <c r="C2284" s="10" t="s">
        <v>2284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8">
        <v>7139.0</v>
      </c>
      <c r="B2285" s="9" t="str">
        <f>HYPERLINK("https://www.lazada.vn/products/tortilla-swap-size-25-10-banhtui-chi-giao-tu-da-nang-tro-vao-i2740720070.html", "https://www.lazada.vn/products/tortilla-swap-size-25-10-banhtui-chi-giao-tu-da-nang-tro-vao-i2740720070.html")</f>
        <v>https://www.lazada.vn/products/tortilla-swap-size-25-10-banhtui-chi-giao-tu-da-nang-tro-vao-i2740720070.html</v>
      </c>
      <c r="C2285" s="10" t="s">
        <v>2285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8">
        <v>7140.0</v>
      </c>
      <c r="B2286" s="9" t="str">
        <f>HYPERLINK("https://www.lazada.vn/products/1kg-qua-tao-meo-tuoi-i2052027923.html", "https://www.lazada.vn/products/1kg-qua-tao-meo-tuoi-i2052027923.html")</f>
        <v>https://www.lazada.vn/products/1kg-qua-tao-meo-tuoi-i2052027923.html</v>
      </c>
      <c r="C2286" s="10" t="s">
        <v>2286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8">
        <v>7141.0</v>
      </c>
      <c r="B2287" s="9" t="str">
        <f>HYPERLINK("https://www.lazada.vn/products/corn-dried-freeze-snack-crispy-blocks-non-fried-office-children-leisure-food-fruit-vegetable-dried-snacks-healthy-treats-i2923810745.html", "https://www.lazada.vn/products/corn-dried-freeze-snack-crispy-blocks-non-fried-office-children-leisure-food-fruit-vegetable-dried-snacks-healthy-treats-i2923810745.html")</f>
        <v>https://www.lazada.vn/products/corn-dried-freeze-snack-crispy-blocks-non-fried-office-children-leisure-food-fruit-vegetable-dried-snacks-healthy-treats-i2923810745.html</v>
      </c>
      <c r="C2287" s="10" t="s">
        <v>2287</v>
      </c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8">
        <v>7142.0</v>
      </c>
      <c r="B2288" s="9" t="str">
        <f>HYPERLINK("https://www.lazada.vn/products/banh-my-hoa-cuc-khong-lo-sieu-hot-hit-408g-i2739558036.html", "https://www.lazada.vn/products/banh-my-hoa-cuc-khong-lo-sieu-hot-hit-408g-i2739558036.html")</f>
        <v>https://www.lazada.vn/products/banh-my-hoa-cuc-khong-lo-sieu-hot-hit-408g-i2739558036.html</v>
      </c>
      <c r="C2288" s="10" t="s">
        <v>2288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8">
        <v>7143.0</v>
      </c>
      <c r="B2289" s="9" t="str">
        <f>HYPERLINK("https://www.lazada.vn/products/banh-bong-lan-cuon-marukin-baumkuchen-vi-vani-truyen-thong-310g-i955532993.html", "https://www.lazada.vn/products/banh-bong-lan-cuon-marukin-baumkuchen-vi-vani-truyen-thong-310g-i955532993.html")</f>
        <v>https://www.lazada.vn/products/banh-bong-lan-cuon-marukin-baumkuchen-vi-vani-truyen-thong-310g-i955532993.html</v>
      </c>
      <c r="C2289" s="10" t="s">
        <v>2289</v>
      </c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8">
        <v>7144.0</v>
      </c>
      <c r="B2290" s="9" t="str">
        <f>HYPERLINK("https://www.lazada.vn/products/freeship-max-trung-ca-hoi-den-nga-chua-axit-omega-3220g-giam-cholesterol-va-duy-tri-suc-khoe-tim-mach-tang-cuong-thi-luc-chong-lao-hoa-va-lam-dep-da-cho-phu-nu-khoi-luong-220gr-russia-store-best-i2051745228.html", "https://www.lazada.vn/products/freeship-max-trung-ca-hoi-den-nga-chua-axit-omega-3220g-giam-cholesterol-va-duy-tri-suc-khoe-tim-mach-tang-cuong-thi-luc-chong-lao-hoa-va-lam-dep-da-cho-phu-nu-khoi-luong-220gr-russia-store-best-i2051745228.html")</f>
        <v>https://www.lazada.vn/products/freeship-max-trung-ca-hoi-den-nga-chua-axit-omega-3220g-giam-cholesterol-va-duy-tri-suc-khoe-tim-mach-tang-cuong-thi-luc-chong-lao-hoa-va-lam-dep-da-cho-phu-nu-khoi-luong-220gr-russia-store-best-i2051745228.html</v>
      </c>
      <c r="C2290" s="10" t="s">
        <v>2290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8">
        <v>7145.0</v>
      </c>
      <c r="B2291" s="9" t="str">
        <f>HYPERLINK("https://www.lazada.vn/products/yuhuan-feixue-dried-mango-dried-strawberry-dried-papaya-dried-kiwi-fruit-dried-durian-dried-jujube-snack-healthy-food-i2923809718.html", "https://www.lazada.vn/products/yuhuan-feixue-dried-mango-dried-strawberry-dried-papaya-dried-kiwi-fruit-dried-durian-dried-jujube-snack-healthy-food-i2923809718.html")</f>
        <v>https://www.lazada.vn/products/yuhuan-feixue-dried-mango-dried-strawberry-dried-papaya-dried-kiwi-fruit-dried-durian-dried-jujube-snack-healthy-food-i2923809718.html</v>
      </c>
      <c r="C2291" s="10" t="s">
        <v>2291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8">
        <v>7146.0</v>
      </c>
      <c r="B2292" s="9" t="str">
        <f>HYPERLINK("https://www.lazada.vn/products/hop-2kg-banh-my-hamburger-sot-ruoc-sua-chua-30-31-chiec-i2739504262.html", "https://www.lazada.vn/products/hop-2kg-banh-my-hamburger-sot-ruoc-sua-chua-30-31-chiec-i2739504262.html")</f>
        <v>https://www.lazada.vn/products/hop-2kg-banh-my-hamburger-sot-ruoc-sua-chua-30-31-chiec-i2739504262.html</v>
      </c>
      <c r="C2292" s="10" t="s">
        <v>2292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8">
        <v>7147.0</v>
      </c>
      <c r="B2293" s="9" t="str">
        <f>HYPERLINK("https://www.lazada.vn/products/bot-banh-crept-thai-lan-10-bich-i912776366.html", "https://www.lazada.vn/products/bot-banh-crept-thai-lan-10-bich-i912776366.html")</f>
        <v>https://www.lazada.vn/products/bot-banh-crept-thai-lan-10-bich-i912776366.html</v>
      </c>
      <c r="C2293" s="10" t="s">
        <v>2293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8">
        <v>7148.0</v>
      </c>
      <c r="B2294" s="9" t="str">
        <f>HYPERLINK("https://www.lazada.vn/products/freeship-max-trung-ca-hoi-do-nga-chua-axit-omega-3220g-giam-cholesterol-va-duy-tri-suc-khoe-tim-mach-tang-cuong-thi-luc-chong-lao-hoa-va-lam-dep-da-cho-phu-nu-khoi-luong-220gr-russia-store-best-i2051649745.html", "https://www.lazada.vn/products/freeship-max-trung-ca-hoi-do-nga-chua-axit-omega-3220g-giam-cholesterol-va-duy-tri-suc-khoe-tim-mach-tang-cuong-thi-luc-chong-lao-hoa-va-lam-dep-da-cho-phu-nu-khoi-luong-220gr-russia-store-best-i2051649745.html")</f>
        <v>https://www.lazada.vn/products/freeship-max-trung-ca-hoi-do-nga-chua-axit-omega-3220g-giam-cholesterol-va-duy-tri-suc-khoe-tim-mach-tang-cuong-thi-luc-chong-lao-hoa-va-lam-dep-da-cho-phu-nu-khoi-luong-220gr-russia-store-best-i2051649745.html</v>
      </c>
      <c r="C2294" s="10" t="s">
        <v>2294</v>
      </c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8">
        <v>7149.0</v>
      </c>
      <c r="B2295" s="9" t="str">
        <f>HYPERLINK("https://www.lazada.vn/products/si-hop-10-banh-my-nuong-gion-sieu-hot-hang-co-san-i2739480491.html", "https://www.lazada.vn/products/si-hop-10-banh-my-nuong-gion-sieu-hot-hang-co-san-i2739480491.html")</f>
        <v>https://www.lazada.vn/products/si-hop-10-banh-my-nuong-gion-sieu-hot-hang-co-san-i2739480491.html</v>
      </c>
      <c r="C2295" s="10" t="s">
        <v>2295</v>
      </c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8">
        <v>7150.0</v>
      </c>
      <c r="B2296" s="9" t="str">
        <f>HYPERLINK("https://www.lazada.vn/products/bon-loai-trai-cay-kho-four-crispy-strawberries-apple-grape-va-dried-peach-snack-baking-dried-fruit-snack-healthy-treats-i2923807438.html", "https://www.lazada.vn/products/bon-loai-trai-cay-kho-four-crispy-strawberries-apple-grape-va-dried-peach-snack-baking-dried-fruit-snack-healthy-treats-i2923807438.html")</f>
        <v>https://www.lazada.vn/products/bon-loai-trai-cay-kho-four-crispy-strawberries-apple-grape-va-dried-peach-snack-baking-dried-fruit-snack-healthy-treats-i2923807438.html</v>
      </c>
      <c r="C2296" s="10" t="s">
        <v>2296</v>
      </c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8">
        <v>7151.0</v>
      </c>
      <c r="B2297" s="9" t="str">
        <f>HYPERLINK("https://www.lazada.vn/products/chao-moc-hu-370g-i2049607812.html", "https://www.lazada.vn/products/chao-moc-hu-370g-i2049607812.html")</f>
        <v>https://www.lazada.vn/products/chao-moc-hu-370g-i2049607812.html</v>
      </c>
      <c r="C2297" s="10" t="s">
        <v>2297</v>
      </c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8">
        <v>7152.0</v>
      </c>
      <c r="B2298" s="9" t="str">
        <f>HYPERLINK("https://www.lazada.vn/products/1kg-banh-mi-nuong-bo-mat-ong-gion-tan-thom-ngon-i2738613824.html", "https://www.lazada.vn/products/1kg-banh-mi-nuong-bo-mat-ong-gion-tan-thom-ngon-i2738613824.html")</f>
        <v>https://www.lazada.vn/products/1kg-banh-mi-nuong-bo-mat-ong-gion-tan-thom-ngon-i2738613824.html</v>
      </c>
      <c r="C2298" s="10" t="s">
        <v>2298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8">
        <v>7153.0</v>
      </c>
      <c r="B2299" s="9" t="str">
        <f>HYPERLINK("https://www.lazada.vn/products/corn-kernels-dried-freeze-snack-small-packaged-non-fried-leisure-dry-vegetable-and-fruit-initial-phase-food-of-taste-i2923806976.html", "https://www.lazada.vn/products/corn-kernels-dried-freeze-snack-small-packaged-non-fried-leisure-dry-vegetable-and-fruit-initial-phase-food-of-taste-i2923806976.html")</f>
        <v>https://www.lazada.vn/products/corn-kernels-dried-freeze-snack-small-packaged-non-fried-leisure-dry-vegetable-and-fruit-initial-phase-food-of-taste-i2923806976.html</v>
      </c>
      <c r="C2299" s="10" t="s">
        <v>2299</v>
      </c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8">
        <v>7154.0</v>
      </c>
      <c r="B2300" s="9" t="str">
        <f>HYPERLINK("https://www.lazada.vn/products/trai-dua-gai-kho-trai-dua-dai-phoi-kho-1000g-i2047030507.html", "https://www.lazada.vn/products/trai-dua-gai-kho-trai-dua-dai-phoi-kho-1000g-i2047030507.html")</f>
        <v>https://www.lazada.vn/products/trai-dua-gai-kho-trai-dua-dai-phoi-kho-1000g-i2047030507.html</v>
      </c>
      <c r="C2300" s="10" t="s">
        <v>2300</v>
      </c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8">
        <v>7155.0</v>
      </c>
      <c r="B2301" s="9" t="str">
        <f>HYPERLINK("https://www.lazada.vn/products/500gr-banh-mi-nuong-bo-mat-ong-gion-tan-hang-luon-moi-i2738583552.html", "https://www.lazada.vn/products/500gr-banh-mi-nuong-bo-mat-ong-gion-tan-hang-luon-moi-i2738583552.html")</f>
        <v>https://www.lazada.vn/products/500gr-banh-mi-nuong-bo-mat-ong-gion-tan-hang-luon-moi-i2738583552.html</v>
      </c>
      <c r="C2301" s="10" t="s">
        <v>2301</v>
      </c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8">
        <v>7156.0</v>
      </c>
      <c r="B2302" s="9" t="str">
        <f>HYPERLINK("https://www.lazada.vn/products/strawberry-dried-freeze-dried-snack-baking-oats-fruit-dry-snowflake-crisp-biscuit-ingredient-decorative-greasy-relief-i2923806541.html", "https://www.lazada.vn/products/strawberry-dried-freeze-dried-snack-baking-oats-fruit-dry-snowflake-crisp-biscuit-ingredient-decorative-greasy-relief-i2923806541.html")</f>
        <v>https://www.lazada.vn/products/strawberry-dried-freeze-dried-snack-baking-oats-fruit-dry-snowflake-crisp-biscuit-ingredient-decorative-greasy-relief-i2923806541.html</v>
      </c>
      <c r="C2302" s="10" t="s">
        <v>2302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8">
        <v>7157.0</v>
      </c>
      <c r="B2303" s="9" t="str">
        <f>HYPERLINK("https://www.lazada.vn/products/banh-mi-nhan-chay-2-vi-socola-sua-chua-90g-sieu-hap-dan-do-an-vat-noi-dia-trung-i2737270072.html", "https://www.lazada.vn/products/banh-mi-nhan-chay-2-vi-socola-sua-chua-90g-sieu-hap-dan-do-an-vat-noi-dia-trung-i2737270072.html")</f>
        <v>https://www.lazada.vn/products/banh-mi-nhan-chay-2-vi-socola-sua-chua-90g-sieu-hap-dan-do-an-vat-noi-dia-trung-i2737270072.html</v>
      </c>
      <c r="C2303" s="10" t="s">
        <v>2303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8">
        <v>7158.0</v>
      </c>
      <c r="B2304" s="9" t="str">
        <f>HYPERLINK("https://www.lazada.vn/products/la-thau-dau-tia-tuoi-1kg-i2047029349.html", "https://www.lazada.vn/products/la-thau-dau-tia-tuoi-1kg-i2047029349.html")</f>
        <v>https://www.lazada.vn/products/la-thau-dau-tia-tuoi-1kg-i2047029349.html</v>
      </c>
      <c r="C2304" s="10" t="s">
        <v>2304</v>
      </c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8">
        <v>7159.0</v>
      </c>
      <c r="B2305" s="9" t="str">
        <f>HYPERLINK("https://www.lazada.vn/products/nuoc-ngot-7up-15l-i2594506240.html", "https://www.lazada.vn/products/nuoc-ngot-7up-15l-i2594506240.html")</f>
        <v>https://www.lazada.vn/products/nuoc-ngot-7up-15l-i2594506240.html</v>
      </c>
      <c r="C2305" s="10" t="s">
        <v>2305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8">
        <v>7160.0</v>
      </c>
      <c r="B2306" s="9" t="str">
        <f>HYPERLINK("https://www.lazada.vn/products/banh-my-bo-sua-ngan-lop-sieu-ngon-shop-thu-quan-i2734339814.html", "https://www.lazada.vn/products/banh-my-bo-sua-ngan-lop-sieu-ngon-shop-thu-quan-i2734339814.html")</f>
        <v>https://www.lazada.vn/products/banh-my-bo-sua-ngan-lop-sieu-ngon-shop-thu-quan-i2734339814.html</v>
      </c>
      <c r="C2306" s="10" t="s">
        <v>2306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8">
        <v>7161.0</v>
      </c>
      <c r="B2307" s="9" t="str">
        <f>HYPERLINK("https://www.lazada.vn/products/loc-6-lon-nuoc-tang-luc-nhat-ban-lipovitan-mat-nhan-tongkat-ali-250ml-tang-luc-tuc-thi-phuc-hoi-sinh-luc-i2611578362.html", "https://www.lazada.vn/products/loc-6-lon-nuoc-tang-luc-nhat-ban-lipovitan-mat-nhan-tongkat-ali-250ml-tang-luc-tuc-thi-phuc-hoi-sinh-luc-i2611578362.html")</f>
        <v>https://www.lazada.vn/products/loc-6-lon-nuoc-tang-luc-nhat-ban-lipovitan-mat-nhan-tongkat-ali-250ml-tang-luc-tuc-thi-phuc-hoi-sinh-luc-i2611578362.html</v>
      </c>
      <c r="C2307" s="10" t="s">
        <v>2307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8">
        <v>7162.0</v>
      </c>
      <c r="B2308" s="9" t="str">
        <f>HYPERLINK("https://www.lazada.vn/products/01kg-chum-bao-kho-lac-tien-sach-nha-lam-i2046941569.html", "https://www.lazada.vn/products/01kg-chum-bao-kho-lac-tien-sach-nha-lam-i2046941569.html")</f>
        <v>https://www.lazada.vn/products/01kg-chum-bao-kho-lac-tien-sach-nha-lam-i2046941569.html</v>
      </c>
      <c r="C2308" s="10" t="s">
        <v>2308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8">
        <v>7163.0</v>
      </c>
      <c r="B2309" s="9" t="str">
        <f>HYPERLINK("https://www.lazada.vn/products/robusta-honey-rang-dam-bao-lam-lam-dong-honey-process-stupiducks-specialty-coffee-ssc-i2921904324.html", "https://www.lazada.vn/products/robusta-honey-rang-dam-bao-lam-lam-dong-honey-process-stupiducks-specialty-coffee-ssc-i2921904324.html")</f>
        <v>https://www.lazada.vn/products/robusta-honey-rang-dam-bao-lam-lam-dong-honey-process-stupiducks-specialty-coffee-ssc-i2921904324.html</v>
      </c>
      <c r="C2309" s="10" t="s">
        <v>2309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8">
        <v>7164.0</v>
      </c>
      <c r="B2310" s="9" t="str">
        <f>HYPERLINK("https://www.lazada.vn/products/tui-banh-mi-mem-tyty-trang-an-9-goi-x-18gr-i2732413881.html", "https://www.lazada.vn/products/tui-banh-mi-mem-tyty-trang-an-9-goi-x-18gr-i2732413881.html")</f>
        <v>https://www.lazada.vn/products/tui-banh-mi-mem-tyty-trang-an-9-goi-x-18gr-i2732413881.html</v>
      </c>
      <c r="C2310" s="10" t="s">
        <v>2310</v>
      </c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8">
        <v>7165.0</v>
      </c>
      <c r="B2311" s="9" t="str">
        <f>HYPERLINK("https://www.lazada.vn/products/banh-my-bo-sua-ngan-lop-sieu-ngon-shop-thu-quan-i2732089581.html", "https://www.lazada.vn/products/banh-my-bo-sua-ngan-lop-sieu-ngon-shop-thu-quan-i2732089581.html")</f>
        <v>https://www.lazada.vn/products/banh-my-bo-sua-ngan-lop-sieu-ngon-shop-thu-quan-i2732089581.html</v>
      </c>
      <c r="C2311" s="10" t="s">
        <v>2311</v>
      </c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8">
        <v>7166.0</v>
      </c>
      <c r="B2312" s="9" t="str">
        <f>HYPERLINK("https://www.lazada.vn/products/banh-quay-dui-ga-chien-gion-ha-noi-havafoodies-500g-i2730634325.html", "https://www.lazada.vn/products/banh-quay-dui-ga-chien-gion-ha-noi-havafoodies-500g-i2730634325.html")</f>
        <v>https://www.lazada.vn/products/banh-quay-dui-ga-chien-gion-ha-noi-havafoodies-500g-i2730634325.html</v>
      </c>
      <c r="C2312" s="10" t="s">
        <v>2312</v>
      </c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8">
        <v>7167.0</v>
      </c>
      <c r="B2313" s="9" t="str">
        <f>HYPERLINK("https://www.lazada.vn/products/banh-my-nuong-gochi-hop-gom-12-goi-mix-vi-i2724585327.html", "https://www.lazada.vn/products/banh-my-nuong-gochi-hop-gom-12-goi-mix-vi-i2724585327.html")</f>
        <v>https://www.lazada.vn/products/banh-my-nuong-gochi-hop-gom-12-goi-mix-vi-i2724585327.html</v>
      </c>
      <c r="C2313" s="10" t="s">
        <v>2313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8">
        <v>7168.0</v>
      </c>
      <c r="B2314" s="9" t="str">
        <f>HYPERLINK("https://www.lazada.vn/products/banh-phong-sua-la-dua-nuoc-cot-dua-nhon-hoang-goi-220g-huong-vi-dac-trung-mien-tay-ut-ha-dac-san-i2842096136.html", "https://www.lazada.vn/products/banh-phong-sua-la-dua-nuoc-cot-dua-nhon-hoang-goi-220g-huong-vi-dac-trung-mien-tay-ut-ha-dac-san-i2842096136.html")</f>
        <v>https://www.lazada.vn/products/banh-phong-sua-la-dua-nuoc-cot-dua-nhon-hoang-goi-220g-huong-vi-dac-trung-mien-tay-ut-ha-dac-san-i2842096136.html</v>
      </c>
      <c r="C2314" s="10" t="s">
        <v>2314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8">
        <v>7169.0</v>
      </c>
      <c r="B2315" s="9" t="str">
        <f>HYPERLINK("https://www.lazada.vn/products/banh-khoai-mon-mix-sua-dau-nanh-banh-an-kieng-giam-can-an-vat-healthy-it-calo-giau-chat-dinh-duong-happy-life-4kid-i2720716536.html", "https://www.lazada.vn/products/banh-khoai-mon-mix-sua-dau-nanh-banh-an-kieng-giam-can-an-vat-healthy-it-calo-giau-chat-dinh-duong-happy-life-4kid-i2720716536.html")</f>
        <v>https://www.lazada.vn/products/banh-khoai-mon-mix-sua-dau-nanh-banh-an-kieng-giam-can-an-vat-healthy-it-calo-giau-chat-dinh-duong-happy-life-4kid-i2720716536.html</v>
      </c>
      <c r="C2315" s="10" t="s">
        <v>2315</v>
      </c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8">
        <v>7170.0</v>
      </c>
      <c r="B2316" s="9" t="str">
        <f>HYPERLINK("https://www.lazada.vn/products/banh-da-trung-cuon-kem-cha-bong-thung-2kg-22-chiec-i2808413496.html", "https://www.lazada.vn/products/banh-da-trung-cuon-kem-cha-bong-thung-2kg-22-chiec-i2808413496.html")</f>
        <v>https://www.lazada.vn/products/banh-da-trung-cuon-kem-cha-bong-thung-2kg-22-chiec-i2808413496.html</v>
      </c>
      <c r="C2316" s="10" t="s">
        <v>2316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8">
        <v>7171.0</v>
      </c>
      <c r="B2317" s="9" t="str">
        <f>HYPERLINK("https://www.lazada.vn/products/banh-an-kieng-giam-can-banh-sau-rieng-an-vat-healthy-it-calo-giau-chat-dinh-duong-hop-300g-i2720663493.html", "https://www.lazada.vn/products/banh-an-kieng-giam-can-banh-sau-rieng-an-vat-healthy-it-calo-giau-chat-dinh-duong-hop-300g-i2720663493.html")</f>
        <v>https://www.lazada.vn/products/banh-an-kieng-giam-can-banh-sau-rieng-an-vat-healthy-it-calo-giau-chat-dinh-duong-hop-300g-i2720663493.html</v>
      </c>
      <c r="C2317" s="10" t="s">
        <v>2317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8">
        <v>7172.0</v>
      </c>
      <c r="B2318" s="9" t="str">
        <f>HYPERLINK("https://www.lazada.vn/products/banh-my-dia-ong-gia-banh-my-ngan-lop-bo-phomai-do-an-vat-ngon-hap-dan-i2718575332.html", "https://www.lazada.vn/products/banh-my-dia-ong-gia-banh-my-ngan-lop-bo-phomai-do-an-vat-ngon-hap-dan-i2718575332.html")</f>
        <v>https://www.lazada.vn/products/banh-my-dia-ong-gia-banh-my-ngan-lop-bo-phomai-do-an-vat-ngon-hap-dan-i2718575332.html</v>
      </c>
      <c r="C2318" s="10" t="s">
        <v>2318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8">
        <v>7173.0</v>
      </c>
      <c r="B2319" s="9" t="str">
        <f>HYPERLINK("https://www.lazada.vn/products/thom-ngon-banh-trung-chay-liu-xin-su-hop-6-chiec-date-luon-moi-hot-tt-mart-i2806886377.html", "https://www.lazada.vn/products/thom-ngon-banh-trung-chay-liu-xin-su-hop-6-chiec-date-luon-moi-hot-tt-mart-i2806886377.html")</f>
        <v>https://www.lazada.vn/products/thom-ngon-banh-trung-chay-liu-xin-su-hop-6-chiec-date-luon-moi-hot-tt-mart-i2806886377.html</v>
      </c>
      <c r="C2319" s="10" t="s">
        <v>2319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8">
        <v>7174.0</v>
      </c>
      <c r="B2320" s="9" t="str">
        <f>HYPERLINK("https://www.lazada.vn/products/banh-da-ha-giang-i2718087216.html", "https://www.lazada.vn/products/banh-da-ha-giang-i2718087216.html")</f>
        <v>https://www.lazada.vn/products/banh-da-ha-giang-i2718087216.html</v>
      </c>
      <c r="C2320" s="10" t="s">
        <v>2320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8">
        <v>7175.0</v>
      </c>
      <c r="B2321" s="9" t="str">
        <f>HYPERLINK("https://www.lazada.vn/products/sieu-sale-banh-trung-chay-liu-xin-su-hop-6-chiec-date-luon-moi-hot-i2806828620.html", "https://www.lazada.vn/products/sieu-sale-banh-trung-chay-liu-xin-su-hop-6-chiec-date-luon-moi-hot-i2806828620.html")</f>
        <v>https://www.lazada.vn/products/sieu-sale-banh-trung-chay-liu-xin-su-hop-6-chiec-date-luon-moi-hot-i2806828620.html</v>
      </c>
      <c r="C2321" s="10" t="s">
        <v>2321</v>
      </c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8">
        <v>7176.0</v>
      </c>
      <c r="B2322" s="9" t="str">
        <f>HYPERLINK("https://www.lazada.vn/products/thien-mon-dong-cu-kho-1kg-i2046860873.html", "https://www.lazada.vn/products/thien-mon-dong-cu-kho-1kg-i2046860873.html")</f>
        <v>https://www.lazada.vn/products/thien-mon-dong-cu-kho-1kg-i2046860873.html</v>
      </c>
      <c r="C2322" s="10" t="s">
        <v>2322</v>
      </c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8">
        <v>7177.0</v>
      </c>
      <c r="B2323" s="9" t="str">
        <f>HYPERLINK("https://www.lazada.vn/products/combo-4-cay-banh-pia-nhu-y-mini-5-cai-cay-100gr-sau-rieng-vi-dau-la-dua-mix-vi-i2806041554.html", "https://www.lazada.vn/products/combo-4-cay-banh-pia-nhu-y-mini-5-cai-cay-100gr-sau-rieng-vi-dau-la-dua-mix-vi-i2806041554.html")</f>
        <v>https://www.lazada.vn/products/combo-4-cay-banh-pia-nhu-y-mini-5-cai-cay-100gr-sau-rieng-vi-dau-la-dua-mix-vi-i2806041554.html</v>
      </c>
      <c r="C2323" s="10" t="s">
        <v>2323</v>
      </c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8">
        <v>7178.0</v>
      </c>
      <c r="B2324" s="9" t="str">
        <f>HYPERLINK("https://www.lazada.vn/products/mai-muc-nang-muc-1kg-i2046840984.html", "https://www.lazada.vn/products/mai-muc-nang-muc-1kg-i2046840984.html")</f>
        <v>https://www.lazada.vn/products/mai-muc-nang-muc-1kg-i2046840984.html</v>
      </c>
      <c r="C2324" s="10" t="s">
        <v>2324</v>
      </c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8">
        <v>7179.0</v>
      </c>
      <c r="B2325" s="9" t="str">
        <f>HYPERLINK("https://www.lazada.vn/products/bia-thu-cong-rooster-beers-ipa-bia-ga-ipa-thung-24-lon-x-330ml-i2698169127.html", "https://www.lazada.vn/products/bia-thu-cong-rooster-beers-ipa-bia-ga-ipa-thung-24-lon-x-330ml-i2698169127.html")</f>
        <v>https://www.lazada.vn/products/bia-thu-cong-rooster-beers-ipa-bia-ga-ipa-thung-24-lon-x-330ml-i2698169127.html</v>
      </c>
      <c r="C2325" s="10" t="s">
        <v>2325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8">
        <v>7180.0</v>
      </c>
      <c r="B2326" s="9" t="str">
        <f>HYPERLINK("https://www.lazada.vn/products/so-chu-han-quoc-soju-korice-360ml-i2213770628.html", "https://www.lazada.vn/products/so-chu-han-quoc-soju-korice-360ml-i2213770628.html")</f>
        <v>https://www.lazada.vn/products/so-chu-han-quoc-soju-korice-360ml-i2213770628.html</v>
      </c>
      <c r="C2326" s="10" t="s">
        <v>2326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8">
        <v>7181.0</v>
      </c>
      <c r="B2327" s="9" t="str">
        <f>HYPERLINK("https://www.lazada.vn/products/loc-4-hop-thuc-uong-lua-mach-milo-active-go-180ml-i2392114496.html", "https://www.lazada.vn/products/loc-4-hop-thuc-uong-lua-mach-milo-active-go-180ml-i2392114496.html")</f>
        <v>https://www.lazada.vn/products/loc-4-hop-thuc-uong-lua-mach-milo-active-go-180ml-i2392114496.html</v>
      </c>
      <c r="C2327" s="10" t="s">
        <v>2327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8">
        <v>7182.0</v>
      </c>
      <c r="B2328" s="9" t="str">
        <f>HYPERLINK("https://www.lazada.vn/products/bot-banh-crept-thai-lan-i912584627.html", "https://www.lazada.vn/products/bot-banh-crept-thai-lan-i912584627.html")</f>
        <v>https://www.lazada.vn/products/bot-banh-crept-thai-lan-i912584627.html</v>
      </c>
      <c r="C2328" s="10" t="s">
        <v>2328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8">
        <v>7183.0</v>
      </c>
      <c r="B2329" s="9" t="str">
        <f>HYPERLINK("https://www.lazada.vn/products/ruou-vang-nhap-khau-vang-trang-ruou-vang-y-rapel-carilisa-moscato-dasti-750ml-125-i2481115071.html", "https://www.lazada.vn/products/ruou-vang-nhap-khau-vang-trang-ruou-vang-y-rapel-carilisa-moscato-dasti-750ml-125-i2481115071.html")</f>
        <v>https://www.lazada.vn/products/ruou-vang-nhap-khau-vang-trang-ruou-vang-y-rapel-carilisa-moscato-dasti-750ml-125-i2481115071.html</v>
      </c>
      <c r="C2329" s="10" t="s">
        <v>2329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8">
        <v>7184.0</v>
      </c>
      <c r="B2330" s="9" t="str">
        <f>HYPERLINK("https://www.lazada.vn/products/ca-phe-sua-ly-lon-tang-ca-giu-nhiet-750ml-i2767432675.html", "https://www.lazada.vn/products/ca-phe-sua-ly-lon-tang-ca-giu-nhiet-750ml-i2767432675.html")</f>
        <v>https://www.lazada.vn/products/ca-phe-sua-ly-lon-tang-ca-giu-nhiet-750ml-i2767432675.html</v>
      </c>
      <c r="C2330" s="10" t="s">
        <v>2330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8">
        <v>7185.0</v>
      </c>
      <c r="B2331" s="9" t="str">
        <f>HYPERLINK("https://www.lazada.vn/products/thung-30-lon-pepsi-mini-lon-160ml-noi-dia-nhat-i2593983331.html", "https://www.lazada.vn/products/thung-30-lon-pepsi-mini-lon-160ml-noi-dia-nhat-i2593983331.html")</f>
        <v>https://www.lazada.vn/products/thung-30-lon-pepsi-mini-lon-160ml-noi-dia-nhat-i2593983331.html</v>
      </c>
      <c r="C2331" s="10" t="s">
        <v>2331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8">
        <v>7186.0</v>
      </c>
      <c r="B2332" s="9" t="str">
        <f>HYPERLINK("https://www.lazada.vn/products/tang-binh-nuoc-t-kem-moi-hop-hop-20-goi-thuc-uong-bo-sung-nang-luong-tsport-bu-nuoc-dien-giai-i2610620639.html", "https://www.lazada.vn/products/tang-binh-nuoc-t-kem-moi-hop-hop-20-goi-thuc-uong-bo-sung-nang-luong-tsport-bu-nuoc-dien-giai-i2610620639.html")</f>
        <v>https://www.lazada.vn/products/tang-binh-nuoc-t-kem-moi-hop-hop-20-goi-thuc-uong-bo-sung-nang-luong-tsport-bu-nuoc-dien-giai-i2610620639.html</v>
      </c>
      <c r="C2332" s="10" t="s">
        <v>2332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8">
        <v>7187.0</v>
      </c>
      <c r="B2333" s="9" t="str">
        <f>HYPERLINK("https://www.lazada.vn/products/ruou-vang-nhap-khau-champagne-ruou-vang-phap-calvet-celebration-brut-sparkling-wine-750ml-125-i2480955932.html", "https://www.lazada.vn/products/ruou-vang-nhap-khau-champagne-ruou-vang-phap-calvet-celebration-brut-sparkling-wine-750ml-125-i2480955932.html")</f>
        <v>https://www.lazada.vn/products/ruou-vang-nhap-khau-champagne-ruou-vang-phap-calvet-celebration-brut-sparkling-wine-750ml-125-i2480955932.html</v>
      </c>
      <c r="C2333" s="10" t="s">
        <v>2333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8">
        <v>7188.0</v>
      </c>
      <c r="B2334" s="9" t="str">
        <f>HYPERLINK("https://www.lazada.vn/products/ruou-mo-choya-ume-excellent-liqueur-750ml-i2473508520.html", "https://www.lazada.vn/products/ruou-mo-choya-ume-excellent-liqueur-750ml-i2473508520.html")</f>
        <v>https://www.lazada.vn/products/ruou-mo-choya-ume-excellent-liqueur-750ml-i2473508520.html</v>
      </c>
      <c r="C2334" s="10" t="s">
        <v>2334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8">
        <v>7189.0</v>
      </c>
      <c r="B2335" s="9" t="str">
        <f>HYPERLINK("https://www.lazada.vn/products/ruou-vang-trang-khong-con-uc-mcguigan-zero-chardonnay-i2458615399.html", "https://www.lazada.vn/products/ruou-vang-trang-khong-con-uc-mcguigan-zero-chardonnay-i2458615399.html")</f>
        <v>https://www.lazada.vn/products/ruou-vang-trang-khong-con-uc-mcguigan-zero-chardonnay-i2458615399.html</v>
      </c>
      <c r="C2335" s="10" t="s">
        <v>2335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8">
        <v>7190.0</v>
      </c>
      <c r="B2336" s="9" t="str">
        <f>HYPERLINK("https://www.lazada.vn/products/vang-bich-penasol-airen-i2409282908.html", "https://www.lazada.vn/products/vang-bich-penasol-airen-i2409282908.html")</f>
        <v>https://www.lazada.vn/products/vang-bich-penasol-airen-i2409282908.html</v>
      </c>
      <c r="C2336" s="10" t="s">
        <v>2336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8">
        <v>7191.0</v>
      </c>
      <c r="B2337" s="9" t="str">
        <f>HYPERLINK("https://www.lazada.vn/products/ruou-vang-trang-phap-chateau-les-vergnes-i2398266338.html", "https://www.lazada.vn/products/ruou-vang-trang-phap-chateau-les-vergnes-i2398266338.html")</f>
        <v>https://www.lazada.vn/products/ruou-vang-trang-phap-chateau-les-vergnes-i2398266338.html</v>
      </c>
      <c r="C2337" s="10" t="s">
        <v>2337</v>
      </c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8">
        <v>7192.0</v>
      </c>
      <c r="B2338" s="9" t="str">
        <f>HYPERLINK("https://www.lazada.vn/products/ruou-vang-ngot-tini-moscato-spumante-huong-vi-ngon-ngot-va-sang-khoai-wine-bin-i2396921471.html", "https://www.lazada.vn/products/ruou-vang-ngot-tini-moscato-spumante-huong-vi-ngon-ngot-va-sang-khoai-wine-bin-i2396921471.html")</f>
        <v>https://www.lazada.vn/products/ruou-vang-ngot-tini-moscato-spumante-huong-vi-ngon-ngot-va-sang-khoai-wine-bin-i2396921471.html</v>
      </c>
      <c r="C2338" s="10" t="s">
        <v>2338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8">
        <v>7193.0</v>
      </c>
      <c r="B2339" s="9" t="str">
        <f>HYPERLINK("https://www.lazada.vn/products/ruou-vang-uc-barramundi-chardonnay-2020-i2396260301.html", "https://www.lazada.vn/products/ruou-vang-uc-barramundi-chardonnay-2020-i2396260301.html")</f>
        <v>https://www.lazada.vn/products/ruou-vang-uc-barramundi-chardonnay-2020-i2396260301.html</v>
      </c>
      <c r="C2339" s="10" t="s">
        <v>2339</v>
      </c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8">
        <v>7194.0</v>
      </c>
      <c r="B2340" s="9" t="str">
        <f>HYPERLINK("https://www.lazada.vn/products/ruou-vang-uc-trang-do-grant-burge-classic-collection-chardonnay-2022-i2396203994.html", "https://www.lazada.vn/products/ruou-vang-uc-trang-do-grant-burge-classic-collection-chardonnay-2022-i2396203994.html")</f>
        <v>https://www.lazada.vn/products/ruou-vang-uc-trang-do-grant-burge-classic-collection-chardonnay-2022-i2396203994.html</v>
      </c>
      <c r="C2340" s="10" t="s">
        <v>2340</v>
      </c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8">
        <v>7195.0</v>
      </c>
      <c r="B2341" s="9" t="str">
        <f>HYPERLINK("https://www.lazada.vn/products/vang-da-lat-trang-chateau-dalat-tradition-12-750ml-i2393888114.html", "https://www.lazada.vn/products/vang-da-lat-trang-chateau-dalat-tradition-12-750ml-i2393888114.html")</f>
        <v>https://www.lazada.vn/products/vang-da-lat-trang-chateau-dalat-tradition-12-750ml-i2393888114.html</v>
      </c>
      <c r="C2341" s="10" t="s">
        <v>2341</v>
      </c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8">
        <v>7196.0</v>
      </c>
      <c r="B2342" s="9" t="str">
        <f>HYPERLINK("https://www.lazada.vn/products/vang-da-lat-trang-single-edition-12-750ml-i2393882387.html", "https://www.lazada.vn/products/vang-da-lat-trang-single-edition-12-750ml-i2393882387.html")</f>
        <v>https://www.lazada.vn/products/vang-da-lat-trang-single-edition-12-750ml-i2393882387.html</v>
      </c>
      <c r="C2342" s="10" t="s">
        <v>2342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8">
        <v>7197.0</v>
      </c>
      <c r="B2343" s="9" t="str">
        <f>HYPERLINK("https://www.lazada.vn/products/vang-da-lat-trang-chateau-dalat-single-edition-12-750ml-i2393671646.html", "https://www.lazada.vn/products/vang-da-lat-trang-chateau-dalat-single-edition-12-750ml-i2393671646.html")</f>
        <v>https://www.lazada.vn/products/vang-da-lat-trang-chateau-dalat-single-edition-12-750ml-i2393671646.html</v>
      </c>
      <c r="C2343" s="10" t="s">
        <v>2343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8">
        <v>7198.0</v>
      </c>
      <c r="B2344" s="9" t="str">
        <f>HYPERLINK("https://www.lazada.vn/products/ruou-vang-trang-uc-mcguigan-private-bin-sauvignon-blanc-i2391407559.html", "https://www.lazada.vn/products/ruou-vang-trang-uc-mcguigan-private-bin-sauvignon-blanc-i2391407559.html")</f>
        <v>https://www.lazada.vn/products/ruou-vang-trang-uc-mcguigan-private-bin-sauvignon-blanc-i2391407559.html</v>
      </c>
      <c r="C2344" s="10" t="s">
        <v>2344</v>
      </c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8">
        <v>7199.0</v>
      </c>
      <c r="B2345" s="9" t="str">
        <f>HYPERLINK("https://www.lazada.vn/products/uc-vang-cape-mentelle-sauvignon-blanc-semillon-750ml-i2372304385.html", "https://www.lazada.vn/products/uc-vang-cape-mentelle-sauvignon-blanc-semillon-750ml-i2372304385.html")</f>
        <v>https://www.lazada.vn/products/uc-vang-cape-mentelle-sauvignon-blanc-semillon-750ml-i2372304385.html</v>
      </c>
      <c r="C2345" s="10" t="s">
        <v>2345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8">
        <v>7200.0</v>
      </c>
      <c r="B2346" s="9" t="str">
        <f>HYPERLINK("https://www.lazada.vn/products/ruou-vang-trang-sparkling-wine-lux-tropical-mango-moscato-alc-55-750ml-i2290314302.html", "https://www.lazada.vn/products/ruou-vang-trang-sparkling-wine-lux-tropical-mango-moscato-alc-55-750ml-i2290314302.html")</f>
        <v>https://www.lazada.vn/products/ruou-vang-trang-sparkling-wine-lux-tropical-mango-moscato-alc-55-750ml-i2290314302.html</v>
      </c>
      <c r="C2346" s="10" t="s">
        <v>2346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8">
        <v>7201.0</v>
      </c>
      <c r="B2347" s="9" t="str">
        <f>HYPERLINK("https://www.lazada.vn/products/ruou-vang-no-gemma-di-luna-prosecco-extra-dry-alc-105-750ml-i2289690021.html", "https://www.lazada.vn/products/ruou-vang-no-gemma-di-luna-prosecco-extra-dry-alc-105-750ml-i2289690021.html")</f>
        <v>https://www.lazada.vn/products/ruou-vang-no-gemma-di-luna-prosecco-extra-dry-alc-105-750ml-i2289690021.html</v>
      </c>
      <c r="C2347" s="10" t="s">
        <v>2347</v>
      </c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8">
        <v>7202.0</v>
      </c>
      <c r="B2348" s="9" t="str">
        <f>HYPERLINK("https://www.lazada.vn/products/ruou-vang-no-tini-moscato-spumante-alc-7-750ml-i2289574570.html", "https://www.lazada.vn/products/ruou-vang-no-tini-moscato-spumante-alc-7-750ml-i2289574570.html")</f>
        <v>https://www.lazada.vn/products/ruou-vang-no-tini-moscato-spumante-alc-7-750ml-i2289574570.html</v>
      </c>
      <c r="C2348" s="10" t="s">
        <v>2348</v>
      </c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8">
        <v>7203.0</v>
      </c>
      <c r="B2349" s="9" t="str">
        <f>HYPERLINK("https://www.lazada.vn/products/ruou-vang-trang-kidia-classico-sauvignon-blanc-alc-125-750ml-i2259231228.html", "https://www.lazada.vn/products/ruou-vang-trang-kidia-classico-sauvignon-blanc-alc-125-750ml-i2259231228.html")</f>
        <v>https://www.lazada.vn/products/ruou-vang-trang-kidia-classico-sauvignon-blanc-alc-125-750ml-i2259231228.html</v>
      </c>
      <c r="C2349" s="10" t="s">
        <v>2349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8">
        <v>7204.0</v>
      </c>
      <c r="B2350" s="9" t="str">
        <f>HYPERLINK("https://www.lazada.vn/products/ruou-vang-trang-ventisquero-clasico-chardonnay-alc-12-750ml-i2255654466.html", "https://www.lazada.vn/products/ruou-vang-trang-ventisquero-clasico-chardonnay-alc-12-750ml-i2255654466.html")</f>
        <v>https://www.lazada.vn/products/ruou-vang-trang-ventisquero-clasico-chardonnay-alc-12-750ml-i2255654466.html</v>
      </c>
      <c r="C2350" s="10" t="s">
        <v>2350</v>
      </c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8">
        <v>7205.0</v>
      </c>
      <c r="B2351" s="9" t="str">
        <f>HYPERLINK("https://www.lazada.vn/products/ruou-vang-do-morgans-bay-chardonnay-alc-13-750ml-i2255645573.html", "https://www.lazada.vn/products/ruou-vang-do-morgans-bay-chardonnay-alc-13-750ml-i2255645573.html")</f>
        <v>https://www.lazada.vn/products/ruou-vang-do-morgans-bay-chardonnay-alc-13-750ml-i2255645573.html</v>
      </c>
      <c r="C2351" s="10" t="s">
        <v>2351</v>
      </c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8">
        <v>7206.0</v>
      </c>
      <c r="B2352" s="9" t="str">
        <f>HYPERLINK("https://www.lazada.vn/products/top-ruou-vn-ruou-vang-uc-kangavin-mastery-victoria-domino-shiraz-750ml-chinh-hang-i2252732884.html", "https://www.lazada.vn/products/top-ruou-vn-ruou-vang-uc-kangavin-mastery-victoria-domino-shiraz-750ml-chinh-hang-i2252732884.html")</f>
        <v>https://www.lazada.vn/products/top-ruou-vn-ruou-vang-uc-kangavin-mastery-victoria-domino-shiraz-750ml-chinh-hang-i2252732884.html</v>
      </c>
      <c r="C2352" s="10" t="s">
        <v>2352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8">
        <v>7207.0</v>
      </c>
      <c r="B2353" s="9" t="str">
        <f>HYPERLINK("https://www.lazada.vn/products/1kg-banh-pia-ngan-lop-nhan-long-do-trung-tan-chay-sieu-ngon-i2800387282.html", "https://www.lazada.vn/products/1kg-banh-pia-ngan-lop-nhan-long-do-trung-tan-chay-sieu-ngon-i2800387282.html")</f>
        <v>https://www.lazada.vn/products/1kg-banh-pia-ngan-lop-nhan-long-do-trung-tan-chay-sieu-ngon-i2800387282.html</v>
      </c>
      <c r="C2353" s="10" t="s">
        <v>2353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8">
        <v>7208.0</v>
      </c>
      <c r="B2354" s="9" t="str">
        <f>HYPERLINK("https://www.lazada.vn/products/combo-2-bich-ca-phe-sua-kopiko-3-trong-1-thai-lan-40-goi-24gram-i2767180592.html", "https://www.lazada.vn/products/combo-2-bich-ca-phe-sua-kopiko-3-trong-1-thai-lan-40-goi-24gram-i2767180592.html")</f>
        <v>https://www.lazada.vn/products/combo-2-bich-ca-phe-sua-kopiko-3-trong-1-thai-lan-40-goi-24gram-i2767180592.html</v>
      </c>
      <c r="C2354" s="10" t="s">
        <v>2354</v>
      </c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8">
        <v>7209.0</v>
      </c>
      <c r="B2355" s="9" t="str">
        <f>HYPERLINK("https://www.lazada.vn/products/bia-thu-cong-rooster-beers-pale-bia-ga-pale-thung-24-lon-i2698142547.html", "https://www.lazada.vn/products/bia-thu-cong-rooster-beers-pale-bia-ga-pale-thung-24-lon-i2698142547.html")</f>
        <v>https://www.lazada.vn/products/bia-thu-cong-rooster-beers-pale-bia-ga-pale-thung-24-lon-i2698142547.html</v>
      </c>
      <c r="C2355" s="10" t="s">
        <v>2355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8">
        <v>7210.0</v>
      </c>
      <c r="B2356" s="9" t="str">
        <f>HYPERLINK("https://www.lazada.vn/products/bot-ca-cao-dang-nguyen-chat-indo-goi-1kg-i2391905399.html", "https://www.lazada.vn/products/bot-ca-cao-dang-nguyen-chat-indo-goi-1kg-i2391905399.html")</f>
        <v>https://www.lazada.vn/products/bot-ca-cao-dang-nguyen-chat-indo-goi-1kg-i2391905399.html</v>
      </c>
      <c r="C2356" s="10" t="s">
        <v>2356</v>
      </c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8">
        <v>7211.0</v>
      </c>
      <c r="B2357" s="9" t="str">
        <f>HYPERLINK("https://www.lazada.vn/products/vang-y-tolucci-semi-dolce-igt-750ml-i2186543973.html", "https://www.lazada.vn/products/vang-y-tolucci-semi-dolce-igt-750ml-i2186543973.html")</f>
        <v>https://www.lazada.vn/products/vang-y-tolucci-semi-dolce-igt-750ml-i2186543973.html</v>
      </c>
      <c r="C2357" s="10" t="s">
        <v>2357</v>
      </c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8">
        <v>7212.0</v>
      </c>
      <c r="B2358" s="9" t="str">
        <f>HYPERLINK("https://www.lazada.vn/products/o-mai-giun-thai-lan-50g-i2045717008.html", "https://www.lazada.vn/products/o-mai-giun-thai-lan-50g-i2045717008.html")</f>
        <v>https://www.lazada.vn/products/o-mai-giun-thai-lan-50g-i2045717008.html</v>
      </c>
      <c r="C2358" s="10" t="s">
        <v>2358</v>
      </c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8">
        <v>7213.0</v>
      </c>
      <c r="B2359" s="9" t="str">
        <f>HYPERLINK("https://www.lazada.vn/products/thung-24-lon-nuoc-tang-luc-redbull-bo-huc-viet-lon-250ml-foodmap-i2609891690.html", "https://www.lazada.vn/products/thung-24-lon-nuoc-tang-luc-redbull-bo-huc-viet-lon-250ml-foodmap-i2609891690.html")</f>
        <v>https://www.lazada.vn/products/thung-24-lon-nuoc-tang-luc-redbull-bo-huc-viet-lon-250ml-foodmap-i2609891690.html</v>
      </c>
      <c r="C2359" s="10" t="s">
        <v>2359</v>
      </c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8">
        <v>7214.0</v>
      </c>
      <c r="B2360" s="9" t="str">
        <f>HYPERLINK("https://www.lazada.vn/products/hcmbot-tau-hu-singapore-dau-nanh-den-pha-san-goi-360g-185-lit-i788828503.html", "https://www.lazada.vn/products/hcmbot-tau-hu-singapore-dau-nanh-den-pha-san-goi-360g-185-lit-i788828503.html")</f>
        <v>https://www.lazada.vn/products/hcmbot-tau-hu-singapore-dau-nanh-den-pha-san-goi-360g-185-lit-i788828503.html</v>
      </c>
      <c r="C2360" s="10" t="s">
        <v>2360</v>
      </c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8">
        <v>7215.0</v>
      </c>
      <c r="B2361" s="9" t="str">
        <f>HYPERLINK("https://www.lazada.vn/products/nuoc-ngot-co-ga-coca-cola-nhat-ban-500ml-i2592351415.html", "https://www.lazada.vn/products/nuoc-ngot-co-ga-coca-cola-nhat-ban-500ml-i2592351415.html")</f>
        <v>https://www.lazada.vn/products/nuoc-ngot-co-ga-coca-cola-nhat-ban-500ml-i2592351415.html</v>
      </c>
      <c r="C2361" s="10" t="s">
        <v>2361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8">
        <v>7216.0</v>
      </c>
      <c r="B2362" s="9" t="str">
        <f>HYPERLINK("https://www.lazada.vn/products/combo-ruou-vang-do-achentina-norton-barrel-select-merlot-hop-ruou-go-don-i2731396196.html", "https://www.lazada.vn/products/combo-ruou-vang-do-achentina-norton-barrel-select-merlot-hop-ruou-go-don-i2731396196.html")</f>
        <v>https://www.lazada.vn/products/combo-ruou-vang-do-achentina-norton-barrel-select-merlot-hop-ruou-go-don-i2731396196.html</v>
      </c>
      <c r="C2362" s="10" t="s">
        <v>2362</v>
      </c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8">
        <v>7217.0</v>
      </c>
      <c r="B2363" s="9" t="str">
        <f>HYPERLINK("https://www.lazada.vn/products/vien-dau-tuong-len-men-tia-to-hop-220gr-natto-anphaco-i2044158470.html", "https://www.lazada.vn/products/vien-dau-tuong-len-men-tia-to-hop-220gr-natto-anphaco-i2044158470.html")</f>
        <v>https://www.lazada.vn/products/vien-dau-tuong-len-men-tia-to-hop-220gr-natto-anphaco-i2044158470.html</v>
      </c>
      <c r="C2363" s="10" t="s">
        <v>2363</v>
      </c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8">
        <v>7218.0</v>
      </c>
      <c r="B2364" s="9" t="str">
        <f>HYPERLINK("https://www.lazada.vn/products/nuoc-ngot-co-ga-vi-luu-nuoc-luu-co-ga-okf-han-quoc-x-6-lon-350ml-i2587648507.html", "https://www.lazada.vn/products/nuoc-ngot-co-ga-vi-luu-nuoc-luu-co-ga-okf-han-quoc-x-6-lon-350ml-i2587648507.html")</f>
        <v>https://www.lazada.vn/products/nuoc-ngot-co-ga-vi-luu-nuoc-luu-co-ga-okf-han-quoc-x-6-lon-350ml-i2587648507.html</v>
      </c>
      <c r="C2364" s="10" t="s">
        <v>2364</v>
      </c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8">
        <v>7219.0</v>
      </c>
      <c r="B2365" s="9" t="str">
        <f>HYPERLINK("https://www.lazada.vn/products/cot-la-bang-dam-dac-than-duocc-caa-canh-chai-500ml-i2034827496.html", "https://www.lazada.vn/products/cot-la-bang-dam-dac-than-duocc-caa-canh-chai-500ml-i2034827496.html")</f>
        <v>https://www.lazada.vn/products/cot-la-bang-dam-dac-than-duocc-caa-canh-chai-500ml-i2034827496.html</v>
      </c>
      <c r="C2365" s="10" t="s">
        <v>2365</v>
      </c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8">
        <v>7220.0</v>
      </c>
      <c r="B2366" s="9" t="str">
        <f>HYPERLINK("https://www.lazada.vn/products/cot-la-bang-dam-dac-than-duocc-caa-canh-chai-500ml500gram-i2034683958.html", "https://www.lazada.vn/products/cot-la-bang-dam-dac-than-duocc-caa-canh-chai-500ml500gram-i2034683958.html")</f>
        <v>https://www.lazada.vn/products/cot-la-bang-dam-dac-than-duocc-caa-canh-chai-500ml500gram-i2034683958.html</v>
      </c>
      <c r="C2366" s="10" t="s">
        <v>2366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8">
        <v>7221.0</v>
      </c>
      <c r="B2367" s="9" t="str">
        <f>HYPERLINK("https://www.lazada.vn/products/cot-la-bang-dam-dac-than-duocc-caa-canh-chai-500ml-i2034663802.html", "https://www.lazada.vn/products/cot-la-bang-dam-dac-than-duocc-caa-canh-chai-500ml-i2034663802.html")</f>
        <v>https://www.lazada.vn/products/cot-la-bang-dam-dac-than-duocc-caa-canh-chai-500ml-i2034663802.html</v>
      </c>
      <c r="C2367" s="10" t="s">
        <v>2367</v>
      </c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8">
        <v>7222.0</v>
      </c>
      <c r="B2368" s="9" t="str">
        <f>HYPERLINK("https://www.lazada.vn/products/chao-bo-dac-san-tan-long-an-an-la-ghien-i2033385037.html", "https://www.lazada.vn/products/chao-bo-dac-san-tan-long-an-an-la-ghien-i2033385037.html")</f>
        <v>https://www.lazada.vn/products/chao-bo-dac-san-tan-long-an-an-la-ghien-i2033385037.html</v>
      </c>
      <c r="C2368" s="10" t="s">
        <v>2368</v>
      </c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8">
        <v>7223.0</v>
      </c>
      <c r="B2369" s="9" t="str">
        <f>HYPERLINK("https://www.lazada.vn/products/haldiram-chatpata-dal-indian-snack-haldirams-chatpatta-daal-200g-i1589249902.html", "https://www.lazada.vn/products/haldiram-chatpata-dal-indian-snack-haldirams-chatpatta-daal-200g-i1589249902.html")</f>
        <v>https://www.lazada.vn/products/haldiram-chatpata-dal-indian-snack-haldirams-chatpatta-daal-200g-i1589249902.html</v>
      </c>
      <c r="C2369" s="10" t="s">
        <v>2369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8">
        <v>7224.0</v>
      </c>
      <c r="B2370" s="9" t="str">
        <f>HYPERLINK("https://www.lazada.vn/products/500g-banh-pia-ngan-lop-nhan-long-do-trung-tan-chay-sieu-ngon-i2800353395.html", "https://www.lazada.vn/products/500g-banh-pia-ngan-lop-nhan-long-do-trung-tan-chay-sieu-ngon-i2800353395.html")</f>
        <v>https://www.lazada.vn/products/500g-banh-pia-ngan-lop-nhan-long-do-trung-tan-chay-sieu-ngon-i2800353395.html</v>
      </c>
      <c r="C2370" s="10" t="s">
        <v>2370</v>
      </c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8">
        <v>7225.0</v>
      </c>
      <c r="B2371" s="9" t="str">
        <f>HYPERLINK("https://www.lazada.vn/products/vang-do-y-r7-primitivo-puglia-15-750ml-i2731311388.html", "https://www.lazada.vn/products/vang-do-y-r7-primitivo-puglia-15-750ml-i2731311388.html")</f>
        <v>https://www.lazada.vn/products/vang-do-y-r7-primitivo-puglia-15-750ml-i2731311388.html</v>
      </c>
      <c r="C2371" s="10" t="s">
        <v>2371</v>
      </c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8">
        <v>7226.0</v>
      </c>
      <c r="B2372" s="9" t="str">
        <f>HYPERLINK("https://www.lazada.vn/products/ca-phe-good-morning-tran-quang-24-goi-20g-date-72025-i2766428729.html", "https://www.lazada.vn/products/ca-phe-good-morning-tran-quang-24-goi-20g-date-72025-i2766428729.html")</f>
        <v>https://www.lazada.vn/products/ca-phe-good-morning-tran-quang-24-goi-20g-date-72025-i2766428729.html</v>
      </c>
      <c r="C2372" s="10" t="s">
        <v>2372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8">
        <v>7227.0</v>
      </c>
      <c r="B2373" s="9" t="str">
        <f>HYPERLINK("https://www.lazada.vn/products/bia-thu-cong-rooster-beers-pale-bia-ga-pale-loc-4-lon-x-330ml-i2698122773.html", "https://www.lazada.vn/products/bia-thu-cong-rooster-beers-pale-bia-ga-pale-loc-4-lon-x-330ml-i2698122773.html")</f>
        <v>https://www.lazada.vn/products/bia-thu-cong-rooster-beers-pale-bia-ga-pale-loc-4-lon-x-330ml-i2698122773.html</v>
      </c>
      <c r="C2373" s="10" t="s">
        <v>2373</v>
      </c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8">
        <v>7228.0</v>
      </c>
      <c r="B2374" s="9" t="str">
        <f>HYPERLINK("https://www.lazada.vn/products/bot-socola-king-i2391788576.html", "https://www.lazada.vn/products/bot-socola-king-i2391788576.html")</f>
        <v>https://www.lazada.vn/products/bot-socola-king-i2391788576.html</v>
      </c>
      <c r="C2374" s="10" t="s">
        <v>2374</v>
      </c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8">
        <v>7229.0</v>
      </c>
      <c r="B2375" s="9" t="str">
        <f>HYPERLINK("https://www.lazada.vn/products/vang-tay-ban-nha-carmelo-750ml-135-vol-i2186541340.html", "https://www.lazada.vn/products/vang-tay-ban-nha-carmelo-750ml-135-vol-i2186541340.html")</f>
        <v>https://www.lazada.vn/products/vang-tay-ban-nha-carmelo-750ml-135-vol-i2186541340.html</v>
      </c>
      <c r="C2375" s="10" t="s">
        <v>2375</v>
      </c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8">
        <v>7230.0</v>
      </c>
      <c r="B2376" s="9" t="str">
        <f>HYPERLINK("https://www.lazada.vn/products/thung-24-lon-nuoc-tang-luc-redbull-bo-huc-viet-lon-250ml-foodmap-i2609863702.html", "https://www.lazada.vn/products/thung-24-lon-nuoc-tang-luc-redbull-bo-huc-viet-lon-250ml-foodmap-i2609863702.html")</f>
        <v>https://www.lazada.vn/products/thung-24-lon-nuoc-tang-luc-redbull-bo-huc-viet-lon-250ml-foodmap-i2609863702.html</v>
      </c>
      <c r="C2376" s="10" t="s">
        <v>2376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8">
        <v>7231.0</v>
      </c>
      <c r="B2377" s="9" t="str">
        <f>HYPERLINK("https://www.lazada.vn/products/hcmbot-tau-hu-singapore-dau-nanh-den-pha-san-goi-720g-37-lit-i788774380.html", "https://www.lazada.vn/products/hcmbot-tau-hu-singapore-dau-nanh-den-pha-san-goi-720g-37-lit-i788774380.html")</f>
        <v>https://www.lazada.vn/products/hcmbot-tau-hu-singapore-dau-nanh-den-pha-san-goi-720g-37-lit-i788774380.html</v>
      </c>
      <c r="C2377" s="10" t="s">
        <v>2377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8">
        <v>7232.0</v>
      </c>
      <c r="B2378" s="9" t="str">
        <f>HYPERLINK("https://www.lazada.vn/products/nuoc-ngot-co-ga-vi-viet-quat-nuoc-viet-quat-co-ga-okf-han-quoc-x-6-lon-350ml-i2587639480.html", "https://www.lazada.vn/products/nuoc-ngot-co-ga-vi-viet-quat-nuoc-viet-quat-co-ga-okf-han-quoc-x-6-lon-350ml-i2587639480.html")</f>
        <v>https://www.lazada.vn/products/nuoc-ngot-co-ga-vi-viet-quat-nuoc-viet-quat-co-ga-okf-han-quoc-x-6-lon-350ml-i2587639480.html</v>
      </c>
      <c r="C2378" s="10" t="s">
        <v>2378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8">
        <v>7233.0</v>
      </c>
      <c r="B2379" s="9" t="str">
        <f>HYPERLINK("https://www.lazada.vn/products/boodi-indian-snack-haldirams-boondi-200g-i1589237916.html", "https://www.lazada.vn/products/boodi-indian-snack-haldirams-boondi-200g-i1589237916.html")</f>
        <v>https://www.lazada.vn/products/boodi-indian-snack-haldirams-boondi-200g-i1589237916.html</v>
      </c>
      <c r="C2379" s="10" t="s">
        <v>2379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8">
        <v>7234.0</v>
      </c>
      <c r="B2380" s="9" t="str">
        <f>HYPERLINK("https://www.lazada.vn/products/dau-tam-ngam-duong-vang-nguyen-chat-bich-1kg-refill-siro-dau-nuoc-cot-dau-tam-giai-khat-hu-thuy-tinh-500ml-nha-berries-farm-i2666900653.html", "https://www.lazada.vn/products/dau-tam-ngam-duong-vang-nguyen-chat-bich-1kg-refill-siro-dau-nuoc-cot-dau-tam-giai-khat-hu-thuy-tinh-500ml-nha-berries-farm-i2666900653.html")</f>
        <v>https://www.lazada.vn/products/dau-tam-ngam-duong-vang-nguyen-chat-bich-1kg-refill-siro-dau-nuoc-cot-dau-tam-giai-khat-hu-thuy-tinh-500ml-nha-berries-farm-i2666900653.html</v>
      </c>
      <c r="C2380" s="10" t="s">
        <v>2380</v>
      </c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8">
        <v>7235.0</v>
      </c>
      <c r="B2381" s="9" t="str">
        <f>HYPERLINK("https://www.lazada.vn/products/anvil-duc-50sc-1000ml-vua-nam-sua-set-mat-cay-i2830025750.html", "https://www.lazada.vn/products/anvil-duc-50sc-1000ml-vua-nam-sua-set-mat-cay-i2830025750.html")</f>
        <v>https://www.lazada.vn/products/anvil-duc-50sc-1000ml-vua-nam-sua-set-mat-cay-i2830025750.html</v>
      </c>
      <c r="C2381" s="10" t="s">
        <v>2381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8">
        <v>7236.0</v>
      </c>
      <c r="B2382" s="9" t="str">
        <f>HYPERLINK("https://www.lazada.vn/products/vang-do-phap-cotes-du-rhone-15-750ml-i2731303745.html", "https://www.lazada.vn/products/vang-do-phap-cotes-du-rhone-15-750ml-i2731303745.html")</f>
        <v>https://www.lazada.vn/products/vang-do-phap-cotes-du-rhone-15-750ml-i2731303745.html</v>
      </c>
      <c r="C2382" s="10" t="s">
        <v>2382</v>
      </c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8">
        <v>7237.0</v>
      </c>
      <c r="B2383" s="9" t="str">
        <f>HYPERLINK("https://www.lazada.vn/products/3-combo-ca-phe-sua-ly-lon-ca-giu-nhiet-750ml-i2765082039.html", "https://www.lazada.vn/products/3-combo-ca-phe-sua-ly-lon-ca-giu-nhiet-750ml-i2765082039.html")</f>
        <v>https://www.lazada.vn/products/3-combo-ca-phe-sua-ly-lon-ca-giu-nhiet-750ml-i2765082039.html</v>
      </c>
      <c r="C2383" s="10" t="s">
        <v>2383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8">
        <v>7238.0</v>
      </c>
      <c r="B2384" s="9" t="str">
        <f>HYPERLINK("https://www.lazada.vn/products/combo-2-tui-ca-phe-hoa-tan-nescafe-cafe-viet-ca-phe-den-da-tui-35-goi-x-16g-i2762789206.html", "https://www.lazada.vn/products/combo-2-tui-ca-phe-hoa-tan-nescafe-cafe-viet-ca-phe-den-da-tui-35-goi-x-16g-i2762789206.html")</f>
        <v>https://www.lazada.vn/products/combo-2-tui-ca-phe-hoa-tan-nescafe-cafe-viet-ca-phe-den-da-tui-35-goi-x-16g-i2762789206.html</v>
      </c>
      <c r="C2384" s="10" t="s">
        <v>2384</v>
      </c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8">
        <v>7239.0</v>
      </c>
      <c r="B2385" s="9" t="str">
        <f>HYPERLINK("https://www.lazada.vn/products/combo-3-bich-ca-phe-nescafe-3in1-cong-thuc-cai-tien-vi-rang-dam-bich-46-goi-i2760193956.html", "https://www.lazada.vn/products/combo-3-bich-ca-phe-nescafe-3in1-cong-thuc-cai-tien-vi-rang-dam-bich-46-goi-i2760193956.html")</f>
        <v>https://www.lazada.vn/products/combo-3-bich-ca-phe-nescafe-3in1-cong-thuc-cai-tien-vi-rang-dam-bich-46-goi-i2760193956.html</v>
      </c>
      <c r="C2385" s="10" t="s">
        <v>2385</v>
      </c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8">
        <v>7240.0</v>
      </c>
      <c r="B2386" s="9" t="str">
        <f>HYPERLINK("https://www.lazada.vn/products/trung-nguyen-legend-ca-phe-hoa-tan-rang-xay-3in1-cafe-sua-da-hop-9-goi-x-25gr-i2759685149.html", "https://www.lazada.vn/products/trung-nguyen-legend-ca-phe-hoa-tan-rang-xay-3in1-cafe-sua-da-hop-9-goi-x-25gr-i2759685149.html")</f>
        <v>https://www.lazada.vn/products/trung-nguyen-legend-ca-phe-hoa-tan-rang-xay-3in1-cafe-sua-da-hop-9-goi-x-25gr-i2759685149.html</v>
      </c>
      <c r="C2386" s="10" t="s">
        <v>2386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8">
        <v>7241.0</v>
      </c>
      <c r="B2387" s="9" t="str">
        <f>HYPERLINK("https://www.lazada.vn/products/trung-nguyen-legend-ca-phe-sua-hoa-tan-rang-xay-3in1-classic-bich-50-goi-x-17gr-i2759426359.html", "https://www.lazada.vn/products/trung-nguyen-legend-ca-phe-sua-hoa-tan-rang-xay-3in1-classic-bich-50-goi-x-17gr-i2759426359.html")</f>
        <v>https://www.lazada.vn/products/trung-nguyen-legend-ca-phe-sua-hoa-tan-rang-xay-3in1-classic-bich-50-goi-x-17gr-i2759426359.html</v>
      </c>
      <c r="C2387" s="10" t="s">
        <v>2387</v>
      </c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8">
        <v>7242.0</v>
      </c>
      <c r="B2388" s="9" t="str">
        <f>HYPERLINK("https://www.lazada.vn/products/combo-3-tui-ca-phe-hoa-tan-nescafe-cafe-viet-ca-phe-den-da-tui-35-goi-x-16g-i2757922907.html", "https://www.lazada.vn/products/combo-3-tui-ca-phe-hoa-tan-nescafe-cafe-viet-ca-phe-den-da-tui-35-goi-x-16g-i2757922907.html")</f>
        <v>https://www.lazada.vn/products/combo-3-tui-ca-phe-hoa-tan-nescafe-cafe-viet-ca-phe-den-da-tui-35-goi-x-16g-i2757922907.html</v>
      </c>
      <c r="C2388" s="10" t="s">
        <v>2388</v>
      </c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8">
        <v>7243.0</v>
      </c>
      <c r="B2389" s="9" t="str">
        <f>HYPERLINK("https://www.lazada.vn/products/ca-phe-hat-trung-nguyen-legend-success-1-i2757087457.html", "https://www.lazada.vn/products/ca-phe-hat-trung-nguyen-legend-success-1-i2757087457.html")</f>
        <v>https://www.lazada.vn/products/ca-phe-hat-trung-nguyen-legend-success-1-i2757087457.html</v>
      </c>
      <c r="C2389" s="10" t="s">
        <v>2389</v>
      </c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8">
        <v>7244.0</v>
      </c>
      <c r="B2390" s="9" t="str">
        <f>HYPERLINK("https://www.lazada.vn/products/1kg-ca-phe-pha-phim-bao-loc-dam-da-thom-ngon-doc-dao-den-tung-giot-tu-ca-phe-hat-nguyen-chat-cho-ra-ly-ca-phe-pha-phim-truyen-thong-thom-ngon-tuyet-hao-i2751984020.html", "https://www.lazada.vn/products/1kg-ca-phe-pha-phim-bao-loc-dam-da-thom-ngon-doc-dao-den-tung-giot-tu-ca-phe-hat-nguyen-chat-cho-ra-ly-ca-phe-pha-phim-truyen-thong-thom-ngon-tuyet-hao-i2751984020.html")</f>
        <v>https://www.lazada.vn/products/1kg-ca-phe-pha-phim-bao-loc-dam-da-thom-ngon-doc-dao-den-tung-giot-tu-ca-phe-hat-nguyen-chat-cho-ra-ly-ca-phe-pha-phim-truyen-thong-thom-ngon-tuyet-hao-i2751984020.html</v>
      </c>
      <c r="C2390" s="10" t="s">
        <v>2390</v>
      </c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8">
        <v>7245.0</v>
      </c>
      <c r="B2391" s="9" t="str">
        <f>HYPERLINK("https://www.lazada.vn/products/1kg-ca-phe-pha-phim-trung-nguyen-chu-y-dam-da-thom-ngon-doc-dao-den-tung-giot-tu-ca-phe-hat-nguyen-chat-cho-ra-ly-ca-phe-pha-phim-truyen-thong-voi-thom-ngon-tuyet-hao-i2751913469.html", "https://www.lazada.vn/products/1kg-ca-phe-pha-phim-trung-nguyen-chu-y-dam-da-thom-ngon-doc-dao-den-tung-giot-tu-ca-phe-hat-nguyen-chat-cho-ra-ly-ca-phe-pha-phim-truyen-thong-voi-thom-ngon-tuyet-hao-i2751913469.html")</f>
        <v>https://www.lazada.vn/products/1kg-ca-phe-pha-phim-trung-nguyen-chu-y-dam-da-thom-ngon-doc-dao-den-tung-giot-tu-ca-phe-hat-nguyen-chat-cho-ra-ly-ca-phe-pha-phim-truyen-thong-voi-thom-ngon-tuyet-hao-i2751913469.html</v>
      </c>
      <c r="C2391" s="10" t="s">
        <v>2391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8">
        <v>7246.0</v>
      </c>
      <c r="B2392" s="9" t="str">
        <f>HYPERLINK("https://www.lazada.vn/products/combo-ca-phe-pha-phim-duc-manh-buon-me-thuoc-voi-ca-phe-pha-phim-bao-loc-thuong-han-tron-deu-pha-chung-cho-ra-ly-ca-phe-thom-ngon-doc-dao-den-tung-giot-tu-ca-phe-hat-nguyen-chat-cho-ra-ly-ca-phe-pha-phim-truyen-thong-thom-ng", "https://www.lazada.vn/products/combo-ca-phe-pha-phim-duc-manh-buon-me-thuoc-voi-ca-phe-pha-phim-bao-loc-thuong-han-tron-deu-pha-chung-cho-ra-ly-ca-phe-thom-ngon-doc-dao-den-tung-giot-tu-ca-phe-hat-nguyen-chat-cho-ra-ly-ca-phe-pha-phim-truyen-thong-thom-ng")</f>
        <v>https://www.lazada.vn/products/combo-ca-phe-pha-phim-duc-manh-buon-me-thuoc-voi-ca-phe-pha-phim-bao-loc-thuong-han-tron-deu-pha-chung-cho-ra-ly-ca-phe-thom-ngon-doc-dao-den-tung-giot-tu-ca-phe-hat-nguyen-chat-cho-ra-ly-ca-phe-pha-phim-truyen-thong-thom-ng</v>
      </c>
      <c r="C2392" s="10" t="s">
        <v>2392</v>
      </c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8">
        <v>7247.0</v>
      </c>
      <c r="B2393" s="9" t="str">
        <f>HYPERLINK("https://www.lazada.vn/products/1kg-ca-phe-pha-phim-bao-loc-thuong-dam-da-thom-ngon-dung-chuan-vi-ca-phe-pha-phim-truyen-thong-cho-ra-ly-ca-phe-thom-ngon-tuyet-hao-i2751696982.html", "https://www.lazada.vn/products/1kg-ca-phe-pha-phim-bao-loc-thuong-dam-da-thom-ngon-dung-chuan-vi-ca-phe-pha-phim-truyen-thong-cho-ra-ly-ca-phe-thom-ngon-tuyet-hao-i2751696982.html")</f>
        <v>https://www.lazada.vn/products/1kg-ca-phe-pha-phim-bao-loc-thuong-dam-da-thom-ngon-dung-chuan-vi-ca-phe-pha-phim-truyen-thong-cho-ra-ly-ca-phe-thom-ngon-tuyet-hao-i2751696982.html</v>
      </c>
      <c r="C2393" s="10" t="s">
        <v>2393</v>
      </c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8">
        <v>7248.0</v>
      </c>
      <c r="B2394" s="9" t="str">
        <f>HYPERLINK("https://www.lazada.vn/products/combo-3-bich-nescafe-3in1-cong-thuc-cai-tien-vi-nguyen-ban-bich-46-goi-i2750788444.html", "https://www.lazada.vn/products/combo-3-bich-nescafe-3in1-cong-thuc-cai-tien-vi-nguyen-ban-bich-46-goi-i2750788444.html")</f>
        <v>https://www.lazada.vn/products/combo-3-bich-nescafe-3in1-cong-thuc-cai-tien-vi-nguyen-ban-bich-46-goi-i2750788444.html</v>
      </c>
      <c r="C2394" s="10" t="s">
        <v>2394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8">
        <v>7249.0</v>
      </c>
      <c r="B2395" s="9" t="str">
        <f>HYPERLINK("https://www.lazada.vn/products/1kg2-goi-ca-phe-che-bien-robusta-khang-minh-danh-cho-pha-phin-truyen-thong-thom-ngon-dam-vi-cuc-chat-i2750728236.html", "https://www.lazada.vn/products/1kg2-goi-ca-phe-che-bien-robusta-khang-minh-danh-cho-pha-phin-truyen-thong-thom-ngon-dam-vi-cuc-chat-i2750728236.html")</f>
        <v>https://www.lazada.vn/products/1kg2-goi-ca-phe-che-bien-robusta-khang-minh-danh-cho-pha-phin-truyen-thong-thom-ngon-dam-vi-cuc-chat-i2750728236.html</v>
      </c>
      <c r="C2395" s="10" t="s">
        <v>2395</v>
      </c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8">
        <v>7250.0</v>
      </c>
      <c r="B2396" s="9" t="str">
        <f>HYPERLINK("https://www.lazada.vn/products/ca-phe-hoa-tan-g7-3in1-trung-quyen-hop-288g-16g-x-18-goi-i2749231270.html", "https://www.lazada.vn/products/ca-phe-hoa-tan-g7-3in1-trung-quyen-hop-288g-16g-x-18-goi-i2749231270.html")</f>
        <v>https://www.lazada.vn/products/ca-phe-hoa-tan-g7-3in1-trung-quyen-hop-288g-16g-x-18-goi-i2749231270.html</v>
      </c>
      <c r="C2396" s="10" t="s">
        <v>2396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8">
        <v>7251.0</v>
      </c>
      <c r="B2397" s="9" t="str">
        <f>HYPERLINK("https://www.lazada.vn/products/combo-ca-phe-vinacafe-chat-sua-da-3in1-ca-phe-vinacafe-3in1-gold-original-tui-24-goi-x-20g-i2749225395.html", "https://www.lazada.vn/products/combo-ca-phe-vinacafe-chat-sua-da-3in1-ca-phe-vinacafe-3in1-gold-original-tui-24-goi-x-20g-i2749225395.html")</f>
        <v>https://www.lazada.vn/products/combo-ca-phe-vinacafe-chat-sua-da-3in1-ca-phe-vinacafe-3in1-gold-original-tui-24-goi-x-20g-i2749225395.html</v>
      </c>
      <c r="C2397" s="10" t="s">
        <v>2397</v>
      </c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8">
        <v>7252.0</v>
      </c>
      <c r="B2398" s="9" t="str">
        <f>HYPERLINK("https://www.lazada.vn/products/combo-2-hop-ca-phe-vinacafe-3in1-gold-original-18-goi-x-20gr-ca-phe-vinacafe-3in1-gold-original-tui-24-goi-x-20g-i2749152689.html", "https://www.lazada.vn/products/combo-2-hop-ca-phe-vinacafe-3in1-gold-original-18-goi-x-20gr-ca-phe-vinacafe-3in1-gold-original-tui-24-goi-x-20g-i2749152689.html")</f>
        <v>https://www.lazada.vn/products/combo-2-hop-ca-phe-vinacafe-3in1-gold-original-18-goi-x-20gr-ca-phe-vinacafe-3in1-gold-original-tui-24-goi-x-20g-i2749152689.html</v>
      </c>
      <c r="C2398" s="10" t="s">
        <v>2398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8">
        <v>7253.0</v>
      </c>
      <c r="B2399" s="9" t="str">
        <f>HYPERLINK("https://www.lazada.vn/products/ca-phe-giam-can-slim-coffee-hop-10-goi-hang-loai-i2749143457.html", "https://www.lazada.vn/products/ca-phe-giam-can-slim-coffee-hop-10-goi-hang-loai-i2749143457.html")</f>
        <v>https://www.lazada.vn/products/ca-phe-giam-can-slim-coffee-hop-10-goi-hang-loai-i2749143457.html</v>
      </c>
      <c r="C2399" s="10" t="s">
        <v>2399</v>
      </c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8">
        <v>7254.0</v>
      </c>
      <c r="B2400" s="9" t="str">
        <f>HYPERLINK("https://www.lazada.vn/products/tiet-kiem-4-tui-ca-phe-nguyen-chat-100-arabica-robusta-culi-moka-250gr-chinh-hang-ban-me-gold-honee-coffee-i2749122089.html", "https://www.lazada.vn/products/tiet-kiem-4-tui-ca-phe-nguyen-chat-100-arabica-robusta-culi-moka-250gr-chinh-hang-ban-me-gold-honee-coffee-i2749122089.html")</f>
        <v>https://www.lazada.vn/products/tiet-kiem-4-tui-ca-phe-nguyen-chat-100-arabica-robusta-culi-moka-250gr-chinh-hang-ban-me-gold-honee-coffee-i2749122089.html</v>
      </c>
      <c r="C2400" s="10" t="s">
        <v>2400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8">
        <v>7255.0</v>
      </c>
      <c r="B2401" s="9" t="str">
        <f>HYPERLINK("https://www.lazada.vn/products/mua-1-tang-1-hsd-t72025-ca-phe-nguyen-hat-rang-hang-nhat-vietnam-coffee-gom-robusta-70-va-arabica-30-goi-1kg-i2748585286.html", "https://www.lazada.vn/products/mua-1-tang-1-hsd-t72025-ca-phe-nguyen-hat-rang-hang-nhat-vietnam-coffee-gom-robusta-70-va-arabica-30-goi-1kg-i2748585286.html")</f>
        <v>https://www.lazada.vn/products/mua-1-tang-1-hsd-t72025-ca-phe-nguyen-hat-rang-hang-nhat-vietnam-coffee-gom-robusta-70-va-arabica-30-goi-1kg-i2748585286.html</v>
      </c>
      <c r="C2401" s="10" t="s">
        <v>2401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8">
        <v>7256.0</v>
      </c>
      <c r="B2402" s="9" t="str">
        <f>HYPERLINK("https://www.lazada.vn/products/ca-phe-rang-xay-truyen-thong-vietnam-coffee-100-robusta-nguyen-chat-tui-500g-i2748569350.html", "https://www.lazada.vn/products/ca-phe-rang-xay-truyen-thong-vietnam-coffee-100-robusta-nguyen-chat-tui-500g-i2748569350.html")</f>
        <v>https://www.lazada.vn/products/ca-phe-rang-xay-truyen-thong-vietnam-coffee-100-robusta-nguyen-chat-tui-500g-i2748569350.html</v>
      </c>
      <c r="C2402" s="10" t="s">
        <v>2402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8">
        <v>7257.0</v>
      </c>
      <c r="B2403" s="9" t="str">
        <f>HYPERLINK("https://www.lazada.vn/products/bich-ca-phe-nescafe-3in1-xanh-do-den-46-goi-do-xanh-den-35-date-moi-nhat-i2748121474.html", "https://www.lazada.vn/products/bich-ca-phe-nescafe-3in1-xanh-do-den-46-goi-do-xanh-den-35-date-moi-nhat-i2748121474.html")</f>
        <v>https://www.lazada.vn/products/bich-ca-phe-nescafe-3in1-xanh-do-den-46-goi-do-xanh-den-35-date-moi-nhat-i2748121474.html</v>
      </c>
      <c r="C2403" s="10" t="s">
        <v>2403</v>
      </c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8">
        <v>7258.0</v>
      </c>
      <c r="B2404" s="9" t="str">
        <f>HYPERLINK("https://www.lazada.vn/products/ca-phe-hoa-tan-den-pure-black-coffee-tui-100-goi-x-2g-king-coffee-i2747882036.html", "https://www.lazada.vn/products/ca-phe-hoa-tan-den-pure-black-coffee-tui-100-goi-x-2g-king-coffee-i2747882036.html")</f>
        <v>https://www.lazada.vn/products/ca-phe-hoa-tan-den-pure-black-coffee-tui-100-goi-x-2g-king-coffee-i2747882036.html</v>
      </c>
      <c r="C2404" s="10" t="s">
        <v>2404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8">
        <v>7259.0</v>
      </c>
      <c r="B2405" s="9" t="str">
        <f>HYPERLINK("https://www.lazada.vn/products/ca-phe-nau-suc-song-trung-nguyen-bich-500g-i2747871515.html", "https://www.lazada.vn/products/ca-phe-nau-suc-song-trung-nguyen-bich-500g-i2747871515.html")</f>
        <v>https://www.lazada.vn/products/ca-phe-nau-suc-song-trung-nguyen-bich-500g-i2747871515.html</v>
      </c>
      <c r="C2405" s="10" t="s">
        <v>2405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8">
        <v>7260.0</v>
      </c>
      <c r="B2406" s="9" t="str">
        <f>HYPERLINK("https://www.lazada.vn/products/trung-nguyen-legend-ca-phe-rang-xay-i-khat-vong-bich-500gr-i2746166604.html", "https://www.lazada.vn/products/trung-nguyen-legend-ca-phe-rang-xay-i-khat-vong-bich-500gr-i2746166604.html")</f>
        <v>https://www.lazada.vn/products/trung-nguyen-legend-ca-phe-rang-xay-i-khat-vong-bich-500gr-i2746166604.html</v>
      </c>
      <c r="C2406" s="10" t="s">
        <v>2406</v>
      </c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8">
        <v>7261.0</v>
      </c>
      <c r="B2407" s="9" t="str">
        <f>HYPERLINK("https://www.lazada.vn/products/ca-phe-muoi-hoa-tan-3in1-hop-10goi20g-i2745644773.html", "https://www.lazada.vn/products/ca-phe-muoi-hoa-tan-3in1-hop-10goi20g-i2745644773.html")</f>
        <v>https://www.lazada.vn/products/ca-phe-muoi-hoa-tan-3in1-hop-10goi20g-i2745644773.html</v>
      </c>
      <c r="C2407" s="10" t="s">
        <v>2407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8">
        <v>7262.0</v>
      </c>
      <c r="B2408" s="9" t="str">
        <f>HYPERLINK("https://www.lazada.vn/products/cafe-sua-nescafe-3in1-dam-vi-hai-hoa-sua-da-nhan-doi-sanh-quyen-hop-i2745298296.html", "https://www.lazada.vn/products/cafe-sua-nescafe-3in1-dam-vi-hai-hoa-sua-da-nhan-doi-sanh-quyen-hop-i2745298296.html")</f>
        <v>https://www.lazada.vn/products/cafe-sua-nescafe-3in1-dam-vi-hai-hoa-sua-da-nhan-doi-sanh-quyen-hop-i2745298296.html</v>
      </c>
      <c r="C2408" s="10" t="s">
        <v>2408</v>
      </c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8">
        <v>7263.0</v>
      </c>
      <c r="B2409" s="9" t="str">
        <f>HYPERLINK("https://www.lazada.vn/products/ca-phe-pho-hop-10-goi-24g-date-2026-i2743892179.html", "https://www.lazada.vn/products/ca-phe-pho-hop-10-goi-24g-date-2026-i2743892179.html")</f>
        <v>https://www.lazada.vn/products/ca-phe-pho-hop-10-goi-24g-date-2026-i2743892179.html</v>
      </c>
      <c r="C2409" s="10" t="s">
        <v>2409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8">
        <v>7264.0</v>
      </c>
      <c r="B2410" s="9" t="str">
        <f>HYPERLINK("https://www.lazada.vn/products/fine-robusta-anaerobic-natural-ca-phe-gia-lai-viet-nam-rang-vua-chi-rang-xay-khi-dat-hang-i2743789262.html", "https://www.lazada.vn/products/fine-robusta-anaerobic-natural-ca-phe-gia-lai-viet-nam-rang-vua-chi-rang-xay-khi-dat-hang-i2743789262.html")</f>
        <v>https://www.lazada.vn/products/fine-robusta-anaerobic-natural-ca-phe-gia-lai-viet-nam-rang-vua-chi-rang-xay-khi-dat-hang-i2743789262.html</v>
      </c>
      <c r="C2410" s="10" t="s">
        <v>2410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8">
        <v>7265.0</v>
      </c>
      <c r="B2411" s="9" t="str">
        <f>HYPERLINK("https://www.lazada.vn/products/combo-3-ca-phe-pho-den-da-1-hop-10-goi-tong-30-goi-ca-phe-i2743008598.html", "https://www.lazada.vn/products/combo-3-ca-phe-pho-den-da-1-hop-10-goi-tong-30-goi-ca-phe-i2743008598.html")</f>
        <v>https://www.lazada.vn/products/combo-3-ca-phe-pho-den-da-1-hop-10-goi-tong-30-goi-ca-phe-i2743008598.html</v>
      </c>
      <c r="C2411" s="10" t="s">
        <v>2411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8">
        <v>7266.0</v>
      </c>
      <c r="B2412" s="9" t="str">
        <f>HYPERLINK("https://www.lazada.vn/products/blend-series-ca-phe-blend-coconut-caramel-colombia-x-colombia-medium-roast-i2742029127.html", "https://www.lazada.vn/products/blend-series-ca-phe-blend-coconut-caramel-colombia-x-colombia-medium-roast-i2742029127.html")</f>
        <v>https://www.lazada.vn/products/blend-series-ca-phe-blend-coconut-caramel-colombia-x-colombia-medium-roast-i2742029127.html</v>
      </c>
      <c r="C2412" s="10" t="s">
        <v>2412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8">
        <v>7267.0</v>
      </c>
      <c r="B2413" s="9" t="str">
        <f>HYPERLINK("https://www.lazada.vn/products/trung-nguyen-legend-ca-phe-rang-xay-sang-tao-2-bich-340gr-i2741888198.html", "https://www.lazada.vn/products/trung-nguyen-legend-ca-phe-rang-xay-sang-tao-2-bich-340gr-i2741888198.html")</f>
        <v>https://www.lazada.vn/products/trung-nguyen-legend-ca-phe-rang-xay-sang-tao-2-bich-340gr-i2741888198.html</v>
      </c>
      <c r="C2413" s="10" t="s">
        <v>2413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8">
        <v>7268.0</v>
      </c>
      <c r="B2414" s="9" t="str">
        <f>HYPERLINK("https://www.lazada.vn/products/cafa-sau-rieng-goi-to-3020g-i2741428513.html", "https://www.lazada.vn/products/cafa-sau-rieng-goi-to-3020g-i2741428513.html")</f>
        <v>https://www.lazada.vn/products/cafa-sau-rieng-goi-to-3020g-i2741428513.html</v>
      </c>
      <c r="C2414" s="10" t="s">
        <v>2414</v>
      </c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8">
        <v>7269.0</v>
      </c>
      <c r="B2415" s="9" t="str">
        <f>HYPERLINK("https://www.lazada.vn/products/ca-phe-sua-tran-quang-ngon-60-hoa-tan-3-in-1-uong-lien-bich-12kg-x-60-ong-20g-kope-i2741117228.html", "https://www.lazada.vn/products/ca-phe-sua-tran-quang-ngon-60-hoa-tan-3-in-1-uong-lien-bich-12kg-x-60-ong-20g-kope-i2741117228.html")</f>
        <v>https://www.lazada.vn/products/ca-phe-sua-tran-quang-ngon-60-hoa-tan-3-in-1-uong-lien-bich-12kg-x-60-ong-20g-kope-i2741117228.html</v>
      </c>
      <c r="C2415" s="10" t="s">
        <v>2415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8">
        <v>7270.0</v>
      </c>
      <c r="B2416" s="9" t="str">
        <f>HYPERLINK("https://www.lazada.vn/products/ca-phe-sua-tran-quang-ngon-60-hoa-tan-3-in-1-uong-lien-thung-12kg-x-10-bich-12kg-x-60-ong-20g-kope-i2741028675.html", "https://www.lazada.vn/products/ca-phe-sua-tran-quang-ngon-60-hoa-tan-3-in-1-uong-lien-thung-12kg-x-10-bich-12kg-x-60-ong-20g-kope-i2741028675.html")</f>
        <v>https://www.lazada.vn/products/ca-phe-sua-tran-quang-ngon-60-hoa-tan-3-in-1-uong-lien-thung-12kg-x-10-bich-12kg-x-60-ong-20g-kope-i2741028675.html</v>
      </c>
      <c r="C2416" s="10" t="s">
        <v>2416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8">
        <v>7271.0</v>
      </c>
      <c r="B2417" s="9" t="str">
        <f>HYPERLINK("https://www.lazada.vn/products/ca-phe-sua-tran-quang-arabica-hoa-tan-3-in-1-uong-lien-bich-12kg-x-60-ong-x-20g-kope-i2741015746.html", "https://www.lazada.vn/products/ca-phe-sua-tran-quang-arabica-hoa-tan-3-in-1-uong-lien-bich-12kg-x-60-ong-x-20g-kope-i2741015746.html")</f>
        <v>https://www.lazada.vn/products/ca-phe-sua-tran-quang-arabica-hoa-tan-3-in-1-uong-lien-bich-12kg-x-60-ong-x-20g-kope-i2741015746.html</v>
      </c>
      <c r="C2417" s="10" t="s">
        <v>2417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8">
        <v>7272.0</v>
      </c>
      <c r="B2418" s="9" t="str">
        <f>HYPERLINK("https://www.lazada.vn/products/loai-lon-33cm-banh-trang-mi-den-nhi-nhung-dac-biet-loai-1-dac-san-binh-dinh-i2793538761.html", "https://www.lazada.vn/products/loai-lon-33cm-banh-trang-mi-den-nhi-nhung-dac-biet-loai-1-dac-san-binh-dinh-i2793538761.html")</f>
        <v>https://www.lazada.vn/products/loai-lon-33cm-banh-trang-mi-den-nhi-nhung-dac-biet-loai-1-dac-san-binh-dinh-i2793538761.html</v>
      </c>
      <c r="C2418" s="10" t="s">
        <v>2418</v>
      </c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8">
        <v>7273.0</v>
      </c>
      <c r="B2419" s="9" t="str">
        <f>HYPERLINK("https://www.lazada.vn/products/bia-thu-cong-rooster-beers-ipa-bia-ga-ipa-thung-12-lon-x-330ml-i2698118645.html", "https://www.lazada.vn/products/bia-thu-cong-rooster-beers-ipa-bia-ga-ipa-thung-12-lon-x-330ml-i2698118645.html")</f>
        <v>https://www.lazada.vn/products/bia-thu-cong-rooster-beers-ipa-bia-ga-ipa-thung-12-lon-x-330ml-i2698118645.html</v>
      </c>
      <c r="C2419" s="10" t="s">
        <v>2419</v>
      </c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8">
        <v>7274.0</v>
      </c>
      <c r="B2420" s="9" t="str">
        <f>HYPERLINK("https://www.lazada.vn/products/vang-do-y-r7-appassimento-limited-edition-15-750ml-i2731278648.html", "https://www.lazada.vn/products/vang-do-y-r7-appassimento-limited-edition-15-750ml-i2731278648.html")</f>
        <v>https://www.lazada.vn/products/vang-do-y-r7-appassimento-limited-edition-15-750ml-i2731278648.html</v>
      </c>
      <c r="C2420" s="10" t="s">
        <v>2420</v>
      </c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8">
        <v>7275.0</v>
      </c>
      <c r="B2421" s="9" t="str">
        <f>HYPERLINK("https://www.lazada.vn/products/banh-trung-thu-tan-tan-ben-tre-200gam-2-trung-nhan-ga-quay-jambon-dau-xanh-khoai-mon-tra-xanh-sua-dua-i2792567317.html", "https://www.lazada.vn/products/banh-trung-thu-tan-tan-ben-tre-200gam-2-trung-nhan-ga-quay-jambon-dau-xanh-khoai-mon-tra-xanh-sua-dua-i2792567317.html")</f>
        <v>https://www.lazada.vn/products/banh-trung-thu-tan-tan-ben-tre-200gam-2-trung-nhan-ga-quay-jambon-dau-xanh-khoai-mon-tra-xanh-sua-dua-i2792567317.html</v>
      </c>
      <c r="C2421" s="10" t="s">
        <v>2421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8">
        <v>7276.0</v>
      </c>
      <c r="B2422" s="9" t="str">
        <f>HYPERLINK("https://www.lazada.vn/products/cb-15-goi-mi-kokomi-dai-suon-cay-hanh-phi-90gr-67015-i3025984126.html", "https://www.lazada.vn/products/cb-15-goi-mi-kokomi-dai-suon-cay-hanh-phi-90gr-67015-i3025984126.html")</f>
        <v>https://www.lazada.vn/products/cb-15-goi-mi-kokomi-dai-suon-cay-hanh-phi-90gr-67015-i3025984126.html</v>
      </c>
      <c r="C2422" s="10" t="s">
        <v>2422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8">
        <v>7277.0</v>
      </c>
      <c r="B2423" s="9" t="str">
        <f>HYPERLINK("https://www.lazada.vn/products/hoa-toc-hcm-thung-24-lon-nuoc-ngot-giai-khat-co-gas-fanta-xa-xi-320mllon-sale-253-coca-cola-chinh-hang-i2581320432.html", "https://www.lazada.vn/products/hoa-toc-hcm-thung-24-lon-nuoc-ngot-giai-khat-co-gas-fanta-xa-xi-320mllon-sale-253-coca-cola-chinh-hang-i2581320432.html")</f>
        <v>https://www.lazada.vn/products/hoa-toc-hcm-thung-24-lon-nuoc-ngot-giai-khat-co-gas-fanta-xa-xi-320mllon-sale-253-coca-cola-chinh-hang-i2581320432.html</v>
      </c>
      <c r="C2423" s="10" t="s">
        <v>2423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8">
        <v>7278.0</v>
      </c>
      <c r="B2424" s="9" t="str">
        <f>HYPERLINK("https://www.lazada.vn/products/ruou-vang-y-1933-topaz-igt-blend-750ml-i2186385273.html", "https://www.lazada.vn/products/ruou-vang-y-1933-topaz-igt-blend-750ml-i2186385273.html")</f>
        <v>https://www.lazada.vn/products/ruou-vang-y-1933-topaz-igt-blend-750ml-i2186385273.html</v>
      </c>
      <c r="C2424" s="10" t="s">
        <v>2424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8">
        <v>7279.0</v>
      </c>
      <c r="B2425" s="9" t="str">
        <f>HYPERLINK("https://www.lazada.vn/products/bot-cacao-dang-nguyen-chat-luave-goi-500gr-i2391733896.html", "https://www.lazada.vn/products/bot-cacao-dang-nguyen-chat-luave-goi-500gr-i2391733896.html")</f>
        <v>https://www.lazada.vn/products/bot-cacao-dang-nguyen-chat-luave-goi-500gr-i2391733896.html</v>
      </c>
      <c r="C2425" s="10" t="s">
        <v>2425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8">
        <v>7280.0</v>
      </c>
      <c r="B2426" s="9" t="str">
        <f>HYPERLINK("https://www.lazada.vn/products/hamer-coffee-gold-20mg-hamer-ca-phe-tang-cuong-sinh-ly-nam-i2607464661.html", "https://www.lazada.vn/products/hamer-coffee-gold-20mg-hamer-ca-phe-tang-cuong-sinh-ly-nam-i2607464661.html")</f>
        <v>https://www.lazada.vn/products/hamer-coffee-gold-20mg-hamer-ca-phe-tang-cuong-sinh-ly-nam-i2607464661.html</v>
      </c>
      <c r="C2426" s="10" t="s">
        <v>2426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8">
        <v>7281.0</v>
      </c>
      <c r="B2427" s="9" t="str">
        <f>HYPERLINK("https://www.lazada.vn/products/haldiram-bhujia-aloo-bhujia-mixture-indian-snack-haldirams-aloo-bhujia-150g-200g-i1589214925.html", "https://www.lazada.vn/products/haldiram-bhujia-aloo-bhujia-mixture-indian-snack-haldirams-aloo-bhujia-150g-200g-i1589214925.html")</f>
        <v>https://www.lazada.vn/products/haldiram-bhujia-aloo-bhujia-mixture-indian-snack-haldirams-aloo-bhujia-150g-200g-i1589214925.html</v>
      </c>
      <c r="C2427" s="10" t="s">
        <v>2427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8">
        <v>7282.0</v>
      </c>
      <c r="B2428" s="9" t="str">
        <f>HYPERLINK("https://www.lazada.vn/products/ban-si-ca-bich-combo-10-goi-bim-bim-oishi-68g-goi-sieu-to-khong-lo-du-vi-gion-sun-thom-cay-ngon-hap-dan-i2843105951.html", "https://www.lazada.vn/products/ban-si-ca-bich-combo-10-goi-bim-bim-oishi-68g-goi-sieu-to-khong-lo-du-vi-gion-sun-thom-cay-ngon-hap-dan-i2843105951.html")</f>
        <v>https://www.lazada.vn/products/ban-si-ca-bich-combo-10-goi-bim-bim-oishi-68g-goi-sieu-to-khong-lo-du-vi-gion-sun-thom-cay-ngon-hap-dan-i2843105951.html</v>
      </c>
      <c r="C2428" s="10" t="s">
        <v>2428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8">
        <v>7283.0</v>
      </c>
      <c r="B2429" s="9" t="str">
        <f>HYPERLINK("https://www.lazada.vn/products/flor-de-morca-i2722996016.html", "https://www.lazada.vn/products/flor-de-morca-i2722996016.html")</f>
        <v>https://www.lazada.vn/products/flor-de-morca-i2722996016.html</v>
      </c>
      <c r="C2429" s="10" t="s">
        <v>2429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8">
        <v>7284.0</v>
      </c>
      <c r="B2430" s="9" t="str">
        <f>HYPERLINK("https://www.lazada.vn/products/rs-rosario-vera-tempranillo-i2722967615.html", "https://www.lazada.vn/products/rs-rosario-vera-tempranillo-i2722967615.html")</f>
        <v>https://www.lazada.vn/products/rs-rosario-vera-tempranillo-i2722967615.html</v>
      </c>
      <c r="C2430" s="10" t="s">
        <v>2430</v>
      </c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8">
        <v>7285.0</v>
      </c>
      <c r="B2431" s="9" t="str">
        <f>HYPERLINK("https://www.lazada.vn/products/porta-6-taste-note-and-price-i2722917974.html", "https://www.lazada.vn/products/porta-6-taste-note-and-price-i2722917974.html")</f>
        <v>https://www.lazada.vn/products/porta-6-taste-note-and-price-i2722917974.html</v>
      </c>
      <c r="C2431" s="10" t="s">
        <v>2431</v>
      </c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8">
        <v>7286.0</v>
      </c>
      <c r="B2432" s="9" t="str">
        <f>HYPERLINK("https://www.lazada.vn/products/ruou-vang-do-montana-graciano-2014-finca-la-marquesita-rioja-2014-14-750ml-i2722027012.html", "https://www.lazada.vn/products/ruou-vang-do-montana-graciano-2014-finca-la-marquesita-rioja-2014-14-750ml-i2722027012.html")</f>
        <v>https://www.lazada.vn/products/ruou-vang-do-montana-graciano-2014-finca-la-marquesita-rioja-2014-14-750ml-i2722027012.html</v>
      </c>
      <c r="C2432" s="10" t="s">
        <v>2432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8">
        <v>7287.0</v>
      </c>
      <c r="B2433" s="9" t="str">
        <f>HYPERLINK("https://www.lazada.vn/products/vang-uc-hill-harrington-13-750ml-vang-do-merlot-i2718290695.html", "https://www.lazada.vn/products/vang-uc-hill-harrington-13-750ml-vang-do-merlot-i2718290695.html")</f>
        <v>https://www.lazada.vn/products/vang-uc-hill-harrington-13-750ml-vang-do-merlot-i2718290695.html</v>
      </c>
      <c r="C2433" s="10" t="s">
        <v>2433</v>
      </c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8">
        <v>7288.0</v>
      </c>
      <c r="B2434" s="9" t="str">
        <f>HYPERLINK("https://www.lazada.vn/products/vang-uc-hill-harring-13-750ml-vang-do-shiraz-i2718272912.html", "https://www.lazada.vn/products/vang-uc-hill-harring-13-750ml-vang-do-shiraz-i2718272912.html")</f>
        <v>https://www.lazada.vn/products/vang-uc-hill-harring-13-750ml-vang-do-shiraz-i2718272912.html</v>
      </c>
      <c r="C2434" s="10" t="s">
        <v>2434</v>
      </c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8">
        <v>7289.0</v>
      </c>
      <c r="B2435" s="9" t="str">
        <f>HYPERLINK("https://www.lazada.vn/products/vang-chile-do-passion-classic-13-750ml-i2717878604.html", "https://www.lazada.vn/products/vang-chile-do-passion-classic-13-750ml-i2717878604.html")</f>
        <v>https://www.lazada.vn/products/vang-chile-do-passion-classic-13-750ml-i2717878604.html</v>
      </c>
      <c r="C2435" s="10" t="s">
        <v>2435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8">
        <v>7290.0</v>
      </c>
      <c r="B2436" s="9" t="str">
        <f>HYPERLINK("https://www.lazada.vn/products/vang-do-uc-hill-harrington-13-750ml-i2717834875.html", "https://www.lazada.vn/products/vang-do-uc-hill-harrington-13-750ml-i2717834875.html")</f>
        <v>https://www.lazada.vn/products/vang-do-uc-hill-harrington-13-750ml-i2717834875.html</v>
      </c>
      <c r="C2436" s="10" t="s">
        <v>2436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8">
        <v>7291.0</v>
      </c>
      <c r="B2437" s="9" t="str">
        <f>HYPERLINK("https://www.lazada.vn/products/ruou-vang-cohiba-atmosphere-gran-reserva-2010-750ml-nong-do-con-14-i2717192180.html", "https://www.lazada.vn/products/ruou-vang-cohiba-atmosphere-gran-reserva-2010-750ml-nong-do-con-14-i2717192180.html")</f>
        <v>https://www.lazada.vn/products/ruou-vang-cohiba-atmosphere-gran-reserva-2010-750ml-nong-do-con-14-i2717192180.html</v>
      </c>
      <c r="C2437" s="10" t="s">
        <v>2437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8">
        <v>7292.0</v>
      </c>
      <c r="B2438" s="9" t="str">
        <f>HYPERLINK("https://www.lazada.vn/products/messapo-rosso-salento-negroamaro-igp-i2715469455.html", "https://www.lazada.vn/products/messapo-rosso-salento-negroamaro-igp-i2715469455.html")</f>
        <v>https://www.lazada.vn/products/messapo-rosso-salento-negroamaro-igp-i2715469455.html</v>
      </c>
      <c r="C2438" s="10" t="s">
        <v>2438</v>
      </c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8">
        <v>7293.0</v>
      </c>
      <c r="B2439" s="9" t="str">
        <f>HYPERLINK("https://www.lazada.vn/products/vang-do-chile-g7-135-750ml-cabernet-sauvignon-i2714803805.html", "https://www.lazada.vn/products/vang-do-chile-g7-135-750ml-cabernet-sauvignon-i2714803805.html")</f>
        <v>https://www.lazada.vn/products/vang-do-chile-g7-135-750ml-cabernet-sauvignon-i2714803805.html</v>
      </c>
      <c r="C2439" s="10" t="s">
        <v>2439</v>
      </c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8">
        <v>7294.0</v>
      </c>
      <c r="B2440" s="9" t="str">
        <f>HYPERLINK("https://www.lazada.vn/products/vang-do-chile-1974-135-750ml-cabernet-sauvignon-i2714776598.html", "https://www.lazada.vn/products/vang-do-chile-1974-135-750ml-cabernet-sauvignon-i2714776598.html")</f>
        <v>https://www.lazada.vn/products/vang-do-chile-1974-135-750ml-cabernet-sauvignon-i2714776598.html</v>
      </c>
      <c r="C2440" s="10" t="s">
        <v>2440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8">
        <v>7295.0</v>
      </c>
      <c r="B2441" s="9" t="str">
        <f>HYPERLINK("https://www.lazada.vn/products/vang-da-lat-do-dankia-125-750ml-i2714519068.html", "https://www.lazada.vn/products/vang-da-lat-do-dankia-125-750ml-i2714519068.html")</f>
        <v>https://www.lazada.vn/products/vang-da-lat-do-dankia-125-750ml-i2714519068.html</v>
      </c>
      <c r="C2441" s="10" t="s">
        <v>2441</v>
      </c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8">
        <v>7296.0</v>
      </c>
      <c r="B2442" s="9" t="str">
        <f>HYPERLINK("https://www.lazada.vn/products/vang-do-phap-bordeaux-1970-135-5-lit-cabernet-sauvignon-i2714372192.html", "https://www.lazada.vn/products/vang-do-phap-bordeaux-1970-135-5-lit-cabernet-sauvignon-i2714372192.html")</f>
        <v>https://www.lazada.vn/products/vang-do-phap-bordeaux-1970-135-5-lit-cabernet-sauvignon-i2714372192.html</v>
      </c>
      <c r="C2442" s="10" t="s">
        <v>2442</v>
      </c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8">
        <v>7297.0</v>
      </c>
      <c r="B2443" s="9" t="str">
        <f>HYPERLINK("https://www.lazada.vn/products/ruou-ngo-men-la-thom-ngon-dac-san-ha-giang-i2666777090.html", "https://www.lazada.vn/products/ruou-ngo-men-la-thom-ngon-dac-san-ha-giang-i2666777090.html")</f>
        <v>https://www.lazada.vn/products/ruou-ngo-men-la-thom-ngon-dac-san-ha-giang-i2666777090.html</v>
      </c>
      <c r="C2443" s="10" t="s">
        <v>2443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8">
        <v>7298.0</v>
      </c>
      <c r="B2444" s="9" t="str">
        <f>HYPERLINK("https://www.lazada.vn/products/com-chay-lac-kho-ga-1kg-i760610151.html", "https://www.lazada.vn/products/com-chay-lac-kho-ga-1kg-i760610151.html")</f>
        <v>https://www.lazada.vn/products/com-chay-lac-kho-ga-1kg-i760610151.html</v>
      </c>
      <c r="C2444" s="10" t="s">
        <v>2444</v>
      </c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8">
        <v>7299.0</v>
      </c>
      <c r="B2445" s="9" t="str">
        <f>HYPERLINK("https://www.lazada.vn/products/vang-do-phap-bordeaux-chateau-les-martineaux-125-750ml-i2714339440.html", "https://www.lazada.vn/products/vang-do-phap-bordeaux-chateau-les-martineaux-125-750ml-i2714339440.html")</f>
        <v>https://www.lazada.vn/products/vang-do-phap-bordeaux-chateau-les-martineaux-125-750ml-i2714339440.html</v>
      </c>
      <c r="C2445" s="10" t="s">
        <v>2445</v>
      </c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8">
        <v>7300.0</v>
      </c>
      <c r="B2446" s="9" t="str">
        <f>HYPERLINK("https://www.lazada.vn/products/vang-do-phap-bordeaux-1970-135-3-lit-cabernet-sauvigon-i2714313553.html", "https://www.lazada.vn/products/vang-do-phap-bordeaux-1970-135-3-lit-cabernet-sauvigon-i2714313553.html")</f>
        <v>https://www.lazada.vn/products/vang-do-phap-bordeaux-1970-135-3-lit-cabernet-sauvigon-i2714313553.html</v>
      </c>
      <c r="C2446" s="10" t="s">
        <v>2446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8">
        <v>7301.0</v>
      </c>
      <c r="B2447" s="9" t="str">
        <f>HYPERLINK("https://www.lazada.vn/products/ruou-chateau-bel-air-blaye-cotes-de-bordeaux-135-075l-i2713604171.html", "https://www.lazada.vn/products/ruou-chateau-bel-air-blaye-cotes-de-bordeaux-135-075l-i2713604171.html")</f>
        <v>https://www.lazada.vn/products/ruou-chateau-bel-air-blaye-cotes-de-bordeaux-135-075l-i2713604171.html</v>
      </c>
      <c r="C2447" s="10" t="s">
        <v>2447</v>
      </c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8">
        <v>7302.0</v>
      </c>
      <c r="B2448" s="9" t="str">
        <f>HYPERLINK("https://www.lazada.vn/products/ruou-vang-do-sol-de-chile-cabernet-sauvignon-i2713542903.html", "https://www.lazada.vn/products/ruou-vang-do-sol-de-chile-cabernet-sauvignon-i2713542903.html")</f>
        <v>https://www.lazada.vn/products/ruou-vang-do-sol-de-chile-cabernet-sauvignon-i2713542903.html</v>
      </c>
      <c r="C2448" s="10" t="s">
        <v>2448</v>
      </c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8">
        <v>7303.0</v>
      </c>
      <c r="B2449" s="9" t="str">
        <f>HYPERLINK("https://www.lazada.vn/products/messapo-rosso-primitivo-salento-igp-i2713507521.html", "https://www.lazada.vn/products/messapo-rosso-primitivo-salento-igp-i2713507521.html")</f>
        <v>https://www.lazada.vn/products/messapo-rosso-primitivo-salento-igp-i2713507521.html</v>
      </c>
      <c r="C2449" s="10" t="s">
        <v>2449</v>
      </c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8">
        <v>7304.0</v>
      </c>
      <c r="B2450" s="9" t="str">
        <f>HYPERLINK("https://www.lazada.vn/products/ruou-vang-cohiba-atmosphere-reserva-2011-750ml-nong-do-con-14-i2711476322.html", "https://www.lazada.vn/products/ruou-vang-cohiba-atmosphere-reserva-2011-750ml-nong-do-con-14-i2711476322.html")</f>
        <v>https://www.lazada.vn/products/ruou-vang-cohiba-atmosphere-reserva-2011-750ml-nong-do-con-14-i2711476322.html</v>
      </c>
      <c r="C2450" s="10" t="s">
        <v>2450</v>
      </c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8">
        <v>7305.0</v>
      </c>
      <c r="B2451" s="9" t="str">
        <f>HYPERLINK("https://www.lazada.vn/products/chateau-saint-elme-bordeaux-superieur-2018-vang-do-phap-i2705676268.html", "https://www.lazada.vn/products/chateau-saint-elme-bordeaux-superieur-2018-vang-do-phap-i2705676268.html")</f>
        <v>https://www.lazada.vn/products/chateau-saint-elme-bordeaux-superieur-2018-vang-do-phap-i2705676268.html</v>
      </c>
      <c r="C2451" s="10" t="s">
        <v>2451</v>
      </c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8">
        <v>7306.0</v>
      </c>
      <c r="B2452" s="9" t="str">
        <f>HYPERLINK("https://www.lazada.vn/products/chateau-pithivier-bordeaux-2019-vang-do-phap-i2705499770.html", "https://www.lazada.vn/products/chateau-pithivier-bordeaux-2019-vang-do-phap-i2705499770.html")</f>
        <v>https://www.lazada.vn/products/chateau-pithivier-bordeaux-2019-vang-do-phap-i2705499770.html</v>
      </c>
      <c r="C2452" s="10" t="s">
        <v>2452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8">
        <v>7307.0</v>
      </c>
      <c r="B2453" s="9" t="str">
        <f>HYPERLINK("https://www.lazada.vn/products/chateau-moulin-das-bordeaux-2018-vang-do-phap-i2705478796.html", "https://www.lazada.vn/products/chateau-moulin-das-bordeaux-2018-vang-do-phap-i2705478796.html")</f>
        <v>https://www.lazada.vn/products/chateau-moulin-das-bordeaux-2018-vang-do-phap-i2705478796.html</v>
      </c>
      <c r="C2453" s="10" t="s">
        <v>2453</v>
      </c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8">
        <v>7308.0</v>
      </c>
      <c r="B2454" s="9" t="str">
        <f>HYPERLINK("https://www.lazada.vn/products/hop-qua-lau-dai-phap-ruou-vang-do-phap-750ml-i2702680210.html", "https://www.lazada.vn/products/hop-qua-lau-dai-phap-ruou-vang-do-phap-750ml-i2702680210.html")</f>
        <v>https://www.lazada.vn/products/hop-qua-lau-dai-phap-ruou-vang-do-phap-750ml-i2702680210.html</v>
      </c>
      <c r="C2454" s="10" t="s">
        <v>2454</v>
      </c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8">
        <v>7309.0</v>
      </c>
      <c r="B2455" s="9" t="str">
        <f>HYPERLINK("https://www.lazada.vn/products/hop-qua-cao-boi-y-ruou-vang-do-y-masseria-doppio-passo-copertino-riserva-750ml-i2702669275.html", "https://www.lazada.vn/products/hop-qua-cao-boi-y-ruou-vang-do-y-masseria-doppio-passo-copertino-riserva-750ml-i2702669275.html")</f>
        <v>https://www.lazada.vn/products/hop-qua-cao-boi-y-ruou-vang-do-y-masseria-doppio-passo-copertino-riserva-750ml-i2702669275.html</v>
      </c>
      <c r="C2455" s="10" t="s">
        <v>2455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8">
        <v>7310.0</v>
      </c>
      <c r="B2456" s="9" t="str">
        <f>HYPERLINK("https://www.lazada.vn/products/hop-qua-lau-dai-ruou-vang-do-y-3-passo-rosso-bio-organic-wine-750ml-i2702667332.html", "https://www.lazada.vn/products/hop-qua-lau-dai-ruou-vang-do-y-3-passo-rosso-bio-organic-wine-750ml-i2702667332.html")</f>
        <v>https://www.lazada.vn/products/hop-qua-lau-dai-ruou-vang-do-y-3-passo-rosso-bio-organic-wine-750ml-i2702667332.html</v>
      </c>
      <c r="C2456" s="10" t="s">
        <v>2456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8">
        <v>7311.0</v>
      </c>
      <c r="B2457" s="9" t="str">
        <f>HYPERLINK("https://www.lazada.vn/products/hop-qua-vang-phap-cao-cap-ruou-vang-do-phap-chateauneuf-du-pape-la-fiole-du-pape-750ml-i2702663233.html", "https://www.lazada.vn/products/hop-qua-vang-phap-cao-cap-ruou-vang-do-phap-chateauneuf-du-pape-la-fiole-du-pape-750ml-i2702663233.html")</f>
        <v>https://www.lazada.vn/products/hop-qua-vang-phap-cao-cap-ruou-vang-do-phap-chateauneuf-du-pape-la-fiole-du-pape-750ml-i2702663233.html</v>
      </c>
      <c r="C2457" s="10" t="s">
        <v>2457</v>
      </c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8">
        <v>7312.0</v>
      </c>
      <c r="B2458" s="9" t="str">
        <f>HYPERLINK("https://www.lazada.vn/products/nuoc-trai-cay-len-men-rio-mix-nhieu-vi-rio-cocktail-trai-cay-cao-cap-noi-dia-330ml-i2828742147.html", "https://www.lazada.vn/products/nuoc-trai-cay-len-men-rio-mix-nhieu-vi-rio-cocktail-trai-cay-cao-cap-noi-dia-330ml-i2828742147.html")</f>
        <v>https://www.lazada.vn/products/nuoc-trai-cay-len-men-rio-mix-nhieu-vi-rio-cocktail-trai-cay-cao-cap-noi-dia-330ml-i2828742147.html</v>
      </c>
      <c r="C2458" s="10" t="s">
        <v>2458</v>
      </c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8">
        <v>7313.0</v>
      </c>
      <c r="B2459" s="9" t="str">
        <f>HYPERLINK("https://www.lazada.vn/products/hop-qua-gia-dinh-ruou-vang-do-phap-roc-saint-andre-750ml-i2702636381.html", "https://www.lazada.vn/products/hop-qua-gia-dinh-ruou-vang-do-phap-roc-saint-andre-750ml-i2702636381.html")</f>
        <v>https://www.lazada.vn/products/hop-qua-gia-dinh-ruou-vang-do-phap-roc-saint-andre-750ml-i2702636381.html</v>
      </c>
      <c r="C2459" s="10" t="s">
        <v>2459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8">
        <v>7314.0</v>
      </c>
      <c r="B2460" s="9" t="str">
        <f>HYPERLINK("https://www.lazada.vn/products/banh-da-trung-cuon-kem-tuoi-cha-bong-gulu-foods-i2792173717.html", "https://www.lazada.vn/products/banh-da-trung-cuon-kem-tuoi-cha-bong-gulu-foods-i2792173717.html")</f>
        <v>https://www.lazada.vn/products/banh-da-trung-cuon-kem-tuoi-cha-bong-gulu-foods-i2792173717.html</v>
      </c>
      <c r="C2460" s="10" t="s">
        <v>2460</v>
      </c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8">
        <v>7315.0</v>
      </c>
      <c r="B2461" s="9" t="str">
        <f>HYPERLINK("https://www.lazada.vn/products/hop-qua-bien-khoi-ruou-vang-do-chile-luis-felipe-edwards-lfe900-single-vineyard-750ml-i2702582605.html", "https://www.lazada.vn/products/hop-qua-bien-khoi-ruou-vang-do-chile-luis-felipe-edwards-lfe900-single-vineyard-750ml-i2702582605.html")</f>
        <v>https://www.lazada.vn/products/hop-qua-bien-khoi-ruou-vang-do-chile-luis-felipe-edwards-lfe900-single-vineyard-750ml-i2702582605.html</v>
      </c>
      <c r="C2461" s="10" t="s">
        <v>2461</v>
      </c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8">
        <v>7316.0</v>
      </c>
      <c r="B2462" s="9" t="str">
        <f>HYPERLINK("https://www.lazada.vn/products/hop-qua-hao-hoa-ruou-vang-do-chile-montgras-quatro-750ml-i2702543856.html", "https://www.lazada.vn/products/hop-qua-hao-hoa-ruou-vang-do-chile-montgras-quatro-750ml-i2702543856.html")</f>
        <v>https://www.lazada.vn/products/hop-qua-hao-hoa-ruou-vang-do-chile-montgras-quatro-750ml-i2702543856.html</v>
      </c>
      <c r="C2462" s="10" t="s">
        <v>2462</v>
      </c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8">
        <v>7317.0</v>
      </c>
      <c r="B2463" s="9" t="str">
        <f>HYPERLINK("https://www.lazada.vn/products/men-ruou-angel-rv002-dung-cho-ruou-vang-do-goi-500g-i2702083095.html", "https://www.lazada.vn/products/men-ruou-angel-rv002-dung-cho-ruou-vang-do-goi-500g-i2702083095.html")</f>
        <v>https://www.lazada.vn/products/men-ruou-angel-rv002-dung-cho-ruou-vang-do-goi-500g-i2702083095.html</v>
      </c>
      <c r="C2463" s="10" t="s">
        <v>2463</v>
      </c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8">
        <v>7318.0</v>
      </c>
      <c r="B2464" s="9" t="str">
        <f>HYPERLINK("https://www.lazada.vn/products/hop-qua-bien-khoi-ruou-vang-do-chile-karku-crepusculo-icon-750ml-i2700801219.html", "https://www.lazada.vn/products/hop-qua-bien-khoi-ruou-vang-do-chile-karku-crepusculo-icon-750ml-i2700801219.html")</f>
        <v>https://www.lazada.vn/products/hop-qua-bien-khoi-ruou-vang-do-chile-karku-crepusculo-icon-750ml-i2700801219.html</v>
      </c>
      <c r="C2464" s="10" t="s">
        <v>2464</v>
      </c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8">
        <v>7319.0</v>
      </c>
      <c r="B2465" s="9" t="str">
        <f>HYPERLINK("https://www.lazada.vn/products/hop-qua-nhung-lua-ruou-vang-do-y-masseria-doppio-passo-cuvee-16-750ml-i2700798250.html", "https://www.lazada.vn/products/hop-qua-nhung-lua-ruou-vang-do-y-masseria-doppio-passo-cuvee-16-750ml-i2700798250.html")</f>
        <v>https://www.lazada.vn/products/hop-qua-nhung-lua-ruou-vang-do-y-masseria-doppio-passo-cuvee-16-750ml-i2700798250.html</v>
      </c>
      <c r="C2465" s="10" t="s">
        <v>2465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8">
        <v>7320.0</v>
      </c>
      <c r="B2466" s="9" t="str">
        <f>HYPERLINK("https://www.lazada.vn/products/hop-qua-huyen-bi-ruou-vang-do-phap-chateau-de-leglise-bordeaux-superieur-750ml-i2700794085.html", "https://www.lazada.vn/products/hop-qua-huyen-bi-ruou-vang-do-phap-chateau-de-leglise-bordeaux-superieur-750ml-i2700794085.html")</f>
        <v>https://www.lazada.vn/products/hop-qua-huyen-bi-ruou-vang-do-phap-chateau-de-leglise-bordeaux-superieur-750ml-i2700794085.html</v>
      </c>
      <c r="C2466" s="10" t="s">
        <v>2466</v>
      </c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8">
        <v>7321.0</v>
      </c>
      <c r="B2467" s="9" t="str">
        <f>HYPERLINK("https://www.lazada.vn/products/murmura-bong-gao-prome-murmura-200g-puffed-rice-muri-i1589206647.html", "https://www.lazada.vn/products/murmura-bong-gao-prome-murmura-200g-puffed-rice-muri-i1589206647.html")</f>
        <v>https://www.lazada.vn/products/murmura-bong-gao-prome-murmura-200g-puffed-rice-muri-i1589206647.html</v>
      </c>
      <c r="C2467" s="10" t="s">
        <v>2467</v>
      </c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8">
        <v>7322.0</v>
      </c>
      <c r="B2468" s="9" t="str">
        <f>HYPERLINK("https://www.lazada.vn/products/bich-30-goi-snack-gan-ga-nong-sot-dai-ngon-do-an-vat-cay-cong-truong-cho-moi-nguoi-do-an-vat-tuoi-tho-i1577481451.html", "https://www.lazada.vn/products/bich-30-goi-snack-gan-ga-nong-sot-dai-ngon-do-an-vat-cay-cong-truong-cho-moi-nguoi-do-an-vat-tuoi-tho-i1577481451.html")</f>
        <v>https://www.lazada.vn/products/bich-30-goi-snack-gan-ga-nong-sot-dai-ngon-do-an-vat-cay-cong-truong-cho-moi-nguoi-do-an-vat-tuoi-tho-i1577481451.html</v>
      </c>
      <c r="C2468" s="10" t="s">
        <v>2468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8">
        <v>7323.0</v>
      </c>
      <c r="B2469" s="9" t="str">
        <f>HYPERLINK("https://www.lazada.vn/products/freeship-snack-canh-ga-bich-30-goi-bim-bim-hinh-canh-ga-thom-cay-i1577166165.html", "https://www.lazada.vn/products/freeship-snack-canh-ga-bich-30-goi-bim-bim-hinh-canh-ga-thom-cay-i1577166165.html")</f>
        <v>https://www.lazada.vn/products/freeship-snack-canh-ga-bich-30-goi-bim-bim-hinh-canh-ga-thom-cay-i1577166165.html</v>
      </c>
      <c r="C2469" s="10" t="s">
        <v>2469</v>
      </c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8">
        <v>7324.0</v>
      </c>
      <c r="B2470" s="9" t="str">
        <f>HYPERLINK("https://www.lazada.vn/products/bich-30-goi-tam-cay-den-do-an-vat-tuoi-tho-i1559612984.html", "https://www.lazada.vn/products/bich-30-goi-tam-cay-den-do-an-vat-tuoi-tho-i1559612984.html")</f>
        <v>https://www.lazada.vn/products/bich-30-goi-tam-cay-den-do-an-vat-tuoi-tho-i1559612984.html</v>
      </c>
      <c r="C2470" s="10" t="s">
        <v>2470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8">
        <v>7325.0</v>
      </c>
      <c r="B2471" s="9" t="str">
        <f>HYPERLINK("https://www.lazada.vn/products/freeship-don-tu-49k-hop-banh-po-xien-vung-banh-po-quay-banh-po-mieng-vung-do-an-vat-tuoi-tho-cac-loai-i1558397656.html", "https://www.lazada.vn/products/freeship-don-tu-49k-hop-banh-po-xien-vung-banh-po-quay-banh-po-mieng-vung-do-an-vat-tuoi-tho-cac-loai-i1558397656.html")</f>
        <v>https://www.lazada.vn/products/freeship-don-tu-49k-hop-banh-po-xien-vung-banh-po-quay-banh-po-mieng-vung-do-an-vat-tuoi-tho-cac-loai-i1558397656.html</v>
      </c>
      <c r="C2471" s="10" t="s">
        <v>2471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8">
        <v>7326.0</v>
      </c>
      <c r="B2472" s="9" t="str">
        <f>HYPERLINK("https://www.lazada.vn/products/free-ship-tep-40-la-banh-da-nem-an-song-dai-mem-deo-sieu-ngon-i1532813897.html", "https://www.lazada.vn/products/free-ship-tep-40-la-banh-da-nem-an-song-dai-mem-deo-sieu-ngon-i1532813897.html")</f>
        <v>https://www.lazada.vn/products/free-ship-tep-40-la-banh-da-nem-an-song-dai-mem-deo-sieu-ngon-i1532813897.html</v>
      </c>
      <c r="C2472" s="10" t="s">
        <v>2472</v>
      </c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8">
        <v>7327.0</v>
      </c>
      <c r="B2473" s="9" t="str">
        <f>HYPERLINK("https://www.lazada.vn/products/2kg-tran-chau-3q-tran-chau-trang-see-jelly-gion-ngon-i1522019586.html", "https://www.lazada.vn/products/2kg-tran-chau-3q-tran-chau-trang-see-jelly-gion-ngon-i1522019586.html")</f>
        <v>https://www.lazada.vn/products/2kg-tran-chau-3q-tran-chau-trang-see-jelly-gion-ngon-i1522019586.html</v>
      </c>
      <c r="C2473" s="10" t="s">
        <v>2473</v>
      </c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8">
        <v>7328.0</v>
      </c>
      <c r="B2474" s="9" t="str">
        <f>HYPERLINK("https://www.lazada.vn/products/keo-ngam-ho-con-ret-takabb-thai-lan-goi-3-gram-i1457137268.html", "https://www.lazada.vn/products/keo-ngam-ho-con-ret-takabb-thai-lan-goi-3-gram-i1457137268.html")</f>
        <v>https://www.lazada.vn/products/keo-ngam-ho-con-ret-takabb-thai-lan-goi-3-gram-i1457137268.html</v>
      </c>
      <c r="C2474" s="10" t="s">
        <v>2474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8">
        <v>7329.0</v>
      </c>
      <c r="B2475" s="9" t="str">
        <f>HYPERLINK("https://www.lazada.vn/products/combo-5-banh-trang-muoi-toi-xi-ke-tay-ninh-sieu-cay-60k-i1456977786.html", "https://www.lazada.vn/products/combo-5-banh-trang-muoi-toi-xi-ke-tay-ninh-sieu-cay-60k-i1456977786.html")</f>
        <v>https://www.lazada.vn/products/combo-5-banh-trang-muoi-toi-xi-ke-tay-ninh-sieu-cay-60k-i1456977786.html</v>
      </c>
      <c r="C2475" s="10" t="s">
        <v>2475</v>
      </c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8">
        <v>7330.0</v>
      </c>
      <c r="B2476" s="9" t="str">
        <f>HYPERLINK("https://www.lazada.vn/products/bia-thu-cong-rooster-beers-bia-ga-dark-thung-24-lon-sleek-x-330ml-i2698082593.html", "https://www.lazada.vn/products/bia-thu-cong-rooster-beers-bia-ga-dark-thung-24-lon-sleek-x-330ml-i2698082593.html")</f>
        <v>https://www.lazada.vn/products/bia-thu-cong-rooster-beers-bia-ga-dark-thung-24-lon-sleek-x-330ml-i2698082593.html</v>
      </c>
      <c r="C2476" s="10" t="s">
        <v>2476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8">
        <v>7331.0</v>
      </c>
      <c r="B2477" s="9" t="str">
        <f>HYPERLINK("https://www.lazada.vn/products/banh-trang-muoi-toi-xi-ke-tay-ninh-sieu-cay-50g-12k-i1455850851.html", "https://www.lazada.vn/products/banh-trang-muoi-toi-xi-ke-tay-ninh-sieu-cay-50g-12k-i1455850851.html")</f>
        <v>https://www.lazada.vn/products/banh-trang-muoi-toi-xi-ke-tay-ninh-sieu-cay-50g-12k-i1455850851.html</v>
      </c>
      <c r="C2477" s="10" t="s">
        <v>2477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8">
        <v>7332.0</v>
      </c>
      <c r="B2478" s="9" t="str">
        <f>HYPERLINK("https://www.lazada.vn/products/banh-phong-tom-sa-giang-goi-200g-i1386144362.html", "https://www.lazada.vn/products/banh-phong-tom-sa-giang-goi-200g-i1386144362.html")</f>
        <v>https://www.lazada.vn/products/banh-phong-tom-sa-giang-goi-200g-i1386144362.html</v>
      </c>
      <c r="C2478" s="10" t="s">
        <v>2478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8">
        <v>7333.0</v>
      </c>
      <c r="B2479" s="9" t="str">
        <f>HYPERLINK("https://www.lazada.vn/products/combo-10goi-voi-rong-an-vat-i1358650768.html", "https://www.lazada.vn/products/combo-10goi-voi-rong-an-vat-i1358650768.html")</f>
        <v>https://www.lazada.vn/products/combo-10goi-voi-rong-an-vat-i1358650768.html</v>
      </c>
      <c r="C2479" s="10" t="s">
        <v>2479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8">
        <v>7334.0</v>
      </c>
      <c r="B2480" s="9" t="str">
        <f>HYPERLINK("https://www.lazada.vn/products/muc-bento-thai-lan-day-13-goi-5gr-mon-an-vat-sieu-ngon-date-moi-nhat-i1339195936.html", "https://www.lazada.vn/products/muc-bento-thai-lan-day-13-goi-5gr-mon-an-vat-sieu-ngon-date-moi-nhat-i1339195936.html")</f>
        <v>https://www.lazada.vn/products/muc-bento-thai-lan-day-13-goi-5gr-mon-an-vat-sieu-ngon-date-moi-nhat-i1339195936.html</v>
      </c>
      <c r="C2480" s="10" t="s">
        <v>2480</v>
      </c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8">
        <v>7335.0</v>
      </c>
      <c r="B2481" s="9" t="str">
        <f>HYPERLINK("https://www.lazada.vn/products/hop-qua-quatro-cao-cap-ruou-vang-do-chile-montgras-quatro-750ml-i2700782143.html", "https://www.lazada.vn/products/hop-qua-quatro-cao-cap-ruou-vang-do-chile-montgras-quatro-750ml-i2700782143.html")</f>
        <v>https://www.lazada.vn/products/hop-qua-quatro-cao-cap-ruou-vang-do-chile-montgras-quatro-750ml-i2700782143.html</v>
      </c>
      <c r="C2481" s="10" t="s">
        <v>2481</v>
      </c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8">
        <v>7336.0</v>
      </c>
      <c r="B2482" s="9" t="str">
        <f>HYPERLINK("https://www.lazada.vn/products/com-chay-chien-nuoc-mam-mo-hanh-i1334913654.html", "https://www.lazada.vn/products/com-chay-chien-nuoc-mam-mo-hanh-i1334913654.html")</f>
        <v>https://www.lazada.vn/products/com-chay-chien-nuoc-mam-mo-hanh-i1334913654.html</v>
      </c>
      <c r="C2482" s="10" t="s">
        <v>2482</v>
      </c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8">
        <v>7337.0</v>
      </c>
      <c r="B2483" s="9" t="str">
        <f>HYPERLINK("https://www.lazada.vn/products/hop-qua-hoa-xuan-ruou-vang-do-y-primasole-primitivo-750ml-i2700776404.html", "https://www.lazada.vn/products/hop-qua-hoa-xuan-ruou-vang-do-y-primasole-primitivo-750ml-i2700776404.html")</f>
        <v>https://www.lazada.vn/products/hop-qua-hoa-xuan-ruou-vang-do-y-primasole-primitivo-750ml-i2700776404.html</v>
      </c>
      <c r="C2483" s="10" t="s">
        <v>2483</v>
      </c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8">
        <v>7338.0</v>
      </c>
      <c r="B2484" s="9" t="str">
        <f>HYPERLINK("https://www.lazada.vn/products/tui-huong-duong-tam-vi-sua-dua-500g-i1198686730.html", "https://www.lazada.vn/products/tui-huong-duong-tam-vi-sua-dua-500g-i1198686730.html")</f>
        <v>https://www.lazada.vn/products/tui-huong-duong-tam-vi-sua-dua-500g-i1198686730.html</v>
      </c>
      <c r="C2484" s="10" t="s">
        <v>2484</v>
      </c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8">
        <v>7339.0</v>
      </c>
      <c r="B2485" s="9" t="str">
        <f>HYPERLINK("https://www.lazada.vn/products/bim-bim-tam-que-dau-ha-lan-1kg-sieu-gion-i1061864956.html", "https://www.lazada.vn/products/bim-bim-tam-que-dau-ha-lan-1kg-sieu-gion-i1061864956.html")</f>
        <v>https://www.lazada.vn/products/bim-bim-tam-que-dau-ha-lan-1kg-sieu-gion-i1061864956.html</v>
      </c>
      <c r="C2485" s="10" t="s">
        <v>2485</v>
      </c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8">
        <v>7340.0</v>
      </c>
      <c r="B2486" s="9" t="str">
        <f>HYPERLINK("https://www.lazada.vn/products/hcmgelatine-huu-co-sobo-9g-xuat-xu-duc-combo-4-goi-36-gram-i704068109.html", "https://www.lazada.vn/products/hcmgelatine-huu-co-sobo-9g-xuat-xu-duc-combo-4-goi-36-gram-i704068109.html")</f>
        <v>https://www.lazada.vn/products/hcmgelatine-huu-co-sobo-9g-xuat-xu-duc-combo-4-goi-36-gram-i704068109.html</v>
      </c>
      <c r="C2486" s="10" t="s">
        <v>2486</v>
      </c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8">
        <v>7341.0</v>
      </c>
      <c r="B2487" s="9" t="str">
        <f>HYPERLINK("https://www.lazada.vn/products/hcmbanh-trang-an-do-200g-masala-papad-i867554317.html", "https://www.lazada.vn/products/hcmbanh-trang-an-do-200g-masala-papad-i867554317.html")</f>
        <v>https://www.lazada.vn/products/hcmbanh-trang-an-do-200g-masala-papad-i867554317.html</v>
      </c>
      <c r="C2487" s="10" t="s">
        <v>2487</v>
      </c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8">
        <v>7342.0</v>
      </c>
      <c r="B2488" s="9" t="str">
        <f>HYPERLINK("https://www.lazada.vn/products/tra-hong-sam-han-quoc-buleebang-ginseng-tea-100-goi-3g-x-100-i863938504.html", "https://www.lazada.vn/products/tra-hong-sam-han-quoc-buleebang-ginseng-tea-100-goi-3g-x-100-i863938504.html")</f>
        <v>https://www.lazada.vn/products/tra-hong-sam-han-quoc-buleebang-ginseng-tea-100-goi-3g-x-100-i863938504.html</v>
      </c>
      <c r="C2488" s="10" t="s">
        <v>2488</v>
      </c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8">
        <v>7343.0</v>
      </c>
      <c r="B2489" s="9" t="str">
        <f>HYPERLINK("https://www.lazada.vn/products/combo-5-cay-keo-mentos-cau-vong-mini-huong-trai-cay-tong-hop-10gr-i863902321.html", "https://www.lazada.vn/products/combo-5-cay-keo-mentos-cau-vong-mini-huong-trai-cay-tong-hop-10gr-i863902321.html")</f>
        <v>https://www.lazada.vn/products/combo-5-cay-keo-mentos-cau-vong-mini-huong-trai-cay-tong-hop-10gr-i863902321.html</v>
      </c>
      <c r="C2489" s="10" t="s">
        <v>2489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8">
        <v>7344.0</v>
      </c>
      <c r="B2490" s="9" t="str">
        <f>HYPERLINK("https://www.lazada.vn/products/mut-trai-cay-royal-400g-hang-noi-dia-nhat-100-i3051800755.html", "https://www.lazada.vn/products/mut-trai-cay-royal-400g-hang-noi-dia-nhat-100-i3051800755.html")</f>
        <v>https://www.lazada.vn/products/mut-trai-cay-royal-400g-hang-noi-dia-nhat-100-i3051800755.html</v>
      </c>
      <c r="C2490" s="10" t="s">
        <v>2490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8">
        <v>7345.0</v>
      </c>
      <c r="B2491" s="9" t="str">
        <f>HYPERLINK("https://www.lazada.vn/products/combo-5-goi-tra-hong-sam-han-quoc-tach-hop-dung-thu-goi-3g-ginseng-tea-i863886986.html", "https://www.lazada.vn/products/combo-5-goi-tra-hong-sam-han-quoc-tach-hop-dung-thu-goi-3g-ginseng-tea-i863886986.html")</f>
        <v>https://www.lazada.vn/products/combo-5-goi-tra-hong-sam-han-quoc-tach-hop-dung-thu-goi-3g-ginseng-tea-i863886986.html</v>
      </c>
      <c r="C2491" s="10" t="s">
        <v>2491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8">
        <v>7346.0</v>
      </c>
      <c r="B2492" s="9" t="str">
        <f>HYPERLINK("https://www.lazada.vn/products/hcmpho-mai-krim-stix-hop-loai-lon-i704244626.html", "https://www.lazada.vn/products/hcmpho-mai-krim-stix-hop-loai-lon-i704244626.html")</f>
        <v>https://www.lazada.vn/products/hcmpho-mai-krim-stix-hop-loai-lon-i704244626.html</v>
      </c>
      <c r="C2492" s="10" t="s">
        <v>2492</v>
      </c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8">
        <v>7347.0</v>
      </c>
      <c r="B2493" s="9" t="str">
        <f>HYPERLINK("https://www.lazada.vn/products/hcmsocola-hop-krim-stix-i604494287.html", "https://www.lazada.vn/products/hcmsocola-hop-krim-stix-i604494287.html")</f>
        <v>https://www.lazada.vn/products/hcmsocola-hop-krim-stix-i604494287.html</v>
      </c>
      <c r="C2493" s="10" t="s">
        <v>2493</v>
      </c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8">
        <v>7348.0</v>
      </c>
      <c r="B2494" s="9" t="str">
        <f>HYPERLINK("https://www.lazada.vn/products/1-vien-keo-hong-sam-a7-anpha-vi-chanh-usa-cao-cap-cuc-manh-date-moi-nhat-i2943970966.html", "https://www.lazada.vn/products/1-vien-keo-hong-sam-a7-anpha-vi-chanh-usa-cao-cap-cuc-manh-date-moi-nhat-i2943970966.html")</f>
        <v>https://www.lazada.vn/products/1-vien-keo-hong-sam-a7-anpha-vi-chanh-usa-cao-cap-cuc-manh-date-moi-nhat-i2943970966.html</v>
      </c>
      <c r="C2494" s="10" t="s">
        <v>2494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8">
        <v>7349.0</v>
      </c>
      <c r="B2495" s="9" t="str">
        <f>HYPERLINK("https://www.lazada.vn/products/10-chiec-thach-zai-zai-duc-hanh-mix-vi-i543902093.html", "https://www.lazada.vn/products/10-chiec-thach-zai-zai-duc-hanh-mix-vi-i543902093.html")</f>
        <v>https://www.lazada.vn/products/10-chiec-thach-zai-zai-duc-hanh-mix-vi-i543902093.html</v>
      </c>
      <c r="C2495" s="10" t="s">
        <v>2495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8">
        <v>7350.0</v>
      </c>
      <c r="B2496" s="9" t="str">
        <f>HYPERLINK("https://www.lazada.vn/products/500g-thach-zai-zai-duc-hanh-mix-du-vi-i543870505.html", "https://www.lazada.vn/products/500g-thach-zai-zai-duc-hanh-mix-du-vi-i543870505.html")</f>
        <v>https://www.lazada.vn/products/500g-thach-zai-zai-duc-hanh-mix-du-vi-i543870505.html</v>
      </c>
      <c r="C2496" s="10" t="s">
        <v>2496</v>
      </c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8">
        <v>7351.0</v>
      </c>
      <c r="B2497" s="9" t="str">
        <f>HYPERLINK("https://www.lazada.vn/products/banh-phong-tom-rau-cu-sac-mau-thom-ngon-be-thich-me-goi-200g-i537778035.html", "https://www.lazada.vn/products/banh-phong-tom-rau-cu-sac-mau-thom-ngon-be-thich-me-goi-200g-i537778035.html")</f>
        <v>https://www.lazada.vn/products/banh-phong-tom-rau-cu-sac-mau-thom-ngon-be-thich-me-goi-200g-i537778035.html</v>
      </c>
      <c r="C2497" s="10" t="s">
        <v>2497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8">
        <v>7352.0</v>
      </c>
      <c r="B2498" s="9" t="str">
        <f>HYPERLINK("https://www.lazada.vn/products/set-5-goi-phong-tom-rau-cu-sac-mau-i537764619.html", "https://www.lazada.vn/products/set-5-goi-phong-tom-rau-cu-sac-mau-i537764619.html")</f>
        <v>https://www.lazada.vn/products/set-5-goi-phong-tom-rau-cu-sac-mau-i537764619.html</v>
      </c>
      <c r="C2498" s="10" t="s">
        <v>2498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8">
        <v>7353.0</v>
      </c>
      <c r="B2499" s="9" t="str">
        <f>HYPERLINK("https://www.lazada.vn/products/10-set-tra-duong-nhan-dep-da-giam-can-i517222065.html", "https://www.lazada.vn/products/10-set-tra-duong-nhan-dep-da-giam-can-i517222065.html")</f>
        <v>https://www.lazada.vn/products/10-set-tra-duong-nhan-dep-da-giam-can-i517222065.html</v>
      </c>
      <c r="C2499" s="10" t="s">
        <v>2499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8">
        <v>7354.0</v>
      </c>
      <c r="B2500" s="9" t="str">
        <f>HYPERLINK("https://www.lazada.vn/products/5-set-tra-duong-nhan-dep-da-sang-mat-thanh-loc-co-the-i517180080.html", "https://www.lazada.vn/products/5-set-tra-duong-nhan-dep-da-sang-mat-thanh-loc-co-the-i517180080.html")</f>
        <v>https://www.lazada.vn/products/5-set-tra-duong-nhan-dep-da-sang-mat-thanh-loc-co-the-i517180080.html</v>
      </c>
      <c r="C2500" s="10" t="s">
        <v>2500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8">
        <v>7355.0</v>
      </c>
      <c r="B2501" s="9" t="str">
        <f>HYPERLINK("https://www.lazada.vn/products/2-goi-huong-duong-tam-vi-caramen-ngon-kho-cuong-moi-goi-500g-i510184388.html", "https://www.lazada.vn/products/2-goi-huong-duong-tam-vi-caramen-ngon-kho-cuong-moi-goi-500g-i510184388.html")</f>
        <v>https://www.lazada.vn/products/2-goi-huong-duong-tam-vi-caramen-ngon-kho-cuong-moi-goi-500g-i510184388.html</v>
      </c>
      <c r="C2501" s="10" t="s">
        <v>2501</v>
      </c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8">
        <v>7356.0</v>
      </c>
      <c r="B2502" s="9" t="str">
        <f>HYPERLINK("https://www.lazada.vn/products/1kg-nui-say-gion-tam-gia-vi-gion-ngon-thom-i488122221.html", "https://www.lazada.vn/products/1kg-nui-say-gion-tam-gia-vi-gion-ngon-thom-i488122221.html")</f>
        <v>https://www.lazada.vn/products/1kg-nui-say-gion-tam-gia-vi-gion-ngon-thom-i488122221.html</v>
      </c>
      <c r="C2502" s="10" t="s">
        <v>2502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8">
        <v>7357.0</v>
      </c>
      <c r="B2503" s="9" t="str">
        <f>HYPERLINK("https://www.lazada.vn/products/thit-hop-spam-date-2026-25-less-sodium-340gr-eds-mart-i3051603375.html", "https://www.lazada.vn/products/thit-hop-spam-date-2026-25-less-sodium-340gr-eds-mart-i3051603375.html")</f>
        <v>https://www.lazada.vn/products/thit-hop-spam-date-2026-25-less-sodium-340gr-eds-mart-i3051603375.html</v>
      </c>
      <c r="C2503" s="10" t="s">
        <v>2503</v>
      </c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8">
        <v>7358.0</v>
      </c>
      <c r="B2504" s="9" t="str">
        <f>HYPERLINK("https://www.lazada.vn/products/bich-20-banh-xop-nabati-gion-ngon-i488112374.html", "https://www.lazada.vn/products/bich-20-banh-xop-nabati-gion-ngon-i488112374.html")</f>
        <v>https://www.lazada.vn/products/bich-20-banh-xop-nabati-gion-ngon-i488112374.html</v>
      </c>
      <c r="C2504" s="10" t="s">
        <v>2504</v>
      </c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8">
        <v>7359.0</v>
      </c>
      <c r="B2505" s="9" t="str">
        <f>HYPERLINK("https://www.lazada.vn/products/hcmcom-rang-com-rang-quang-ngai-110-g-i354848760.html", "https://www.lazada.vn/products/hcmcom-rang-com-rang-quang-ngai-110-g-i354848760.html")</f>
        <v>https://www.lazada.vn/products/hcmcom-rang-com-rang-quang-ngai-110-g-i354848760.html</v>
      </c>
      <c r="C2505" s="10" t="s">
        <v>2505</v>
      </c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8">
        <v>7360.0</v>
      </c>
      <c r="B2506" s="9" t="str">
        <f>HYPERLINK("https://www.lazada.vn/products/1kg-banh-gau-nhan-kem-thien-hong-do-an-vat-an-vat-bach-hoa-uy-tin-i354354896.html", "https://www.lazada.vn/products/1kg-banh-gau-nhan-kem-thien-hong-do-an-vat-an-vat-bach-hoa-uy-tin-i354354896.html")</f>
        <v>https://www.lazada.vn/products/1kg-banh-gau-nhan-kem-thien-hong-do-an-vat-an-vat-bach-hoa-uy-tin-i354354896.html</v>
      </c>
      <c r="C2506" s="10" t="s">
        <v>2506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8">
        <v>7361.0</v>
      </c>
      <c r="B2507" s="9" t="str">
        <f>HYPERLINK("https://www.lazada.vn/products/hcmcombo-5-com-rang-quang-ngai-250-g-i353880424.html", "https://www.lazada.vn/products/hcmcombo-5-com-rang-quang-ngai-250-g-i353880424.html")</f>
        <v>https://www.lazada.vn/products/hcmcombo-5-com-rang-quang-ngai-250-g-i353880424.html</v>
      </c>
      <c r="C2507" s="10" t="s">
        <v>2507</v>
      </c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8">
        <v>7362.0</v>
      </c>
      <c r="B2508" s="9" t="str">
        <f>HYPERLINK("https://www.lazada.vn/products/hcmcom-rang-quang-ngai-110-g-i353650420.html", "https://www.lazada.vn/products/hcmcom-rang-quang-ngai-110-g-i353650420.html")</f>
        <v>https://www.lazada.vn/products/hcmcom-rang-quang-ngai-110-g-i353650420.html</v>
      </c>
      <c r="C2508" s="10" t="s">
        <v>2508</v>
      </c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8">
        <v>7363.0</v>
      </c>
      <c r="B2509" s="9" t="str">
        <f>HYPERLINK("https://www.lazada.vn/products/keo-sam-xtreme-candy-chinh-hang-cai-tien-cao-cap-usa-cuc-manh-date-moi-i2841923955.html", "https://www.lazada.vn/products/keo-sam-xtreme-candy-chinh-hang-cai-tien-cao-cap-usa-cuc-manh-date-moi-i2841923955.html")</f>
        <v>https://www.lazada.vn/products/keo-sam-xtreme-candy-chinh-hang-cai-tien-cao-cap-usa-cuc-manh-date-moi-i2841923955.html</v>
      </c>
      <c r="C2509" s="10" t="s">
        <v>2509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8">
        <v>7364.0</v>
      </c>
      <c r="B2510" s="9" t="str">
        <f>HYPERLINK("https://www.lazada.vn/products/hcmcom-rang-quang-ngai-250-g-i338768500.html", "https://www.lazada.vn/products/hcmcom-rang-quang-ngai-250-g-i338768500.html")</f>
        <v>https://www.lazada.vn/products/hcmcom-rang-quang-ngai-250-g-i338768500.html</v>
      </c>
      <c r="C2510" s="10" t="s">
        <v>2510</v>
      </c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8">
        <v>7365.0</v>
      </c>
      <c r="B2511" s="9" t="str">
        <f>HYPERLINK("https://www.lazada.vn/products/banh-mix-dai-loan-du-vi-thung-2kg-i2791448541.html", "https://www.lazada.vn/products/banh-mix-dai-loan-du-vi-thung-2kg-i2791448541.html")</f>
        <v>https://www.lazada.vn/products/banh-mix-dai-loan-du-vi-thung-2kg-i2791448541.html</v>
      </c>
      <c r="C2511" s="10" t="s">
        <v>2511</v>
      </c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8">
        <v>7366.0</v>
      </c>
      <c r="B2512" s="9" t="str">
        <f>HYPERLINK("https://www.lazada.vn/products/com-rangcom-rang-quang-ngai-450g-i338736933.html", "https://www.lazada.vn/products/com-rangcom-rang-quang-ngai-450g-i338736933.html")</f>
        <v>https://www.lazada.vn/products/com-rangcom-rang-quang-ngai-450g-i338736933.html</v>
      </c>
      <c r="C2512" s="10" t="s">
        <v>2512</v>
      </c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8">
        <v>7367.0</v>
      </c>
      <c r="B2513" s="9" t="str">
        <f>HYPERLINK("https://www.lazada.vn/products/ruou-ngo-ruou-nau-bang-ngo-nep-su-dung-men-la-ha-giang-i2666706599.html", "https://www.lazada.vn/products/ruou-ngo-ruou-nau-bang-ngo-nep-su-dung-men-la-ha-giang-i2666706599.html")</f>
        <v>https://www.lazada.vn/products/ruou-ngo-ruou-nau-bang-ngo-nep-su-dung-men-la-ha-giang-i2666706599.html</v>
      </c>
      <c r="C2513" s="10" t="s">
        <v>2513</v>
      </c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8">
        <v>7368.0</v>
      </c>
      <c r="B2514" s="9" t="str">
        <f>HYPERLINK("https://www.lazada.vn/products/thit-nam-nuong-dac-san-wuhan-128g-bao-bi-nho-rom-ram-do-an-nhe-do-an-kho-rau-cu-trung-quoc-dai-luc-thuong-hieu-zhou-he-ya-i3051574143.html", "https://www.lazada.vn/products/thit-nam-nuong-dac-san-wuhan-128g-bao-bi-nho-rom-ram-do-an-nhe-do-an-kho-rau-cu-trung-quoc-dai-luc-thuong-hieu-zhou-he-ya-i3051574143.html")</f>
        <v>https://www.lazada.vn/products/thit-nam-nuong-dac-san-wuhan-128g-bao-bi-nho-rom-ram-do-an-nhe-do-an-kho-rau-cu-trung-quoc-dai-luc-thuong-hieu-zhou-he-ya-i3051574143.html</v>
      </c>
      <c r="C2514" s="10" t="s">
        <v>2514</v>
      </c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8">
        <v>7369.0</v>
      </c>
      <c r="B2515" s="9" t="str">
        <f>HYPERLINK("https://www.lazada.vn/products/keo-risen-keo-mut-keo-deo-hoa-qua-keo-hotdog-khong-lo-i2822258220.html", "https://www.lazada.vn/products/keo-risen-keo-mut-keo-deo-hoa-qua-keo-hotdog-khong-lo-i2822258220.html")</f>
        <v>https://www.lazada.vn/products/keo-risen-keo-mut-keo-deo-hoa-qua-keo-hotdog-khong-lo-i2822258220.html</v>
      </c>
      <c r="C2515" s="10" t="s">
        <v>2515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8">
        <v>7370.0</v>
      </c>
      <c r="B2516" s="9" t="str">
        <f>HYPERLINK("https://www.lazada.vn/products/vang-y-1933-ruby-igt-blend-750ml-i2186319978.html", "https://www.lazada.vn/products/vang-y-1933-ruby-igt-blend-750ml-i2186319978.html")</f>
        <v>https://www.lazada.vn/products/vang-y-1933-ruby-igt-blend-750ml-i2186319978.html</v>
      </c>
      <c r="C2516" s="10" t="s">
        <v>2516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8">
        <v>7371.0</v>
      </c>
      <c r="B2517" s="9" t="str">
        <f>HYPERLINK("https://www.lazada.vn/products/hoa-toc-hcm-loc-6-chai-nuoc-ngot-giai-khat-co-gas-coca-cola-vi-nguyen-ban-original-390mlchai-sale-253-coca-cola-chinh-hang-i2581293648.html", "https://www.lazada.vn/products/hoa-toc-hcm-loc-6-chai-nuoc-ngot-giai-khat-co-gas-coca-cola-vi-nguyen-ban-original-390mlchai-sale-253-coca-cola-chinh-hang-i2581293648.html")</f>
        <v>https://www.lazada.vn/products/hoa-toc-hcm-loc-6-chai-nuoc-ngot-giai-khat-co-gas-coca-cola-vi-nguyen-ban-original-390mlchai-sale-253-coca-cola-chinh-hang-i2581293648.html</v>
      </c>
      <c r="C2517" s="10" t="s">
        <v>2517</v>
      </c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8">
        <v>7372.0</v>
      </c>
      <c r="B2518" s="9" t="str">
        <f>HYPERLINK("https://www.lazada.vn/products/chinh-hang-ca-cao-can-tay-giam-can-cq-body-hop-10-goi-i2391326635.html", "https://www.lazada.vn/products/chinh-hang-ca-cao-can-tay-giam-can-cq-body-hop-10-goi-i2391326635.html")</f>
        <v>https://www.lazada.vn/products/chinh-hang-ca-cao-can-tay-giam-can-cq-body-hop-10-goi-i2391326635.html</v>
      </c>
      <c r="C2518" s="10" t="s">
        <v>2518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8">
        <v>7373.0</v>
      </c>
      <c r="B2519" s="9" t="str">
        <f>HYPERLINK("https://www.lazada.vn/products/nuoc-tang-luc-redbull-bo-huc-viet-lon-250ml-foodmap-i2604727628.html", "https://www.lazada.vn/products/nuoc-tang-luc-redbull-bo-huc-viet-lon-250ml-foodmap-i2604727628.html")</f>
        <v>https://www.lazada.vn/products/nuoc-tang-luc-redbull-bo-huc-viet-lon-250ml-foodmap-i2604727628.html</v>
      </c>
      <c r="C2519" s="10" t="s">
        <v>2519</v>
      </c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8">
        <v>7374.0</v>
      </c>
      <c r="B2520" s="9" t="str">
        <f>HYPERLINK("https://www.lazada.vn/products/banh-khoai-tay-nuong-tok-orion-vi-bo-bbq-4p-i2841627172.html", "https://www.lazada.vn/products/banh-khoai-tay-nuong-tok-orion-vi-bo-bbq-4p-i2841627172.html")</f>
        <v>https://www.lazada.vn/products/banh-khoai-tay-nuong-tok-orion-vi-bo-bbq-4p-i2841627172.html</v>
      </c>
      <c r="C2520" s="10" t="s">
        <v>2520</v>
      </c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8">
        <v>7375.0</v>
      </c>
      <c r="B2521" s="9" t="str">
        <f>HYPERLINK("https://www.lazada.vn/products/thit-hop-heo-ham-i3051418598.html", "https://www.lazada.vn/products/thit-hop-heo-ham-i3051418598.html")</f>
        <v>https://www.lazada.vn/products/thit-hop-heo-ham-i3051418598.html</v>
      </c>
      <c r="C2521" s="10" t="s">
        <v>2521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8">
        <v>7376.0</v>
      </c>
      <c r="B2522" s="9" t="str">
        <f>HYPERLINK("https://www.lazada.vn/products/siro-benuscream-750ml-syrup-benuscream-750ml-i2666694081.html", "https://www.lazada.vn/products/siro-benuscream-750ml-syrup-benuscream-750ml-i2666694081.html")</f>
        <v>https://www.lazada.vn/products/siro-benuscream-750ml-syrup-benuscream-750ml-i2666694081.html</v>
      </c>
      <c r="C2522" s="10" t="s">
        <v>2522</v>
      </c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8">
        <v>7377.0</v>
      </c>
      <c r="B2523" s="9" t="str">
        <f>HYPERLINK("https://www.lazada.vn/products/combo-8-goi-keo-lot-vo-3d-bobo-i2821715267.html", "https://www.lazada.vn/products/combo-8-goi-keo-lot-vo-3d-bobo-i2821715267.html")</f>
        <v>https://www.lazada.vn/products/combo-8-goi-keo-lot-vo-3d-bobo-i2821715267.html</v>
      </c>
      <c r="C2523" s="10" t="s">
        <v>2523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8">
        <v>7378.0</v>
      </c>
      <c r="B2524" s="9" t="str">
        <f>HYPERLINK("https://www.lazada.vn/products/dole-lon-822g-cocktail-trai-cay-nhiet-doi-philippines-tropical-fruit-cocktail-in-syrup-halal-i3050700190.html", "https://www.lazada.vn/products/dole-lon-822g-cocktail-trai-cay-nhiet-doi-philippines-tropical-fruit-cocktail-in-syrup-halal-i3050700190.html")</f>
        <v>https://www.lazada.vn/products/dole-lon-822g-cocktail-trai-cay-nhiet-doi-philippines-tropical-fruit-cocktail-in-syrup-halal-i3050700190.html</v>
      </c>
      <c r="C2524" s="10" t="s">
        <v>2524</v>
      </c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8">
        <v>7379.0</v>
      </c>
      <c r="B2525" s="9" t="str">
        <f>HYPERLINK("https://www.lazada.vn/products/banh-keo-gung-tao-do-tui-zip-500g-i2819455479.html", "https://www.lazada.vn/products/banh-keo-gung-tao-do-tui-zip-500g-i2819455479.html")</f>
        <v>https://www.lazada.vn/products/banh-keo-gung-tao-do-tui-zip-500g-i2819455479.html</v>
      </c>
      <c r="C2525" s="10" t="s">
        <v>2525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8">
        <v>7380.0</v>
      </c>
      <c r="B2526" s="9" t="str">
        <f>HYPERLINK("https://www.lazada.vn/products/dao-dong-canh-12-nhanh-i3050649261.html", "https://www.lazada.vn/products/dao-dong-canh-12-nhanh-i3050649261.html")</f>
        <v>https://www.lazada.vn/products/dao-dong-canh-12-nhanh-i3050649261.html</v>
      </c>
      <c r="C2526" s="10" t="s">
        <v>2526</v>
      </c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8">
        <v>7381.0</v>
      </c>
      <c r="B2527" s="9" t="str">
        <f>HYPERLINK("https://www.lazada.vn/products/muc-kiwi-say-deo-chua-chua-ngot-ngot-nguyen-bao-food-i3050624330.html", "https://www.lazada.vn/products/muc-kiwi-say-deo-chua-chua-ngot-ngot-nguyen-bao-food-i3050624330.html")</f>
        <v>https://www.lazada.vn/products/muc-kiwi-say-deo-chua-chua-ngot-ngot-nguyen-bao-food-i3050624330.html</v>
      </c>
      <c r="C2527" s="10" t="s">
        <v>2527</v>
      </c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8">
        <v>7382.0</v>
      </c>
      <c r="B2528" s="9" t="str">
        <f>HYPERLINK("https://www.lazada.vn/products/keo-me-thai-vang-hiep-ki-chua-ngot-vua-an-i2819429349.html", "https://www.lazada.vn/products/keo-me-thai-vang-hiep-ki-chua-ngot-vua-an-i2819429349.html")</f>
        <v>https://www.lazada.vn/products/keo-me-thai-vang-hiep-ki-chua-ngot-vua-an-i2819429349.html</v>
      </c>
      <c r="C2528" s="10" t="s">
        <v>2528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8">
        <v>7383.0</v>
      </c>
      <c r="B2529" s="9" t="str">
        <f>HYPERLINK("https://www.lazada.vn/products/muc-kiwi-say-deo-chua-chua-ngot-ngot-nguyen-bao-food-i3050624328.html", "https://www.lazada.vn/products/muc-kiwi-say-deo-chua-chua-ngot-ngot-nguyen-bao-food-i3050624328.html")</f>
        <v>https://www.lazada.vn/products/muc-kiwi-say-deo-chua-chua-ngot-ngot-nguyen-bao-food-i3050624328.html</v>
      </c>
      <c r="C2529" s="10" t="s">
        <v>2529</v>
      </c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8">
        <v>7384.0</v>
      </c>
      <c r="B2530" s="9" t="str">
        <f>HYPERLINK("https://www.lazada.vn/products/nguyen-hop-30-cai-keo-hong-sam-chinh-hang-thom-ngon-bo-duong-i2819049323.html", "https://www.lazada.vn/products/nguyen-hop-30-cai-keo-hong-sam-chinh-hang-thom-ngon-bo-duong-i2819049323.html")</f>
        <v>https://www.lazada.vn/products/nguyen-hop-30-cai-keo-hong-sam-chinh-hang-thom-ngon-bo-duong-i2819049323.html</v>
      </c>
      <c r="C2530" s="10" t="s">
        <v>2530</v>
      </c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8">
        <v>7385.0</v>
      </c>
      <c r="B2531" s="9" t="str">
        <f>HYPERLINK("https://www.lazada.vn/products/nem-cua-be-dac-san-hai-phong-khay-12-chiec-giao-hcm-i3050617138.html", "https://www.lazada.vn/products/nem-cua-be-dac-san-hai-phong-khay-12-chiec-giao-hcm-i3050617138.html")</f>
        <v>https://www.lazada.vn/products/nem-cua-be-dac-san-hai-phong-khay-12-chiec-giao-hcm-i3050617138.html</v>
      </c>
      <c r="C2531" s="10" t="s">
        <v>2531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8">
        <v>7386.0</v>
      </c>
      <c r="B2532" s="9" t="str">
        <f>HYPERLINK("https://www.lazada.vn/products/keo-deo-cau-vong-trai-cay-vi-nho-seoju-han-quoc-46g-i2817991751.html", "https://www.lazada.vn/products/keo-deo-cau-vong-trai-cay-vi-nho-seoju-han-quoc-46g-i2817991751.html")</f>
        <v>https://www.lazada.vn/products/keo-deo-cau-vong-trai-cay-vi-nho-seoju-han-quoc-46g-i2817991751.html</v>
      </c>
      <c r="C2532" s="10" t="s">
        <v>2532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8">
        <v>7387.0</v>
      </c>
      <c r="B2533" s="9" t="str">
        <f>HYPERLINK("https://www.lazada.vn/products/muc-kiwi-say-deo-chua-chua-ngot-ngot-nguyen-bao-food-i3050589379.html", "https://www.lazada.vn/products/muc-kiwi-say-deo-chua-chua-ngot-ngot-nguyen-bao-food-i3050589379.html")</f>
        <v>https://www.lazada.vn/products/muc-kiwi-say-deo-chua-chua-ngot-ngot-nguyen-bao-food-i3050589379.html</v>
      </c>
      <c r="C2533" s="10" t="s">
        <v>2533</v>
      </c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8">
        <v>7388.0</v>
      </c>
      <c r="B2534" s="9" t="str">
        <f>HYPERLINK("https://www.lazada.vn/products/keo-candy-play-dua-hau-thai-lan-i2812662631.html", "https://www.lazada.vn/products/keo-candy-play-dua-hau-thai-lan-i2812662631.html")</f>
        <v>https://www.lazada.vn/products/keo-candy-play-dua-hau-thai-lan-i2812662631.html</v>
      </c>
      <c r="C2534" s="10" t="s">
        <v>2534</v>
      </c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8">
        <v>7389.0</v>
      </c>
      <c r="B2535" s="9" t="str">
        <f>HYPERLINK("https://www.lazada.vn/products/dole-lon-822g-cocktail-trai-cay-nhiet-doi-philippines-tropical-fruit-cocktail-in-syrup-halal-i3050576416.html", "https://www.lazada.vn/products/dole-lon-822g-cocktail-trai-cay-nhiet-doi-philippines-tropical-fruit-cocktail-in-syrup-halal-i3050576416.html")</f>
        <v>https://www.lazada.vn/products/dole-lon-822g-cocktail-trai-cay-nhiet-doi-philippines-tropical-fruit-cocktail-in-syrup-halal-i3050576416.html</v>
      </c>
      <c r="C2535" s="10" t="s">
        <v>2535</v>
      </c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8">
        <v>7390.0</v>
      </c>
      <c r="B2536" s="9" t="str">
        <f>HYPERLINK("https://www.lazada.vn/products/keo-cao-su-singgum-coolair-goi-145g-50-chiec-sing-gum-cool-air-hot-sale-i2810277477.html", "https://www.lazada.vn/products/keo-cao-su-singgum-coolair-goi-145g-50-chiec-sing-gum-cool-air-hot-sale-i2810277477.html")</f>
        <v>https://www.lazada.vn/products/keo-cao-su-singgum-coolair-goi-145g-50-chiec-sing-gum-cool-air-hot-sale-i2810277477.html</v>
      </c>
      <c r="C2536" s="10" t="s">
        <v>2536</v>
      </c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8">
        <v>7391.0</v>
      </c>
      <c r="B2537" s="9" t="str">
        <f>HYPERLINK("https://www.lazada.vn/products/muc-kiwi-say-deo-chua-chua-ngot-ngot-nguyen-bao-food-i3050563346.html", "https://www.lazada.vn/products/muc-kiwi-say-deo-chua-chua-ngot-ngot-nguyen-bao-food-i3050563346.html")</f>
        <v>https://www.lazada.vn/products/muc-kiwi-say-deo-chua-chua-ngot-ngot-nguyen-bao-food-i3050563346.html</v>
      </c>
      <c r="C2537" s="10" t="s">
        <v>2537</v>
      </c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8">
        <v>7392.0</v>
      </c>
      <c r="B2538" s="9" t="str">
        <f>HYPERLINK("https://www.lazada.vn/products/keo-mut-trai-cay-mix-vi-que-lon-keo-mut-hoa-qua-dau-tay-viet-quat-dua-hau-cam-hot-sale-i2810255267.html", "https://www.lazada.vn/products/keo-mut-trai-cay-mix-vi-que-lon-keo-mut-hoa-qua-dau-tay-viet-quat-dua-hau-cam-hot-sale-i2810255267.html")</f>
        <v>https://www.lazada.vn/products/keo-mut-trai-cay-mix-vi-que-lon-keo-mut-hoa-qua-dau-tay-viet-quat-dua-hau-cam-hot-sale-i2810255267.html</v>
      </c>
      <c r="C2538" s="10" t="s">
        <v>2538</v>
      </c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8">
        <v>7393.0</v>
      </c>
      <c r="B2539" s="9" t="str">
        <f>HYPERLINK("https://www.lazada.vn/products/ca-vien-tom-vien-bo-vien-romio-goi-500gr-giao-tphcm-i3050497369.html", "https://www.lazada.vn/products/ca-vien-tom-vien-bo-vien-romio-goi-500gr-giao-tphcm-i3050497369.html")</f>
        <v>https://www.lazada.vn/products/ca-vien-tom-vien-bo-vien-romio-goi-500gr-giao-tphcm-i3050497369.html</v>
      </c>
      <c r="C2539" s="10" t="s">
        <v>2539</v>
      </c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8">
        <v>7394.0</v>
      </c>
      <c r="B2540" s="9" t="str">
        <f>HYPERLINK("https://www.lazada.vn/products/keo-singum-xylitol-cool-air-huong-bac-ha-the-mat-lo-shop-sieu-thi-lan-chi-hot-sale-i2810237575.html", "https://www.lazada.vn/products/keo-singum-xylitol-cool-air-huong-bac-ha-the-mat-lo-shop-sieu-thi-lan-chi-hot-sale-i2810237575.html")</f>
        <v>https://www.lazada.vn/products/keo-singum-xylitol-cool-air-huong-bac-ha-the-mat-lo-shop-sieu-thi-lan-chi-hot-sale-i2810237575.html</v>
      </c>
      <c r="C2540" s="10" t="s">
        <v>2540</v>
      </c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8">
        <v>7395.0</v>
      </c>
      <c r="B2541" s="9" t="str">
        <f>HYPERLINK("https://www.lazada.vn/products/keo-mut-pho-mai-sua-bo-trai-cay-mix-nhieu-vi-20-cay-banh-keo-an-vat-i2809618306.html", "https://www.lazada.vn/products/keo-mut-pho-mai-sua-bo-trai-cay-mix-nhieu-vi-20-cay-banh-keo-an-vat-i2809618306.html")</f>
        <v>https://www.lazada.vn/products/keo-mut-pho-mai-sua-bo-trai-cay-mix-nhieu-vi-20-cay-banh-keo-an-vat-i2809618306.html</v>
      </c>
      <c r="C2541" s="10" t="s">
        <v>2541</v>
      </c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8">
        <v>7396.0</v>
      </c>
      <c r="B2542" s="9" t="str">
        <f>HYPERLINK("https://www.lazada.vn/products/dao-dong-canh-12-nhanh-i3050444223.html", "https://www.lazada.vn/products/dao-dong-canh-12-nhanh-i3050444223.html")</f>
        <v>https://www.lazada.vn/products/dao-dong-canh-12-nhanh-i3050444223.html</v>
      </c>
      <c r="C2542" s="10" t="s">
        <v>2542</v>
      </c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8">
        <v>7397.0</v>
      </c>
      <c r="B2543" s="9" t="str">
        <f>HYPERLINK("https://www.lazada.vn/products/thung-24-goi-mi-tron-siukay-vi-ga-cay-pho-mai-129gr-35938-i3023653154.html", "https://www.lazada.vn/products/thung-24-goi-mi-tron-siukay-vi-ga-cay-pho-mai-129gr-35938-i3023653154.html")</f>
        <v>https://www.lazada.vn/products/thung-24-goi-mi-tron-siukay-vi-ga-cay-pho-mai-129gr-35938-i3023653154.html</v>
      </c>
      <c r="C2543" s="10" t="s">
        <v>2543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8">
        <v>7398.0</v>
      </c>
      <c r="B2544" s="9" t="str">
        <f>HYPERLINK("https://www.lazada.vn/products/luong-kho-mini-sbt-vi-oc-cho-goi-500gr-i2789095193.html", "https://www.lazada.vn/products/luong-kho-mini-sbt-vi-oc-cho-goi-500gr-i2789095193.html")</f>
        <v>https://www.lazada.vn/products/luong-kho-mini-sbt-vi-oc-cho-goi-500gr-i2789095193.html</v>
      </c>
      <c r="C2544" s="10" t="s">
        <v>2544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8">
        <v>7399.0</v>
      </c>
      <c r="B2545" s="9" t="str">
        <f>HYPERLINK("https://www.lazada.vn/products/ruou-com-u-men-thom-ngon-ruou-com-chuan-vi-ha-giang-i2666692656.html", "https://www.lazada.vn/products/ruou-com-u-men-thom-ngon-ruou-com-chuan-vi-ha-giang-i2666692656.html")</f>
        <v>https://www.lazada.vn/products/ruou-com-u-men-thom-ngon-ruou-com-chuan-vi-ha-giang-i2666692656.html</v>
      </c>
      <c r="C2545" s="10" t="s">
        <v>2545</v>
      </c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8">
        <v>7400.0</v>
      </c>
      <c r="B2546" s="9" t="str">
        <f>HYPERLINK("https://www.lazada.vn/products/bia-thu-cong-rooster-beers-bia-ga-dark-thung-10-lon-sleek-x-330ml-i2698076473.html", "https://www.lazada.vn/products/bia-thu-cong-rooster-beers-bia-ga-dark-thung-10-lon-sleek-x-330ml-i2698076473.html")</f>
        <v>https://www.lazada.vn/products/bia-thu-cong-rooster-beers-bia-ga-dark-thung-10-lon-sleek-x-330ml-i2698076473.html</v>
      </c>
      <c r="C2546" s="10" t="s">
        <v>2546</v>
      </c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8">
        <v>7401.0</v>
      </c>
      <c r="B2547" s="9" t="str">
        <f>HYPERLINK("https://www.lazada.vn/products/nuoc-soda-sangaria-noi-dia-nhat-500ml-vi-nho-tu-nhien-dua-luoi-i2828519309.html", "https://www.lazada.vn/products/nuoc-soda-sangaria-noi-dia-nhat-500ml-vi-nho-tu-nhien-dua-luoi-i2828519309.html")</f>
        <v>https://www.lazada.vn/products/nuoc-soda-sangaria-noi-dia-nhat-500ml-vi-nho-tu-nhien-dua-luoi-i2828519309.html</v>
      </c>
      <c r="C2547" s="10" t="s">
        <v>2547</v>
      </c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8">
        <v>7402.0</v>
      </c>
      <c r="B2548" s="9" t="str">
        <f>HYPERLINK("https://www.lazada.vn/products/keo-dieu-uoc-keo-hac-giay-1kg-keo-kim-cuong-huong-vi-trai-cay-mix-vi-nhieu-mau-banh-keo-tet-do-an-vat-i2809605041.html", "https://www.lazada.vn/products/keo-dieu-uoc-keo-hac-giay-1kg-keo-kim-cuong-huong-vi-trai-cay-mix-vi-nhieu-mau-banh-keo-tet-do-an-vat-i2809605041.html")</f>
        <v>https://www.lazada.vn/products/keo-dieu-uoc-keo-hac-giay-1kg-keo-kim-cuong-huong-vi-trai-cay-mix-vi-nhieu-mau-banh-keo-tet-do-an-vat-i2809605041.html</v>
      </c>
      <c r="C2548" s="10" t="s">
        <v>2548</v>
      </c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8">
        <v>7403.0</v>
      </c>
      <c r="B2549" s="9" t="str">
        <f>HYPERLINK("https://www.lazada.vn/products/mam-ca-com-nguyen-chat-hu-500gr-i3050436781.html", "https://www.lazada.vn/products/mam-ca-com-nguyen-chat-hu-500gr-i3050436781.html")</f>
        <v>https://www.lazada.vn/products/mam-ca-com-nguyen-chat-hu-500gr-i3050436781.html</v>
      </c>
      <c r="C2549" s="10" t="s">
        <v>2549</v>
      </c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8">
        <v>7404.0</v>
      </c>
      <c r="B2550" s="9" t="str">
        <f>HYPERLINK("https://www.lazada.vn/products/siro-xuyen-boi-ty-ba-300ml-cao-niem-tu-am-giam-ho-dau-hong-ho-khan-hieu-qua-cho-lon-sac-dep-i2666206397.html", "https://www.lazada.vn/products/siro-xuyen-boi-ty-ba-300ml-cao-niem-tu-am-giam-ho-dau-hong-ho-khan-hieu-qua-cho-lon-sac-dep-i2666206397.html")</f>
        <v>https://www.lazada.vn/products/siro-xuyen-boi-ty-ba-300ml-cao-niem-tu-am-giam-ho-dau-hong-ho-khan-hieu-qua-cho-lon-sac-dep-i2666206397.html</v>
      </c>
      <c r="C2550" s="10" t="s">
        <v>2550</v>
      </c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8">
        <v>7405.0</v>
      </c>
      <c r="B2551" s="9" t="str">
        <f>HYPERLINK("https://www.lazada.vn/products/luong-kho-mini-sbt-vi-viet-quat-goi-500gr-i2788991046.html", "https://www.lazada.vn/products/luong-kho-mini-sbt-vi-viet-quat-goi-500gr-i2788991046.html")</f>
        <v>https://www.lazada.vn/products/luong-kho-mini-sbt-vi-viet-quat-goi-500gr-i2788991046.html</v>
      </c>
      <c r="C2551" s="10" t="s">
        <v>2551</v>
      </c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8">
        <v>7406.0</v>
      </c>
      <c r="B2552" s="9" t="str">
        <f>HYPERLINK("https://www.lazada.vn/products/1-lang-keo-mut-sua-milkita-khoang-9-cay-i2809015377.html", "https://www.lazada.vn/products/1-lang-keo-mut-sua-milkita-khoang-9-cay-i2809015377.html")</f>
        <v>https://www.lazada.vn/products/1-lang-keo-mut-sua-milkita-khoang-9-cay-i2809015377.html</v>
      </c>
      <c r="C2552" s="10" t="s">
        <v>2552</v>
      </c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8">
        <v>7407.0</v>
      </c>
      <c r="B2553" s="9" t="str">
        <f>HYPERLINK("https://www.lazada.vn/products/bia-thu-cong-rooster-beers-bia-ga-blonde-thung-10-lon-cao-sleek-can-i2698040677.html", "https://www.lazada.vn/products/bia-thu-cong-rooster-beers-bia-ga-blonde-thung-10-lon-cao-sleek-can-i2698040677.html")</f>
        <v>https://www.lazada.vn/products/bia-thu-cong-rooster-beers-bia-ga-blonde-thung-10-lon-cao-sleek-can-i2698040677.html</v>
      </c>
      <c r="C2553" s="10" t="s">
        <v>2553</v>
      </c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8">
        <v>7408.0</v>
      </c>
      <c r="B2554" s="9" t="str">
        <f>HYPERLINK("https://www.lazada.vn/products/combo-10-chai-siro-dai-dam-duc-thinh-3t-duc-thinh-group-chai-200ml-i2665061481.html", "https://www.lazada.vn/products/combo-10-chai-siro-dai-dam-duc-thinh-3t-duc-thinh-group-chai-200ml-i2665061481.html")</f>
        <v>https://www.lazada.vn/products/combo-10-chai-siro-dai-dam-duc-thinh-3t-duc-thinh-group-chai-200ml-i2665061481.html</v>
      </c>
      <c r="C2554" s="10" t="s">
        <v>2554</v>
      </c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8">
        <v>7409.0</v>
      </c>
      <c r="B2555" s="9" t="str">
        <f>HYPERLINK("https://www.lazada.vn/products/luong-kho-mini-sbt-vi-kiwi-goi-500gr-i2788957516.html", "https://www.lazada.vn/products/luong-kho-mini-sbt-vi-kiwi-goi-500gr-i2788957516.html")</f>
        <v>https://www.lazada.vn/products/luong-kho-mini-sbt-vi-kiwi-goi-500gr-i2788957516.html</v>
      </c>
      <c r="C2555" s="10" t="s">
        <v>2555</v>
      </c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8">
        <v>7410.0</v>
      </c>
      <c r="B2556" s="9" t="str">
        <f>HYPERLINK("https://www.lazada.vn/products/keo-mut-pho-mai-sua-bo-trai-cay-mix-nhieu-vi-10-cay-le-banh-keo-an-vat-i2808642729.html", "https://www.lazada.vn/products/keo-mut-pho-mai-sua-bo-trai-cay-mix-nhieu-vi-10-cay-le-banh-keo-an-vat-i2808642729.html")</f>
        <v>https://www.lazada.vn/products/keo-mut-pho-mai-sua-bo-trai-cay-mix-nhieu-vi-10-cay-le-banh-keo-an-vat-i2808642729.html</v>
      </c>
      <c r="C2556" s="10" t="s">
        <v>2556</v>
      </c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8">
        <v>7411.0</v>
      </c>
      <c r="B2557" s="9" t="str">
        <f>HYPERLINK("https://www.lazada.vn/products/siro-dai-dam-duc-thinh-3t-duc-thinh-group-chai-200ml-i2664936556.html", "https://www.lazada.vn/products/siro-dai-dam-duc-thinh-3t-duc-thinh-group-chai-200ml-i2664936556.html")</f>
        <v>https://www.lazada.vn/products/siro-dai-dam-duc-thinh-3t-duc-thinh-group-chai-200ml-i2664936556.html</v>
      </c>
      <c r="C2557" s="10" t="s">
        <v>2557</v>
      </c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8">
        <v>7412.0</v>
      </c>
      <c r="B2558" s="9" t="str">
        <f>HYPERLINK("https://www.lazada.vn/products/luong-kho-mini-sbt-vi-socola-goi-500gr-i2788947686.html", "https://www.lazada.vn/products/luong-kho-mini-sbt-vi-socola-goi-500gr-i2788947686.html")</f>
        <v>https://www.lazada.vn/products/luong-kho-mini-sbt-vi-socola-goi-500gr-i2788947686.html</v>
      </c>
      <c r="C2558" s="10" t="s">
        <v>2558</v>
      </c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8">
        <v>7413.0</v>
      </c>
      <c r="B2559" s="9" t="str">
        <f>HYPERLINK("https://www.lazada.vn/products/keo-dieu-uoc-keo-hac-giay-500g-keo-kim-cuong-huong-vi-trai-cay-mix-vi-nhieu-mau-banh-keo-tet-do-an-vat-i2808321301.html", "https://www.lazada.vn/products/keo-dieu-uoc-keo-hac-giay-500g-keo-kim-cuong-huong-vi-trai-cay-mix-vi-nhieu-mau-banh-keo-tet-do-an-vat-i2808321301.html")</f>
        <v>https://www.lazada.vn/products/keo-dieu-uoc-keo-hac-giay-500g-keo-kim-cuong-huong-vi-trai-cay-mix-vi-nhieu-mau-banh-keo-tet-do-an-vat-i2808321301.html</v>
      </c>
      <c r="C2559" s="10" t="s">
        <v>2559</v>
      </c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8">
        <v>7414.0</v>
      </c>
      <c r="B2560" s="9" t="str">
        <f>HYPERLINK("https://www.lazada.vn/products/luong-kho-mini-sbt-vi-hat-dieu-goi-500gr-i2788857959.html", "https://www.lazada.vn/products/luong-kho-mini-sbt-vi-hat-dieu-goi-500gr-i2788857959.html")</f>
        <v>https://www.lazada.vn/products/luong-kho-mini-sbt-vi-hat-dieu-goi-500gr-i2788857959.html</v>
      </c>
      <c r="C2560" s="10" t="s">
        <v>2560</v>
      </c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8">
        <v>7415.0</v>
      </c>
      <c r="B2561" s="9" t="str">
        <f>HYPERLINK("https://www.lazada.vn/products/siro-la-phong-canada-nguyen-chat-dac-biet-cao-cap-tu-me-dau-tien-queen-special-batch-pure-canadian-maple-syrup-250ml-i2664589810.html", "https://www.lazada.vn/products/siro-la-phong-canada-nguyen-chat-dac-biet-cao-cap-tu-me-dau-tien-queen-special-batch-pure-canadian-maple-syrup-250ml-i2664589810.html")</f>
        <v>https://www.lazada.vn/products/siro-la-phong-canada-nguyen-chat-dac-biet-cao-cap-tu-me-dau-tien-queen-special-batch-pure-canadian-maple-syrup-250ml-i2664589810.html</v>
      </c>
      <c r="C2561" s="10" t="s">
        <v>2561</v>
      </c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8">
        <v>7416.0</v>
      </c>
      <c r="B2562" s="9" t="str">
        <f>HYPERLINK("https://www.lazada.vn/products/20-chiec-keo-mut-bo-sung-sat-cho-be-happyvitamin-canxisat-huu-co-ho-tro-tao-hong-caungua-thieu-maukhoe-manh-hong-hao-i2805983959.html", "https://www.lazada.vn/products/20-chiec-keo-mut-bo-sung-sat-cho-be-happyvitamin-canxisat-huu-co-ho-tro-tao-hong-caungua-thieu-maukhoe-manh-hong-hao-i2805983959.html")</f>
        <v>https://www.lazada.vn/products/20-chiec-keo-mut-bo-sung-sat-cho-be-happyvitamin-canxisat-huu-co-ho-tro-tao-hong-caungua-thieu-maukhoe-manh-hong-hao-i2805983959.html</v>
      </c>
      <c r="C2562" s="10" t="s">
        <v>2562</v>
      </c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8">
        <v>7417.0</v>
      </c>
      <c r="B2563" s="9" t="str">
        <f>HYPERLINK("https://www.lazada.vn/products/luong-kho-mini-sbt-mix-13-vi-goi-500gr-them-nhieu-vi-them-nhieu-trai-nghiem-thom-ngon-va-bo-duong-i2788854154.html", "https://www.lazada.vn/products/luong-kho-mini-sbt-mix-13-vi-goi-500gr-them-nhieu-vi-them-nhieu-trai-nghiem-thom-ngon-va-bo-duong-i2788854154.html")</f>
        <v>https://www.lazada.vn/products/luong-kho-mini-sbt-mix-13-vi-goi-500gr-them-nhieu-vi-them-nhieu-trai-nghiem-thom-ngon-va-bo-duong-i2788854154.html</v>
      </c>
      <c r="C2563" s="10" t="s">
        <v>2563</v>
      </c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8">
        <v>7418.0</v>
      </c>
      <c r="B2564" s="9" t="str">
        <f>HYPERLINK("https://www.lazada.vn/products/siro-vinasyrup-chai-750ml-syrup-lam-tra-dao-tra-trai-cay-du-cac-mui-vi-i2663941957.html", "https://www.lazada.vn/products/siro-vinasyrup-chai-750ml-syrup-lam-tra-dao-tra-trai-cay-du-cac-mui-vi-i2663941957.html")</f>
        <v>https://www.lazada.vn/products/siro-vinasyrup-chai-750ml-syrup-lam-tra-dao-tra-trai-cay-du-cac-mui-vi-i2663941957.html</v>
      </c>
      <c r="C2564" s="10" t="s">
        <v>2564</v>
      </c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8">
        <v>7419.0</v>
      </c>
      <c r="B2565" s="9" t="str">
        <f>HYPERLINK("https://www.lazada.vn/products/keo-lac-van-giang-hai-duong-i2805647997.html", "https://www.lazada.vn/products/keo-lac-van-giang-hai-duong-i2805647997.html")</f>
        <v>https://www.lazada.vn/products/keo-lac-van-giang-hai-duong-i2805647997.html</v>
      </c>
      <c r="C2565" s="10" t="s">
        <v>2565</v>
      </c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8">
        <v>7420.0</v>
      </c>
      <c r="B2566" s="9" t="str">
        <f>HYPERLINK("https://www.lazada.vn/products/tui-300g-keo-nuoc-ngot-mix-nhieu-vi-sieu-ngon-i2803850335.html", "https://www.lazada.vn/products/tui-300g-keo-nuoc-ngot-mix-nhieu-vi-sieu-ngon-i2803850335.html")</f>
        <v>https://www.lazada.vn/products/tui-300g-keo-nuoc-ngot-mix-nhieu-vi-sieu-ngon-i2803850335.html</v>
      </c>
      <c r="C2566" s="10" t="s">
        <v>2566</v>
      </c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8">
        <v>7421.0</v>
      </c>
      <c r="B2567" s="9" t="str">
        <f>HYPERLINK("https://www.lazada.vn/products/siro-hat-de-pha-chesyrup-hazelnut-kingteaxt-chai-thuy-tinh-800ml-i2663287718.html", "https://www.lazada.vn/products/siro-hat-de-pha-chesyrup-hazelnut-kingteaxt-chai-thuy-tinh-800ml-i2663287718.html")</f>
        <v>https://www.lazada.vn/products/siro-hat-de-pha-chesyrup-hazelnut-kingteaxt-chai-thuy-tinh-800ml-i2663287718.html</v>
      </c>
      <c r="C2567" s="10" t="s">
        <v>2567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8">
        <v>7422.0</v>
      </c>
      <c r="B2568" s="9" t="str">
        <f>HYPERLINK("https://www.lazada.vn/products/keo-sua-bo-yak-nguyen-chat-vien-nen-goi-250gr-an-vat-denfood-i2802111392.html", "https://www.lazada.vn/products/keo-sua-bo-yak-nguyen-chat-vien-nen-goi-250gr-an-vat-denfood-i2802111392.html")</f>
        <v>https://www.lazada.vn/products/keo-sua-bo-yak-nguyen-chat-vien-nen-goi-250gr-an-vat-denfood-i2802111392.html</v>
      </c>
      <c r="C2568" s="10" t="s">
        <v>2568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8">
        <v>7423.0</v>
      </c>
      <c r="B2569" s="9" t="str">
        <f>HYPERLINK("https://www.lazada.vn/products/siro-khong-calo-huong-bac-ha-longbeach-mint-zero-calorie-concentrated-flavoured-syrup-740-ml-i2662034291.html", "https://www.lazada.vn/products/siro-khong-calo-huong-bac-ha-longbeach-mint-zero-calorie-concentrated-flavoured-syrup-740-ml-i2662034291.html")</f>
        <v>https://www.lazada.vn/products/siro-khong-calo-huong-bac-ha-longbeach-mint-zero-calorie-concentrated-flavoured-syrup-740-ml-i2662034291.html</v>
      </c>
      <c r="C2569" s="10" t="s">
        <v>2569</v>
      </c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8">
        <v>7424.0</v>
      </c>
      <c r="B2570" s="9" t="str">
        <f>HYPERLINK("https://www.lazada.vn/products/banh-pia-thap-cam-ga-quay-8-trung-muoi-hop-550g-i2775696157.html", "https://www.lazada.vn/products/banh-pia-thap-cam-ga-quay-8-trung-muoi-hop-550g-i2775696157.html")</f>
        <v>https://www.lazada.vn/products/banh-pia-thap-cam-ga-quay-8-trung-muoi-hop-550g-i2775696157.html</v>
      </c>
      <c r="C2570" s="10" t="s">
        <v>2570</v>
      </c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8">
        <v>7425.0</v>
      </c>
      <c r="B2571" s="9" t="str">
        <f>HYPERLINK("https://www.lazada.vn/products/keo-tao-do-kep-sua-burger-sieu-hot-hit-hop-500-gram-i2800762546.html", "https://www.lazada.vn/products/keo-tao-do-kep-sua-burger-sieu-hot-hit-hop-500-gram-i2800762546.html")</f>
        <v>https://www.lazada.vn/products/keo-tao-do-kep-sua-burger-sieu-hot-hit-hop-500-gram-i2800762546.html</v>
      </c>
      <c r="C2571" s="10" t="s">
        <v>2571</v>
      </c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8">
        <v>7426.0</v>
      </c>
      <c r="B2572" s="9" t="str">
        <f>HYPERLINK("https://www.lazada.vn/products/kirkland-binh-1-l-si-ro-cay-phong-huu-co-canada-organic-maple-syrup-i2661992652.html", "https://www.lazada.vn/products/kirkland-binh-1-l-si-ro-cay-phong-huu-co-canada-organic-maple-syrup-i2661992652.html")</f>
        <v>https://www.lazada.vn/products/kirkland-binh-1-l-si-ro-cay-phong-huu-co-canada-organic-maple-syrup-i2661992652.html</v>
      </c>
      <c r="C2572" s="10" t="s">
        <v>2572</v>
      </c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8">
        <v>7427.0</v>
      </c>
      <c r="B2573" s="9" t="str">
        <f>HYPERLINK("https://www.lazada.vn/products/buon-si-luong-kho-mix-12-vi-0359174312-i2773856990.html", "https://www.lazada.vn/products/buon-si-luong-kho-mix-12-vi-0359174312-i2773856990.html")</f>
        <v>https://www.lazada.vn/products/buon-si-luong-kho-mix-12-vi-0359174312-i2773856990.html</v>
      </c>
      <c r="C2573" s="10" t="s">
        <v>2573</v>
      </c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8">
        <v>7428.0</v>
      </c>
      <c r="B2574" s="9" t="str">
        <f>HYPERLINK("https://www.lazada.vn/products/combo-10-goi-keo-bip-c-tuoi-tho-tang-de-khang-i2800480603.html", "https://www.lazada.vn/products/combo-10-goi-keo-bip-c-tuoi-tho-tang-de-khang-i2800480603.html")</f>
        <v>https://www.lazada.vn/products/combo-10-goi-keo-bip-c-tuoi-tho-tang-de-khang-i2800480603.html</v>
      </c>
      <c r="C2574" s="10" t="s">
        <v>2574</v>
      </c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8">
        <v>7429.0</v>
      </c>
      <c r="B2575" s="9" t="str">
        <f>HYPERLINK("https://www.lazada.vn/products/siro-syrup-casablanca-syrup-lam-tra-trai-cay-da-bao-cac-loai-thuc-uong-pha-che-du-mui-vi-i2661898774.html", "https://www.lazada.vn/products/siro-syrup-casablanca-syrup-lam-tra-trai-cay-da-bao-cac-loai-thuc-uong-pha-che-du-mui-vi-i2661898774.html")</f>
        <v>https://www.lazada.vn/products/siro-syrup-casablanca-syrup-lam-tra-trai-cay-da-bao-cac-loai-thuc-uong-pha-che-du-mui-vi-i2661898774.html</v>
      </c>
      <c r="C2575" s="10" t="s">
        <v>2575</v>
      </c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8">
        <v>7430.0</v>
      </c>
      <c r="B2576" s="9" t="str">
        <f>HYPERLINK("https://www.lazada.vn/products/banh-trang-cuon-thit-dac-san-tay-ninh-banh-sieu-mong-deo-ngon-khong-can-nhung-nuoc-ut-ha-dac-san-i2773480286.html", "https://www.lazada.vn/products/banh-trang-cuon-thit-dac-san-tay-ninh-banh-sieu-mong-deo-ngon-khong-can-nhung-nuoc-ut-ha-dac-san-i2773480286.html")</f>
        <v>https://www.lazada.vn/products/banh-trang-cuon-thit-dac-san-tay-ninh-banh-sieu-mong-deo-ngon-khong-can-nhung-nuoc-ut-ha-dac-san-i2773480286.html</v>
      </c>
      <c r="C2576" s="10" t="s">
        <v>2576</v>
      </c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8">
        <v>7431.0</v>
      </c>
      <c r="B2577" s="9" t="str">
        <f>HYPERLINK("https://www.lazada.vn/products/keo-dua-dua-non-la-dua-250g-i2800304555.html", "https://www.lazada.vn/products/keo-dua-dua-non-la-dua-250g-i2800304555.html")</f>
        <v>https://www.lazada.vn/products/keo-dua-dua-non-la-dua-250g-i2800304555.html</v>
      </c>
      <c r="C2577" s="10" t="s">
        <v>2577</v>
      </c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8">
        <v>7432.0</v>
      </c>
      <c r="B2578" s="9" t="str">
        <f>HYPERLINK("https://www.lazada.vn/products/thanh-phat-con-thach-hop-khong-can-du-lich-cam-trai-lau-nuong-i2661114219.html", "https://www.lazada.vn/products/thanh-phat-con-thach-hop-khong-can-du-lich-cam-trai-lau-nuong-i2661114219.html")</f>
        <v>https://www.lazada.vn/products/thanh-phat-con-thach-hop-khong-can-du-lich-cam-trai-lau-nuong-i2661114219.html</v>
      </c>
      <c r="C2578" s="10" t="s">
        <v>2578</v>
      </c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8">
        <v>7433.0</v>
      </c>
      <c r="B2579" s="9" t="str">
        <f>HYPERLINK("https://www.lazada.vn/products/banh-trung-custas-hop-282g-shop_japangood-i2772636253.html", "https://www.lazada.vn/products/banh-trung-custas-hop-282g-shop_japangood-i2772636253.html")</f>
        <v>https://www.lazada.vn/products/banh-trung-custas-hop-282g-shop_japangood-i2772636253.html</v>
      </c>
      <c r="C2579" s="10" t="s">
        <v>2579</v>
      </c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8">
        <v>7434.0</v>
      </c>
      <c r="B2580" s="9" t="str">
        <f>HYPERLINK("https://www.lazada.vn/products/keo-sam-miss-vi-dau-thom-ngon-tach-le-i2798842047.html", "https://www.lazada.vn/products/keo-sam-miss-vi-dau-thom-ngon-tach-le-i2798842047.html")</f>
        <v>https://www.lazada.vn/products/keo-sam-miss-vi-dau-thom-ngon-tach-le-i2798842047.html</v>
      </c>
      <c r="C2580" s="10" t="s">
        <v>2580</v>
      </c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8">
        <v>7435.0</v>
      </c>
      <c r="B2581" s="9" t="str">
        <f>HYPERLINK("https://www.lazada.vn/products/siro-ho-prospan-hang-noi-dia-phap-100ml-i2660737574.html", "https://www.lazada.vn/products/siro-ho-prospan-hang-noi-dia-phap-100ml-i2660737574.html")</f>
        <v>https://www.lazada.vn/products/siro-ho-prospan-hang-noi-dia-phap-100ml-i2660737574.html</v>
      </c>
      <c r="C2581" s="10" t="s">
        <v>2581</v>
      </c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8">
        <v>7436.0</v>
      </c>
      <c r="B2582" s="9" t="str">
        <f>HYPERLINK("https://www.lazada.vn/products/keo-6-loai-trai-cay-c-eikodo-nhat-ban-vitamin-c-goi-120g-i2797137219.html", "https://www.lazada.vn/products/keo-6-loai-trai-cay-c-eikodo-nhat-ban-vitamin-c-goi-120g-i2797137219.html")</f>
        <v>https://www.lazada.vn/products/keo-6-loai-trai-cay-c-eikodo-nhat-ban-vitamin-c-goi-120g-i2797137219.html</v>
      </c>
      <c r="C2582" s="10" t="s">
        <v>2582</v>
      </c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8">
        <v>7437.0</v>
      </c>
      <c r="B2583" s="9" t="str">
        <f>HYPERLINK("https://www.lazada.vn/products/siro-golden-farm-chai-520ml-hoa-hong-i2659237781.html", "https://www.lazada.vn/products/siro-golden-farm-chai-520ml-hoa-hong-i2659237781.html")</f>
        <v>https://www.lazada.vn/products/siro-golden-farm-chai-520ml-hoa-hong-i2659237781.html</v>
      </c>
      <c r="C2583" s="10" t="s">
        <v>2583</v>
      </c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8">
        <v>7438.0</v>
      </c>
      <c r="B2584" s="9" t="str">
        <f>HYPERLINK("https://www.lazada.vn/products/keo-gung-deo-duong-nau-tui-500g-gung-lat-nguyen-chat-duong-nau-bo-duong-an-vat-denfood-i2795558801.html", "https://www.lazada.vn/products/keo-gung-deo-duong-nau-tui-500g-gung-lat-nguyen-chat-duong-nau-bo-duong-an-vat-denfood-i2795558801.html")</f>
        <v>https://www.lazada.vn/products/keo-gung-deo-duong-nau-tui-500g-gung-lat-nguyen-chat-duong-nau-bo-duong-an-vat-denfood-i2795558801.html</v>
      </c>
      <c r="C2584" s="10" t="s">
        <v>2584</v>
      </c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8">
        <v>7439.0</v>
      </c>
      <c r="B2585" s="9" t="str">
        <f>HYPERLINK("https://www.lazada.vn/products/siro-golden-farm-chai-520ml-la-dua-i2659066280.html", "https://www.lazada.vn/products/siro-golden-farm-chai-520ml-la-dua-i2659066280.html")</f>
        <v>https://www.lazada.vn/products/siro-golden-farm-chai-520ml-la-dua-i2659066280.html</v>
      </c>
      <c r="C2585" s="10" t="s">
        <v>2585</v>
      </c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8">
        <v>7440.0</v>
      </c>
      <c r="B2586" s="9" t="str">
        <f>HYPERLINK("https://www.lazada.vn/products/500g-keo-me-cam-thao-chua-cay-thom-i2794831731.html", "https://www.lazada.vn/products/500g-keo-me-cam-thao-chua-cay-thom-i2794831731.html")</f>
        <v>https://www.lazada.vn/products/500g-keo-me-cam-thao-chua-cay-thom-i2794831731.html</v>
      </c>
      <c r="C2586" s="10" t="s">
        <v>2586</v>
      </c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8">
        <v>7441.0</v>
      </c>
      <c r="B2587" s="9" t="str">
        <f>HYPERLINK("https://www.lazada.vn/products/siro-golden-farm-chai-520ml-bac-ha-i2659060302.html", "https://www.lazada.vn/products/siro-golden-farm-chai-520ml-bac-ha-i2659060302.html")</f>
        <v>https://www.lazada.vn/products/siro-golden-farm-chai-520ml-bac-ha-i2659060302.html</v>
      </c>
      <c r="C2587" s="10" t="s">
        <v>2587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8">
        <v>7442.0</v>
      </c>
      <c r="B2588" s="9" t="str">
        <f>HYPERLINK("https://www.lazada.vn/products/500gram-keo-bac-ha-deo-gung-keo-u-tuoi-tho-nha-lam-quay-nguoc-tuoi-tho-i2792968606.html", "https://www.lazada.vn/products/500gram-keo-bac-ha-deo-gung-keo-u-tuoi-tho-nha-lam-quay-nguoc-tuoi-tho-i2792968606.html")</f>
        <v>https://www.lazada.vn/products/500gram-keo-bac-ha-deo-gung-keo-u-tuoi-tho-nha-lam-quay-nguoc-tuoi-tho-i2792968606.html</v>
      </c>
      <c r="C2588" s="10" t="s">
        <v>2588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8">
        <v>7443.0</v>
      </c>
      <c r="B2589" s="9" t="str">
        <f>HYPERLINK("https://www.lazada.vn/products/keo-deo-le-an-phe-mat-ong-the-mat-sang-khoai-mem-deo-thom-ngon-i2792335374.html", "https://www.lazada.vn/products/keo-deo-le-an-phe-mat-ong-the-mat-sang-khoai-mem-deo-thom-ngon-i2792335374.html")</f>
        <v>https://www.lazada.vn/products/keo-deo-le-an-phe-mat-ong-the-mat-sang-khoai-mem-deo-thom-ngon-i2792335374.html</v>
      </c>
      <c r="C2589" s="10" t="s">
        <v>2589</v>
      </c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8">
        <v>7444.0</v>
      </c>
      <c r="B2590" s="9" t="str">
        <f>HYPERLINK("https://www.lazada.vn/products/siro-golden-farm-chai-520ml-dao-i2658954877.html", "https://www.lazada.vn/products/siro-golden-farm-chai-520ml-dao-i2658954877.html")</f>
        <v>https://www.lazada.vn/products/siro-golden-farm-chai-520ml-dao-i2658954877.html</v>
      </c>
      <c r="C2590" s="10" t="s">
        <v>2590</v>
      </c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8">
        <v>7445.0</v>
      </c>
      <c r="B2591" s="9" t="str">
        <f>HYPERLINK("https://www.lazada.vn/products/hop-keo-mut-coi-thoi-giai-dieu-am-nhac-chupa-chups-melody-pops-hop-20-que-i2789065076.html", "https://www.lazada.vn/products/hop-keo-mut-coi-thoi-giai-dieu-am-nhac-chupa-chups-melody-pops-hop-20-que-i2789065076.html")</f>
        <v>https://www.lazada.vn/products/hop-keo-mut-coi-thoi-giai-dieu-am-nhac-chupa-chups-melody-pops-hop-20-que-i2789065076.html</v>
      </c>
      <c r="C2591" s="10" t="s">
        <v>2591</v>
      </c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8">
        <v>7446.0</v>
      </c>
      <c r="B2592" s="9" t="str">
        <f>HYPERLINK("https://www.lazada.vn/products/siro-golden-farm-chai-520ml-tao-i2658944506.html", "https://www.lazada.vn/products/siro-golden-farm-chai-520ml-tao-i2658944506.html")</f>
        <v>https://www.lazada.vn/products/siro-golden-farm-chai-520ml-tao-i2658944506.html</v>
      </c>
      <c r="C2592" s="10" t="s">
        <v>2592</v>
      </c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8">
        <v>7447.0</v>
      </c>
      <c r="B2593" s="9" t="str">
        <f>HYPERLINK("https://www.lazada.vn/products/keo-deo-chupa-chups-sour-belt-huong-trai-cay-hop-48-thanh-i2788963352.html", "https://www.lazada.vn/products/keo-deo-chupa-chups-sour-belt-huong-trai-cay-hop-48-thanh-i2788963352.html")</f>
        <v>https://www.lazada.vn/products/keo-deo-chupa-chups-sour-belt-huong-trai-cay-hop-48-thanh-i2788963352.html</v>
      </c>
      <c r="C2593" s="10" t="s">
        <v>2593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8">
        <v>7448.0</v>
      </c>
      <c r="B2594" s="9" t="str">
        <f>HYPERLINK("https://www.lazada.vn/products/siro-mama-rosa-chai-700ml-vani-i2658355744.html", "https://www.lazada.vn/products/siro-mama-rosa-chai-700ml-vani-i2658355744.html")</f>
        <v>https://www.lazada.vn/products/siro-mama-rosa-chai-700ml-vani-i2658355744.html</v>
      </c>
      <c r="C2594" s="10" t="s">
        <v>2594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8">
        <v>7449.0</v>
      </c>
      <c r="B2595" s="9" t="str">
        <f>HYPERLINK("https://www.lazada.vn/products/sinh-to-berrino-lam-sua-chua-panna-cotta-chai-le-120ml-250ml-date-xa-i2656318100.html", "https://www.lazada.vn/products/sinh-to-berrino-lam-sua-chua-panna-cotta-chai-le-120ml-250ml-date-xa-i2656318100.html")</f>
        <v>https://www.lazada.vn/products/sinh-to-berrino-lam-sua-chua-panna-cotta-chai-le-120ml-250ml-date-xa-i2656318100.html</v>
      </c>
      <c r="C2595" s="10" t="s">
        <v>2595</v>
      </c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8">
        <v>7450.0</v>
      </c>
      <c r="B2596" s="9" t="str">
        <f>HYPERLINK("https://www.lazada.vn/products/combo-100-vien-keo-sap-ca-phe-thom-ngon-nhan-vi-trai-cay-i2788187017.html", "https://www.lazada.vn/products/combo-100-vien-keo-sap-ca-phe-thom-ngon-nhan-vi-trai-cay-i2788187017.html")</f>
        <v>https://www.lazada.vn/products/combo-100-vien-keo-sap-ca-phe-thom-ngon-nhan-vi-trai-cay-i2788187017.html</v>
      </c>
      <c r="C2596" s="10" t="s">
        <v>2596</v>
      </c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8">
        <v>7451.0</v>
      </c>
      <c r="B2597" s="9" t="str">
        <f>HYPERLINK("https://www.lazada.vn/products/muc-kiwi-say-deo-chua-chua-ngot-ngot-nguyen-bao-food-i3050379687.html", "https://www.lazada.vn/products/muc-kiwi-say-deo-chua-chua-ngot-ngot-nguyen-bao-food-i3050379687.html")</f>
        <v>https://www.lazada.vn/products/muc-kiwi-say-deo-chua-chua-ngot-ngot-nguyen-bao-food-i3050379687.html</v>
      </c>
      <c r="C2597" s="10" t="s">
        <v>2597</v>
      </c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8">
        <v>7452.0</v>
      </c>
      <c r="B2598" s="9" t="str">
        <f>HYPERLINK("https://www.lazada.vn/products/siro-casa-blanca-chai-nhua-750ml-i2654374510.html", "https://www.lazada.vn/products/siro-casa-blanca-chai-nhua-750ml-i2654374510.html")</f>
        <v>https://www.lazada.vn/products/siro-casa-blanca-chai-nhua-750ml-i2654374510.html</v>
      </c>
      <c r="C2598" s="10" t="s">
        <v>2598</v>
      </c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8">
        <v>7453.0</v>
      </c>
      <c r="B2599" s="9" t="str">
        <f>HYPERLINK("https://www.lazada.vn/products/keo-sap-ong-trai-cay-du-vi-an-vat-denfood-i2787005876.html", "https://www.lazada.vn/products/keo-sap-ong-trai-cay-du-vi-an-vat-denfood-i2787005876.html")</f>
        <v>https://www.lazada.vn/products/keo-sap-ong-trai-cay-du-vi-an-vat-denfood-i2787005876.html</v>
      </c>
      <c r="C2599" s="10" t="s">
        <v>2599</v>
      </c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8">
        <v>7454.0</v>
      </c>
      <c r="B2600" s="9" t="str">
        <f>HYPERLINK("https://www.lazada.vn/products/mam-ca-linh-chau-doc-hu-500gr-i3050371979.html", "https://www.lazada.vn/products/mam-ca-linh-chau-doc-hu-500gr-i3050371979.html")</f>
        <v>https://www.lazada.vn/products/mam-ca-linh-chau-doc-hu-500gr-i3050371979.html</v>
      </c>
      <c r="C2600" s="10" t="s">
        <v>2600</v>
      </c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8">
        <v>7455.0</v>
      </c>
      <c r="B2601" s="9" t="str">
        <f>HYPERLINK("https://www.lazada.vn/products/siro-syrup-hestia-chai-750ml-i2654344065.html", "https://www.lazada.vn/products/siro-syrup-hestia-chai-750ml-i2654344065.html")</f>
        <v>https://www.lazada.vn/products/siro-syrup-hestia-chai-750ml-i2654344065.html</v>
      </c>
      <c r="C2601" s="10" t="s">
        <v>2601</v>
      </c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8">
        <v>7456.0</v>
      </c>
      <c r="B2602" s="9" t="str">
        <f>HYPERLINK("https://www.lazada.vn/products/bia-reeper-b-nhap-khau-duc-i2690853414.html", "https://www.lazada.vn/products/bia-reeper-b-nhap-khau-duc-i2690853414.html")</f>
        <v>https://www.lazada.vn/products/bia-reeper-b-nhap-khau-duc-i2690853414.html</v>
      </c>
      <c r="C2602" s="10" t="s">
        <v>2602</v>
      </c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8">
        <v>7457.0</v>
      </c>
      <c r="B2603" s="9" t="str">
        <f>HYPERLINK("https://www.lazada.vn/products/keo-sua-bo-non-vien-nen-mong-co-250g-k73-store-gia-ngan-i2786006090.html", "https://www.lazada.vn/products/keo-sua-bo-non-vien-nen-mong-co-250g-k73-store-gia-ngan-i2786006090.html")</f>
        <v>https://www.lazada.vn/products/keo-sua-bo-non-vien-nen-mong-co-250g-k73-store-gia-ngan-i2786006090.html</v>
      </c>
      <c r="C2603" s="10" t="s">
        <v>2603</v>
      </c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8">
        <v>7458.0</v>
      </c>
      <c r="B2604" s="9" t="str">
        <f>HYPERLINK("https://www.lazada.vn/products/siro-casa-blanca-chai-nhua-750ml-i2654297789.html", "https://www.lazada.vn/products/siro-casa-blanca-chai-nhua-750ml-i2654297789.html")</f>
        <v>https://www.lazada.vn/products/siro-casa-blanca-chai-nhua-750ml-i2654297789.html</v>
      </c>
      <c r="C2604" s="10" t="s">
        <v>2604</v>
      </c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8">
        <v>7459.0</v>
      </c>
      <c r="B2605" s="9" t="str">
        <f>HYPERLINK("https://www.lazada.vn/products/300gr_kho-ca-thieu-que-tam-gia-vi-dac-san-da-nang-i3049741256.html", "https://www.lazada.vn/products/300gr_kho-ca-thieu-que-tam-gia-vi-dac-san-da-nang-i3049741256.html")</f>
        <v>https://www.lazada.vn/products/300gr_kho-ca-thieu-que-tam-gia-vi-dac-san-da-nang-i3049741256.html</v>
      </c>
      <c r="C2605" s="10" t="s">
        <v>2605</v>
      </c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8">
        <v>7460.0</v>
      </c>
      <c r="B2606" s="9" t="str">
        <f>HYPERLINK("https://www.lazada.vn/products/keo-sua-bo-non-vien-nen-mong-co-250g-k73-chuyen-si-tpnk-i2785892448.html", "https://www.lazada.vn/products/keo-sua-bo-non-vien-nen-mong-co-250g-k73-chuyen-si-tpnk-i2785892448.html")</f>
        <v>https://www.lazada.vn/products/keo-sua-bo-non-vien-nen-mong-co-250g-k73-chuyen-si-tpnk-i2785892448.html</v>
      </c>
      <c r="C2606" s="10" t="s">
        <v>2606</v>
      </c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8">
        <v>7461.0</v>
      </c>
      <c r="B2607" s="9" t="str">
        <f>HYPERLINK("https://www.lazada.vn/products/da-ca-lac-trung-muoi-loai-1-gion-ngon-dam-vi-i3049468703.html", "https://www.lazada.vn/products/da-ca-lac-trung-muoi-loai-1-gion-ngon-dam-vi-i3049468703.html")</f>
        <v>https://www.lazada.vn/products/da-ca-lac-trung-muoi-loai-1-gion-ngon-dam-vi-i3049468703.html</v>
      </c>
      <c r="C2607" s="10" t="s">
        <v>2607</v>
      </c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8">
        <v>7462.0</v>
      </c>
      <c r="B2608" s="9" t="str">
        <f>HYPERLINK("https://www.lazada.vn/products/siro-sao-vang-dac-biet-chai-730ml-co-thit-trai-cay-i2654297204.html", "https://www.lazada.vn/products/siro-sao-vang-dac-biet-chai-730ml-co-thit-trai-cay-i2654297204.html")</f>
        <v>https://www.lazada.vn/products/siro-sao-vang-dac-biet-chai-730ml-co-thit-trai-cay-i2654297204.html</v>
      </c>
      <c r="C2608" s="10" t="s">
        <v>2608</v>
      </c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8">
        <v>7463.0</v>
      </c>
      <c r="B2609" s="9" t="str">
        <f>HYPERLINK("https://www.lazada.vn/products/keo-sua-bo-non-vien-nen-mong-co-250g-k73-beegin-mart-i2785861559.html", "https://www.lazada.vn/products/keo-sua-bo-non-vien-nen-mong-co-250g-k73-beegin-mart-i2785861559.html")</f>
        <v>https://www.lazada.vn/products/keo-sua-bo-non-vien-nen-mong-co-250g-k73-beegin-mart-i2785861559.html</v>
      </c>
      <c r="C2609" s="10" t="s">
        <v>2609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8">
        <v>7464.0</v>
      </c>
      <c r="B2610" s="9" t="str">
        <f>HYPERLINK("https://www.lazada.vn/products/loc-4-hop-ca-thu-roza-140g-sot-chua-ca-tha-lan-sieu-ngon-chat-luong-i3049426977.html", "https://www.lazada.vn/products/loc-4-hop-ca-thu-roza-140g-sot-chua-ca-tha-lan-sieu-ngon-chat-luong-i3049426977.html")</f>
        <v>https://www.lazada.vn/products/loc-4-hop-ca-thu-roza-140g-sot-chua-ca-tha-lan-sieu-ngon-chat-luong-i3049426977.html</v>
      </c>
      <c r="C2610" s="10" t="s">
        <v>2610</v>
      </c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8">
        <v>7465.0</v>
      </c>
      <c r="B2611" s="9" t="str">
        <f>HYPERLINK("https://www.lazada.vn/products/siro-chanh-vang-bickfords-chinh-hang-nhap-uc-750-ml-i2653817817.html", "https://www.lazada.vn/products/siro-chanh-vang-bickfords-chinh-hang-nhap-uc-750-ml-i2653817817.html")</f>
        <v>https://www.lazada.vn/products/siro-chanh-vang-bickfords-chinh-hang-nhap-uc-750-ml-i2653817817.html</v>
      </c>
      <c r="C2611" s="10" t="s">
        <v>2611</v>
      </c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8">
        <v>7466.0</v>
      </c>
      <c r="B2612" s="9" t="str">
        <f>HYPERLINK("https://www.lazada.vn/products/keo-sua-bo-non-vien-nen-mong-co-250g-k73-beegin-food-store-i2785769802.html", "https://www.lazada.vn/products/keo-sua-bo-non-vien-nen-mong-co-250g-k73-beegin-food-store-i2785769802.html")</f>
        <v>https://www.lazada.vn/products/keo-sua-bo-non-vien-nen-mong-co-250g-k73-beegin-food-store-i2785769802.html</v>
      </c>
      <c r="C2612" s="10" t="s">
        <v>2612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8">
        <v>7467.0</v>
      </c>
      <c r="B2613" s="9" t="str">
        <f>HYPERLINK("https://www.lazada.vn/products/xuc-xich-dau-trau-tu-xuyen-cay-te-i3049267221.html", "https://www.lazada.vn/products/xuc-xich-dau-trau-tu-xuyen-cay-te-i3049267221.html")</f>
        <v>https://www.lazada.vn/products/xuc-xich-dau-trau-tu-xuyen-cay-te-i3049267221.html</v>
      </c>
      <c r="C2613" s="10" t="s">
        <v>2613</v>
      </c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8">
        <v>7468.0</v>
      </c>
      <c r="B2614" s="9" t="str">
        <f>HYPERLINK("https://www.lazada.vn/products/siro-huong-bia-gung-bickfords-chinh-hang-nhap-uc-750-ml-i2653802863.html", "https://www.lazada.vn/products/siro-huong-bia-gung-bickfords-chinh-hang-nhap-uc-750-ml-i2653802863.html")</f>
        <v>https://www.lazada.vn/products/siro-huong-bia-gung-bickfords-chinh-hang-nhap-uc-750-ml-i2653802863.html</v>
      </c>
      <c r="C2614" s="10" t="s">
        <v>2614</v>
      </c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8">
        <v>7469.0</v>
      </c>
      <c r="B2615" s="9" t="str">
        <f>HYPERLINK("https://www.lazada.vn/products/tang-500gram-ruoc-xao-mam-thai-chau-doc-1kg-hieu-mam-coba-giao-thao-11111-i3049247479.html", "https://www.lazada.vn/products/tang-500gram-ruoc-xao-mam-thai-chau-doc-1kg-hieu-mam-coba-giao-thao-11111-i3049247479.html")</f>
        <v>https://www.lazada.vn/products/tang-500gram-ruoc-xao-mam-thai-chau-doc-1kg-hieu-mam-coba-giao-thao-11111-i3049247479.html</v>
      </c>
      <c r="C2615" s="10" t="s">
        <v>2615</v>
      </c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8">
        <v>7470.0</v>
      </c>
      <c r="B2616" s="9" t="str">
        <f>HYPERLINK("https://www.lazada.vn/products/beau-keo-deo-uong-trang-da-glutathione-collagen-lam-trang-da-chong-lao-hoa-giam-nam-mo-tham-i2785080131.html", "https://www.lazada.vn/products/beau-keo-deo-uong-trang-da-glutathione-collagen-lam-trang-da-chong-lao-hoa-giam-nam-mo-tham-i2785080131.html")</f>
        <v>https://www.lazada.vn/products/beau-keo-deo-uong-trang-da-glutathione-collagen-lam-trang-da-chong-lao-hoa-giam-nam-mo-tham-i2785080131.html</v>
      </c>
      <c r="C2616" s="10" t="s">
        <v>2616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8">
        <v>7471.0</v>
      </c>
      <c r="B2617" s="9" t="str">
        <f>HYPERLINK("https://www.lazada.vn/products/ha-phiu-lo-celosome-ban-noi-dia-1cchop-ha-phiu-lo-han-quoc-ha-phiu-lo-chinh-hang-i2652940752.html", "https://www.lazada.vn/products/ha-phiu-lo-celosome-ban-noi-dia-1cchop-ha-phiu-lo-han-quoc-ha-phiu-lo-chinh-hang-i2652940752.html")</f>
        <v>https://www.lazada.vn/products/ha-phiu-lo-celosome-ban-noi-dia-1cchop-ha-phiu-lo-han-quoc-ha-phiu-lo-chinh-hang-i2652940752.html</v>
      </c>
      <c r="C2617" s="10" t="s">
        <v>2617</v>
      </c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8">
        <v>7472.0</v>
      </c>
      <c r="B2618" s="9" t="str">
        <f>HYPERLINK("https://www.lazada.vn/products/ca-bo-rim-me-hai-san-an-lien-hu-150-gr-tap-hoa-hai-san-i3048989198.html", "https://www.lazada.vn/products/ca-bo-rim-me-hai-san-an-lien-hu-150-gr-tap-hoa-hai-san-i3048989198.html")</f>
        <v>https://www.lazada.vn/products/ca-bo-rim-me-hai-san-an-lien-hu-150-gr-tap-hoa-hai-san-i3048989198.html</v>
      </c>
      <c r="C2618" s="10" t="s">
        <v>2618</v>
      </c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8">
        <v>7473.0</v>
      </c>
      <c r="B2619" s="9" t="str">
        <f>HYPERLINK("https://www.lazada.vn/products/kirkland-signature-keo-deo-uong-trang-da-glutathione-collagen-lam-trang-da-chong-lao-hoa-giam-nam-mo-tham-i2784996343.html", "https://www.lazada.vn/products/kirkland-signature-keo-deo-uong-trang-da-glutathione-collagen-lam-trang-da-chong-lao-hoa-giam-nam-mo-tham-i2784996343.html")</f>
        <v>https://www.lazada.vn/products/kirkland-signature-keo-deo-uong-trang-da-glutathione-collagen-lam-trang-da-chong-lao-hoa-giam-nam-mo-tham-i2784996343.html</v>
      </c>
      <c r="C2619" s="10" t="s">
        <v>2619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8">
        <v>7474.0</v>
      </c>
      <c r="B2620" s="9" t="str">
        <f>HYPERLINK("https://www.lazada.vn/products/goi-405g-thach-xoai-coowy-pure-sieu-ngon-sieu-chat-luong-i2652299003.html", "https://www.lazada.vn/products/goi-405g-thach-xoai-coowy-pure-sieu-ngon-sieu-chat-luong-i2652299003.html")</f>
        <v>https://www.lazada.vn/products/goi-405g-thach-xoai-coowy-pure-sieu-ngon-sieu-chat-luong-i2652299003.html</v>
      </c>
      <c r="C2620" s="10" t="s">
        <v>2620</v>
      </c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8">
        <v>7475.0</v>
      </c>
      <c r="B2621" s="9" t="str">
        <f>HYPERLINK("https://www.lazada.vn/products/2-ca-ca-dong-dong-can-can-tuoi-tho-i3048988704.html", "https://www.lazada.vn/products/2-ca-ca-dong-dong-can-can-tuoi-tho-i3048988704.html")</f>
        <v>https://www.lazada.vn/products/2-ca-ca-dong-dong-can-can-tuoi-tho-i3048988704.html</v>
      </c>
      <c r="C2621" s="10" t="s">
        <v>2621</v>
      </c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8">
        <v>7476.0</v>
      </c>
      <c r="B2622" s="9" t="str">
        <f>HYPERLINK("https://www.lazada.vn/products/hoa-toc-hcm-loc-24-lon-nuoc-ngot-giai-khat-khong-duong-coca-cola-light-lon-320ml-sale-253-coca-cola-chinh-hang-i2581286670.html", "https://www.lazada.vn/products/hoa-toc-hcm-loc-24-lon-nuoc-ngot-giai-khat-khong-duong-coca-cola-light-lon-320ml-sale-253-coca-cola-chinh-hang-i2581286670.html")</f>
        <v>https://www.lazada.vn/products/hoa-toc-hcm-loc-24-lon-nuoc-ngot-giai-khat-khong-duong-coca-cola-light-lon-320ml-sale-253-coca-cola-chinh-hang-i2581286670.html</v>
      </c>
      <c r="C2622" s="10" t="s">
        <v>2622</v>
      </c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8">
        <v>7477.0</v>
      </c>
      <c r="B2623" s="9" t="str">
        <f>HYPERLINK("https://www.lazada.vn/products/ruou-vang-y-campi-rudi-rosso-puglia-750ml-13-i2186296209.html", "https://www.lazada.vn/products/ruou-vang-y-campi-rudi-rosso-puglia-750ml-13-i2186296209.html")</f>
        <v>https://www.lazada.vn/products/ruou-vang-y-campi-rudi-rosso-puglia-750ml-13-i2186296209.html</v>
      </c>
      <c r="C2623" s="10" t="s">
        <v>2623</v>
      </c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8">
        <v>7478.0</v>
      </c>
      <c r="B2624" s="9" t="str">
        <f>HYPERLINK("https://www.lazada.vn/products/banh-khoai-tay-nuong-tok-orion-vi-tao-bien-4p-i2841623299.html", "https://www.lazada.vn/products/banh-khoai-tay-nuong-tok-orion-vi-tao-bien-4p-i2841623299.html")</f>
        <v>https://www.lazada.vn/products/banh-khoai-tay-nuong-tok-orion-vi-tao-bien-4p-i2841623299.html</v>
      </c>
      <c r="C2624" s="10" t="s">
        <v>2624</v>
      </c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8">
        <v>7479.0</v>
      </c>
      <c r="B2625" s="9" t="str">
        <f>HYPERLINK("https://www.lazada.vn/products/nuoc-tang-luc-redbull-bo-huc-viet-lon-250ml-bo-sung-nang-luong-foodmap-i2604681796.html", "https://www.lazada.vn/products/nuoc-tang-luc-redbull-bo-huc-viet-lon-250ml-bo-sung-nang-luong-foodmap-i2604681796.html")</f>
        <v>https://www.lazada.vn/products/nuoc-tang-luc-redbull-bo-huc-viet-lon-250ml-bo-sung-nang-luong-foodmap-i2604681796.html</v>
      </c>
      <c r="C2625" s="10" t="s">
        <v>2625</v>
      </c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8">
        <v>7480.0</v>
      </c>
      <c r="B2626" s="9" t="str">
        <f>HYPERLINK("https://www.lazada.vn/products/date-t825-thung-hop-abbott-grow-gold-cacao-180mlhop-i2386540406.html", "https://www.lazada.vn/products/date-t825-thung-hop-abbott-grow-gold-cacao-180mlhop-i2386540406.html")</f>
        <v>https://www.lazada.vn/products/date-t825-thung-hop-abbott-grow-gold-cacao-180mlhop-i2386540406.html</v>
      </c>
      <c r="C2626" s="10" t="s">
        <v>2626</v>
      </c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8">
        <v>7481.0</v>
      </c>
      <c r="B2627" s="9" t="str">
        <f>HYPERLINK("https://www.lazada.vn/products/bia-50-original-lager-beer-bia-vang-thung-24-lon-x500ml-i2687505492.html", "https://www.lazada.vn/products/bia-50-original-lager-beer-bia-vang-thung-24-lon-x500ml-i2687505492.html")</f>
        <v>https://www.lazada.vn/products/bia-50-original-lager-beer-bia-vang-thung-24-lon-x500ml-i2687505492.html</v>
      </c>
      <c r="C2627" s="10" t="s">
        <v>2627</v>
      </c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8">
        <v>7482.0</v>
      </c>
      <c r="B2628" s="9" t="str">
        <f>HYPERLINK("https://www.lazada.vn/products/hoa-toc-hcm-loc-24-chai-nuoc-ngot-giai-khat-co-ga-coca-cola-390mlchai-sale-253-coca-cola-chinh-hang-i2581286648.html", "https://www.lazada.vn/products/hoa-toc-hcm-loc-24-chai-nuoc-ngot-giai-khat-co-ga-coca-cola-390mlchai-sale-253-coca-cola-chinh-hang-i2581286648.html")</f>
        <v>https://www.lazada.vn/products/hoa-toc-hcm-loc-24-chai-nuoc-ngot-giai-khat-co-ga-coca-cola-390mlchai-sale-253-coca-cola-chinh-hang-i2581286648.html</v>
      </c>
      <c r="C2628" s="10" t="s">
        <v>2628</v>
      </c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8">
        <v>7483.0</v>
      </c>
      <c r="B2629" s="9" t="str">
        <f>HYPERLINK("https://www.lazada.vn/products/ruou-vang-binh-benja-min-mendy-cabernet-sauvignon-3-lit-i2186020812.html", "https://www.lazada.vn/products/ruou-vang-binh-benja-min-mendy-cabernet-sauvignon-3-lit-i2186020812.html")</f>
        <v>https://www.lazada.vn/products/ruou-vang-binh-benja-min-mendy-cabernet-sauvignon-3-lit-i2186020812.html</v>
      </c>
      <c r="C2629" s="10" t="s">
        <v>2629</v>
      </c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8">
        <v>7484.0</v>
      </c>
      <c r="B2630" s="9" t="str">
        <f>HYPERLINK("https://www.lazada.vn/products/so-chu-soju-jisan-peach-135-360ml-vi-dao-i2743866101.html", "https://www.lazada.vn/products/so-chu-soju-jisan-peach-135-360ml-vi-dao-i2743866101.html")</f>
        <v>https://www.lazada.vn/products/so-chu-soju-jisan-peach-135-360ml-vi-dao-i2743866101.html</v>
      </c>
      <c r="C2630" s="10" t="s">
        <v>2630</v>
      </c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8">
        <v>7485.0</v>
      </c>
      <c r="B2631" s="9" t="str">
        <f>HYPERLINK("https://www.lazada.vn/products/hoa-toc-hcm-thungloc-24-lon-nuoc-ngot-giai-khat-co-ga-coca-cola-plus-foshu-320mllon-sale-253-coca-cola-chinh-hang-i2581280657.html", "https://www.lazada.vn/products/hoa-toc-hcm-thungloc-24-lon-nuoc-ngot-giai-khat-co-ga-coca-cola-plus-foshu-320mllon-sale-253-coca-cola-chinh-hang-i2581280657.html")</f>
        <v>https://www.lazada.vn/products/hoa-toc-hcm-thungloc-24-lon-nuoc-ngot-giai-khat-co-ga-coca-cola-plus-foshu-320mllon-sale-253-coca-cola-chinh-hang-i2581280657.html</v>
      </c>
      <c r="C2631" s="10" t="s">
        <v>2631</v>
      </c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8">
        <v>7486.0</v>
      </c>
      <c r="B2632" s="9" t="str">
        <f>HYPERLINK("https://www.lazada.vn/products/so-chu-soju-jisan-classic-169-360ml-vi-truyen-thong-i2743825124.html", "https://www.lazada.vn/products/so-chu-soju-jisan-classic-169-360ml-vi-truyen-thong-i2743825124.html")</f>
        <v>https://www.lazada.vn/products/so-chu-soju-jisan-classic-169-360ml-vi-truyen-thong-i2743825124.html</v>
      </c>
      <c r="C2632" s="10" t="s">
        <v>2632</v>
      </c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8">
        <v>7487.0</v>
      </c>
      <c r="B2633" s="9" t="str">
        <f>HYPERLINK("https://www.lazada.vn/products/hoa-toc-hcm-loc-6-lon-nuoc-ngot-giai-khat-khong-duong-coca-cola-zero-320mllon-sale-253-coca-cola-chinh-hang-i2581276610.html", "https://www.lazada.vn/products/hoa-toc-hcm-loc-6-lon-nuoc-ngot-giai-khat-khong-duong-coca-cola-zero-320mllon-sale-253-coca-cola-chinh-hang-i2581276610.html")</f>
        <v>https://www.lazada.vn/products/hoa-toc-hcm-loc-6-lon-nuoc-ngot-giai-khat-khong-duong-coca-cola-zero-320mllon-sale-253-coca-cola-chinh-hang-i2581276610.html</v>
      </c>
      <c r="C2633" s="10" t="s">
        <v>2633</v>
      </c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8">
        <v>7488.0</v>
      </c>
      <c r="B2634" s="9" t="str">
        <f>HYPERLINK("https://www.lazada.vn/products/so-chu-soju-jisan-grapefruit-135-360ml-vi-buoi-i2743661510.html", "https://www.lazada.vn/products/so-chu-soju-jisan-grapefruit-135-360ml-vi-buoi-i2743661510.html")</f>
        <v>https://www.lazada.vn/products/so-chu-soju-jisan-grapefruit-135-360ml-vi-buoi-i2743661510.html</v>
      </c>
      <c r="C2634" s="10" t="s">
        <v>2634</v>
      </c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8">
        <v>7489.0</v>
      </c>
      <c r="B2635" s="9" t="str">
        <f>HYPERLINK("https://www.lazada.vn/products/hoa-toc-hcm-thungloc-24-lon-nuoc-ngot-giai-khat-coca-cola-vi-nguyen-ban-original-320mlon-sale-253-coca-cola-chinh-hang-i2581276585.html", "https://www.lazada.vn/products/hoa-toc-hcm-thungloc-24-lon-nuoc-ngot-giai-khat-coca-cola-vi-nguyen-ban-original-320mlon-sale-253-coca-cola-chinh-hang-i2581276585.html")</f>
        <v>https://www.lazada.vn/products/hoa-toc-hcm-thungloc-24-lon-nuoc-ngot-giai-khat-coca-cola-vi-nguyen-ban-original-320mlon-sale-253-coca-cola-chinh-hang-i2581276585.html</v>
      </c>
      <c r="C2635" s="10" t="s">
        <v>2635</v>
      </c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8">
        <v>7490.0</v>
      </c>
      <c r="B2636" s="9" t="str">
        <f>HYPERLINK("https://www.lazada.vn/products/so-chu-soju-jisan-apple-135-360ml-vi-tao-i2743658547.html", "https://www.lazada.vn/products/so-chu-soju-jisan-apple-135-360ml-vi-tao-i2743658547.html")</f>
        <v>https://www.lazada.vn/products/so-chu-soju-jisan-apple-135-360ml-vi-tao-i2743658547.html</v>
      </c>
      <c r="C2636" s="10" t="s">
        <v>2636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8">
        <v>7491.0</v>
      </c>
      <c r="B2637" s="9" t="str">
        <f>HYPERLINK("https://www.lazada.vn/products/hoa-toc-hcm-thungloc-24-lon-nuoc-ngot-giai-khat-co-gas-fanta-nho-320mllon-sale-253-coca-cola-chinh-hang-i2581261385.html", "https://www.lazada.vn/products/hoa-toc-hcm-thungloc-24-lon-nuoc-ngot-giai-khat-co-gas-fanta-nho-320mllon-sale-253-coca-cola-chinh-hang-i2581261385.html")</f>
        <v>https://www.lazada.vn/products/hoa-toc-hcm-thungloc-24-lon-nuoc-ngot-giai-khat-co-gas-fanta-nho-320mllon-sale-253-coca-cola-chinh-hang-i2581261385.html</v>
      </c>
      <c r="C2637" s="10" t="s">
        <v>2637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8">
        <v>7492.0</v>
      </c>
      <c r="B2638" s="9" t="str">
        <f>HYPERLINK("https://www.lazada.vn/products/so-chu-soju-jisan-blueberry-135-360ml-vi-viet-quat-i2743628690.html", "https://www.lazada.vn/products/so-chu-soju-jisan-blueberry-135-360ml-vi-viet-quat-i2743628690.html")</f>
        <v>https://www.lazada.vn/products/so-chu-soju-jisan-blueberry-135-360ml-vi-viet-quat-i2743628690.html</v>
      </c>
      <c r="C2638" s="10" t="s">
        <v>2638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8">
        <v>7493.0</v>
      </c>
      <c r="B2639" s="9" t="str">
        <f>HYPERLINK("https://www.lazada.vn/products/hoa-toc-hcm-thung-24-lon-nuoc-ngot-giai-khat-co-gas-sprite-vi-chanh-235mllon-sale-253-coca-cola-chinh-hang-i2580951205.html", "https://www.lazada.vn/products/hoa-toc-hcm-thung-24-lon-nuoc-ngot-giai-khat-co-gas-sprite-vi-chanh-235mllon-sale-253-coca-cola-chinh-hang-i2580951205.html")</f>
        <v>https://www.lazada.vn/products/hoa-toc-hcm-thung-24-lon-nuoc-ngot-giai-khat-co-gas-sprite-vi-chanh-235mllon-sale-253-coca-cola-chinh-hang-i2580951205.html</v>
      </c>
      <c r="C2639" s="10" t="s">
        <v>2639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8">
        <v>7494.0</v>
      </c>
      <c r="B2640" s="9" t="str">
        <f>HYPERLINK("https://www.lazada.vn/products/so-chu-soju-jisan-360ml-i2743601797.html", "https://www.lazada.vn/products/so-chu-soju-jisan-360ml-i2743601797.html")</f>
        <v>https://www.lazada.vn/products/so-chu-soju-jisan-360ml-i2743601797.html</v>
      </c>
      <c r="C2640" s="10" t="s">
        <v>2640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8">
        <v>7495.0</v>
      </c>
      <c r="B2641" s="9" t="str">
        <f>HYPERLINK("https://www.lazada.vn/products/hoa-toc-hcm-loc-6-lon-nuoc-giai-khat-co-gas-fanta-huong-cam-320mllon-sale-253-coca-cola-chinh-hang-i2580916627.html", "https://www.lazada.vn/products/hoa-toc-hcm-loc-6-lon-nuoc-giai-khat-co-gas-fanta-huong-cam-320mllon-sale-253-coca-cola-chinh-hang-i2580916627.html")</f>
        <v>https://www.lazada.vn/products/hoa-toc-hcm-loc-6-lon-nuoc-giai-khat-co-gas-fanta-huong-cam-320mllon-sale-253-coca-cola-chinh-hang-i2580916627.html</v>
      </c>
      <c r="C2641" s="10" t="s">
        <v>2641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8">
        <v>7496.0</v>
      </c>
      <c r="B2642" s="9" t="str">
        <f>HYPERLINK("https://www.lazada.vn/products/so-chu-soju-jisan-grape-135-360ml-vi-nho-i2743571959.html", "https://www.lazada.vn/products/so-chu-soju-jisan-grape-135-360ml-vi-nho-i2743571959.html")</f>
        <v>https://www.lazada.vn/products/so-chu-soju-jisan-grape-135-360ml-vi-nho-i2743571959.html</v>
      </c>
      <c r="C2642" s="10" t="s">
        <v>2642</v>
      </c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8">
        <v>7497.0</v>
      </c>
      <c r="B2643" s="9" t="str">
        <f>HYPERLINK("https://www.lazada.vn/products/hoa-toc-hcm-thung-24-lon-nuoc-ngot-giai-khat-co-gas-fanta-vi-soda-kem-320mllon-sale-253-coca-cola-chinh-hang-i2580843516.html", "https://www.lazada.vn/products/hoa-toc-hcm-thung-24-lon-nuoc-ngot-giai-khat-co-gas-fanta-vi-soda-kem-320mllon-sale-253-coca-cola-chinh-hang-i2580843516.html")</f>
        <v>https://www.lazada.vn/products/hoa-toc-hcm-thung-24-lon-nuoc-ngot-giai-khat-co-gas-fanta-vi-soda-kem-320mllon-sale-253-coca-cola-chinh-hang-i2580843516.html</v>
      </c>
      <c r="C2643" s="10" t="s">
        <v>2643</v>
      </c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8">
        <v>7498.0</v>
      </c>
      <c r="B2644" s="9" t="str">
        <f>HYPERLINK("https://www.lazada.vn/products/thung-x-20-chai-so-chu-soulmate-soju-han-quoc-360ml-i2496136340.html", "https://www.lazada.vn/products/thung-x-20-chai-so-chu-soulmate-soju-han-quoc-360ml-i2496136340.html")</f>
        <v>https://www.lazada.vn/products/thung-x-20-chai-so-chu-soulmate-soju-han-quoc-360ml-i2496136340.html</v>
      </c>
      <c r="C2644" s="10" t="s">
        <v>2644</v>
      </c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8">
        <v>7499.0</v>
      </c>
      <c r="B2645" s="9" t="str">
        <f>HYPERLINK("https://www.lazada.vn/products/hoa-toc-hcm-thung-24-lon-nuoc-ngot-co-gas-fanta-vi-cam-320mllon-sale-253-coca-cola-chinh-hang-i2580842136.html", "https://www.lazada.vn/products/hoa-toc-hcm-thung-24-lon-nuoc-ngot-co-gas-fanta-vi-cam-320mllon-sale-253-coca-cola-chinh-hang-i2580842136.html")</f>
        <v>https://www.lazada.vn/products/hoa-toc-hcm-thung-24-lon-nuoc-ngot-co-gas-fanta-vi-cam-320mllon-sale-253-coca-cola-chinh-hang-i2580842136.html</v>
      </c>
      <c r="C2645" s="10" t="s">
        <v>2645</v>
      </c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8">
        <v>7500.0</v>
      </c>
      <c r="B2646" s="9" t="str">
        <f>HYPERLINK("https://www.lazada.vn/products/so-chu-jisan-soju-blueberry-135-350ml-vi-viet-quat-i2473589310.html", "https://www.lazada.vn/products/so-chu-jisan-soju-blueberry-135-350ml-vi-viet-quat-i2473589310.html")</f>
        <v>https://www.lazada.vn/products/so-chu-jisan-soju-blueberry-135-350ml-vi-viet-quat-i2473589310.html</v>
      </c>
      <c r="C2646" s="10" t="s">
        <v>2646</v>
      </c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8">
        <v>7501.0</v>
      </c>
      <c r="B2647" s="9" t="str">
        <f>HYPERLINK("https://www.lazada.vn/products/hoa-toc-hcm-loc-24-lon-nuoc-giai-khat-schweppes-nuoc-tonic-320mllon-sale-253-coca-cola-chinh-hang-i2580841712.html", "https://www.lazada.vn/products/hoa-toc-hcm-loc-24-lon-nuoc-giai-khat-schweppes-nuoc-tonic-320mllon-sale-253-coca-cola-chinh-hang-i2580841712.html")</f>
        <v>https://www.lazada.vn/products/hoa-toc-hcm-loc-24-lon-nuoc-giai-khat-schweppes-nuoc-tonic-320mllon-sale-253-coca-cola-chinh-hang-i2580841712.html</v>
      </c>
      <c r="C2647" s="10" t="s">
        <v>2647</v>
      </c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8">
        <v>7502.0</v>
      </c>
      <c r="B2648" s="9" t="str">
        <f>HYPERLINK("https://www.lazada.vn/products/so-chu-jisan-soju-135-360ml-vi-buoi-i2473563422.html", "https://www.lazada.vn/products/so-chu-jisan-soju-135-360ml-vi-buoi-i2473563422.html")</f>
        <v>https://www.lazada.vn/products/so-chu-jisan-soju-135-360ml-vi-buoi-i2473563422.html</v>
      </c>
      <c r="C2648" s="10" t="s">
        <v>2648</v>
      </c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8">
        <v>7503.0</v>
      </c>
      <c r="B2649" s="9" t="str">
        <f>HYPERLINK("https://www.lazada.vn/products/cao-siro-bach-ngoc-hoa-hong-sang-da-giu-am-nam-kinh-dong-nhan-duong-i2651854228.html", "https://www.lazada.vn/products/cao-siro-bach-ngoc-hoa-hong-sang-da-giu-am-nam-kinh-dong-nhan-duong-i2651854228.html")</f>
        <v>https://www.lazada.vn/products/cao-siro-bach-ngoc-hoa-hong-sang-da-giu-am-nam-kinh-dong-nhan-duong-i2651854228.html</v>
      </c>
      <c r="C2649" s="10" t="s">
        <v>2649</v>
      </c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8">
        <v>7504.0</v>
      </c>
      <c r="B2650" s="9" t="str">
        <f>HYPERLINK("https://www.lazada.vn/products/hoa-toc-hcm-loc-6-lon-nuoc-ngot-giai-khat-coca-cola-vi-nguyen-ban-original-320mlon-sale-253-coca-cola-chinh-hang-i2580791388.html", "https://www.lazada.vn/products/hoa-toc-hcm-loc-6-lon-nuoc-ngot-giai-khat-coca-cola-vi-nguyen-ban-original-320mlon-sale-253-coca-cola-chinh-hang-i2580791388.html")</f>
        <v>https://www.lazada.vn/products/hoa-toc-hcm-loc-6-lon-nuoc-ngot-giai-khat-coca-cola-vi-nguyen-ban-original-320mlon-sale-253-coca-cola-chinh-hang-i2580791388.html</v>
      </c>
      <c r="C2650" s="10" t="s">
        <v>2650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8">
        <v>7505.0</v>
      </c>
      <c r="B2651" s="9" t="str">
        <f>HYPERLINK("https://www.lazada.vn/products/8-ca-ca-dong-dong-can-can-tuoi-tho-i3048976679.html", "https://www.lazada.vn/products/8-ca-ca-dong-dong-can-can-tuoi-tho-i3048976679.html")</f>
        <v>https://www.lazada.vn/products/8-ca-ca-dong-dong-can-can-tuoi-tho-i3048976679.html</v>
      </c>
      <c r="C2651" s="10" t="s">
        <v>2651</v>
      </c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8">
        <v>7506.0</v>
      </c>
      <c r="B2652" s="9" t="str">
        <f>HYPERLINK("https://www.lazada.vn/products/thung-x-20-chai-so-chu-jisan-soju-360ml-i2473556568.html", "https://www.lazada.vn/products/thung-x-20-chai-so-chu-jisan-soju-360ml-i2473556568.html")</f>
        <v>https://www.lazada.vn/products/thung-x-20-chai-so-chu-jisan-soju-360ml-i2473556568.html</v>
      </c>
      <c r="C2652" s="10" t="s">
        <v>2652</v>
      </c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8">
        <v>7507.0</v>
      </c>
      <c r="B2653" s="9" t="str">
        <f>HYPERLINK("https://www.lazada.vn/products/dau-say-deo-i3057313169.html", "https://www.lazada.vn/products/dau-say-deo-i3057313169.html")</f>
        <v>https://www.lazada.vn/products/dau-say-deo-i3057313169.html</v>
      </c>
      <c r="C2653" s="10" t="s">
        <v>2653</v>
      </c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8">
        <v>7508.0</v>
      </c>
      <c r="B2654" s="9" t="str">
        <f>HYPERLINK("https://www.lazada.vn/products/bot-banking-soda-my-454-gram-i674190781.html", "https://www.lazada.vn/products/bot-banking-soda-my-454-gram-i674190781.html")</f>
        <v>https://www.lazada.vn/products/bot-banking-soda-my-454-gram-i674190781.html</v>
      </c>
      <c r="C2654" s="10" t="s">
        <v>2654</v>
      </c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8">
        <v>7509.0</v>
      </c>
      <c r="B2655" s="9" t="str">
        <f>HYPERLINK("https://www.lazada.vn/products/so-chu-jisan-soju-apple-135-360ml-vi-tao-i2473553485.html", "https://www.lazada.vn/products/so-chu-jisan-soju-apple-135-360ml-vi-tao-i2473553485.html")</f>
        <v>https://www.lazada.vn/products/so-chu-jisan-soju-apple-135-360ml-vi-tao-i2473553485.html</v>
      </c>
      <c r="C2655" s="10" t="s">
        <v>2655</v>
      </c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8">
        <v>7510.0</v>
      </c>
      <c r="B2656" s="9" t="str">
        <f>HYPERLINK("https://www.lazada.vn/products/hoa-toc-hcm-thungloc-24-lon-mi-nhon-nuoc-ngot-giai-khat-co-ga-coca-cola-vi-nguyen-ban-original-235mllon-sale-253-coca-cola-chinh-hang-i2580790169.html", "https://www.lazada.vn/products/hoa-toc-hcm-thungloc-24-lon-mi-nhon-nuoc-ngot-giai-khat-co-ga-coca-cola-vi-nguyen-ban-original-235mllon-sale-253-coca-cola-chinh-hang-i2580790169.html")</f>
        <v>https://www.lazada.vn/products/hoa-toc-hcm-thungloc-24-lon-mi-nhon-nuoc-ngot-giai-khat-co-ga-coca-cola-vi-nguyen-ban-original-235mllon-sale-253-coca-cola-chinh-hang-i2580790169.html</v>
      </c>
      <c r="C2656" s="10" t="s">
        <v>2656</v>
      </c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8">
        <v>7511.0</v>
      </c>
      <c r="B2657" s="9" t="str">
        <f>HYPERLINK("https://www.lazada.vn/products/so-chu-jisan-soju-360ml-i2473533518.html", "https://www.lazada.vn/products/so-chu-jisan-soju-360ml-i2473533518.html")</f>
        <v>https://www.lazada.vn/products/so-chu-jisan-soju-360ml-i2473533518.html</v>
      </c>
      <c r="C2657" s="10" t="s">
        <v>2657</v>
      </c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8">
        <v>7512.0</v>
      </c>
      <c r="B2658" s="9" t="str">
        <f>HYPERLINK("https://www.lazada.vn/products/hoa-toc-hcm-loc-24-lon-nuoc-ngot-co-gas-fanta-vi-cam-235mllon-sale-253-coca-cola-chinh-hang-i2580789966.html", "https://www.lazada.vn/products/hoa-toc-hcm-loc-24-lon-nuoc-ngot-co-gas-fanta-vi-cam-235mllon-sale-253-coca-cola-chinh-hang-i2580789966.html")</f>
        <v>https://www.lazada.vn/products/hoa-toc-hcm-loc-24-lon-nuoc-ngot-co-gas-fanta-vi-cam-235mllon-sale-253-coca-cola-chinh-hang-i2580789966.html</v>
      </c>
      <c r="C2658" s="10" t="s">
        <v>2658</v>
      </c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8">
        <v>7513.0</v>
      </c>
      <c r="B2659" s="9" t="str">
        <f>HYPERLINK("https://www.lazada.vn/products/soju-jisan-169-360ml-i2473494735.html", "https://www.lazada.vn/products/soju-jisan-169-360ml-i2473494735.html")</f>
        <v>https://www.lazada.vn/products/soju-jisan-169-360ml-i2473494735.html</v>
      </c>
      <c r="C2659" s="10" t="s">
        <v>2659</v>
      </c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8">
        <v>7514.0</v>
      </c>
      <c r="B2660" s="9" t="str">
        <f>HYPERLINK("https://www.lazada.vn/products/hoa-toc-hcm-loc-24-lon-nuoc-ngot-giai-khat-sprite-vi-chanh-320mllon-sale-253-coca-cola-chinh-hang-i2580789538.html", "https://www.lazada.vn/products/hoa-toc-hcm-loc-24-lon-nuoc-ngot-giai-khat-sprite-vi-chanh-320mllon-sale-253-coca-cola-chinh-hang-i2580789538.html")</f>
        <v>https://www.lazada.vn/products/hoa-toc-hcm-loc-24-lon-nuoc-ngot-giai-khat-sprite-vi-chanh-320mllon-sale-253-coca-cola-chinh-hang-i2580789538.html</v>
      </c>
      <c r="C2660" s="10" t="s">
        <v>2660</v>
      </c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8">
        <v>7515.0</v>
      </c>
      <c r="B2661" s="9" t="str">
        <f>HYPERLINK("https://www.lazada.vn/products/soju-jisan-peach-135-360ml-vi-dao-i2473447945.html", "https://www.lazada.vn/products/soju-jisan-peach-135-360ml-vi-dao-i2473447945.html")</f>
        <v>https://www.lazada.vn/products/soju-jisan-peach-135-360ml-vi-dao-i2473447945.html</v>
      </c>
      <c r="C2661" s="10" t="s">
        <v>2661</v>
      </c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8">
        <v>7516.0</v>
      </c>
      <c r="B2662" s="9" t="str">
        <f>HYPERLINK("https://www.lazada.vn/products/thung-30lon-coca-nhi-nhat-ban-160ml-i2577042090.html", "https://www.lazada.vn/products/thung-30lon-coca-nhi-nhat-ban-160ml-i2577042090.html")</f>
        <v>https://www.lazada.vn/products/thung-30lon-coca-nhi-nhat-ban-160ml-i2577042090.html</v>
      </c>
      <c r="C2662" s="10" t="s">
        <v>2662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8">
        <v>7517.0</v>
      </c>
      <c r="B2663" s="9" t="str">
        <f>HYPERLINK("https://www.lazada.vn/products/soju-heejin-original-fresh-17-360ml-vi-truyen-thong-i2473401039.html", "https://www.lazada.vn/products/soju-heejin-original-fresh-17-360ml-vi-truyen-thong-i2473401039.html")</f>
        <v>https://www.lazada.vn/products/soju-heejin-original-fresh-17-360ml-vi-truyen-thong-i2473401039.html</v>
      </c>
      <c r="C2663" s="10" t="s">
        <v>2663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8">
        <v>7518.0</v>
      </c>
      <c r="B2664" s="9" t="str">
        <f>HYPERLINK("https://www.lazada.vn/products/coca-nhi-nhat-ban-160ml-i2576981244.html", "https://www.lazada.vn/products/coca-nhi-nhat-ban-160ml-i2576981244.html")</f>
        <v>https://www.lazada.vn/products/coca-nhi-nhat-ban-160ml-i2576981244.html</v>
      </c>
      <c r="C2664" s="10" t="s">
        <v>2664</v>
      </c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8">
        <v>7519.0</v>
      </c>
      <c r="B2665" s="9" t="str">
        <f>HYPERLINK("https://www.lazada.vn/products/soju-heejin-peach-12-360ml-vi-dao-i2473333538.html", "https://www.lazada.vn/products/soju-heejin-peach-12-360ml-vi-dao-i2473333538.html")</f>
        <v>https://www.lazada.vn/products/soju-heejin-peach-12-360ml-vi-dao-i2473333538.html</v>
      </c>
      <c r="C2665" s="10" t="s">
        <v>2665</v>
      </c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8">
        <v>7520.0</v>
      </c>
      <c r="B2666" s="9" t="str">
        <f>HYPERLINK("https://www.lazada.vn/products/nuoc-giai-khat-mirinda-xa-xi-loc-6-lon-x-320ml-i2576022302.html", "https://www.lazada.vn/products/nuoc-giai-khat-mirinda-xa-xi-loc-6-lon-x-320ml-i2576022302.html")</f>
        <v>https://www.lazada.vn/products/nuoc-giai-khat-mirinda-xa-xi-loc-6-lon-x-320ml-i2576022302.html</v>
      </c>
      <c r="C2666" s="10" t="s">
        <v>2666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8">
        <v>7521.0</v>
      </c>
      <c r="B2667" s="9" t="str">
        <f>HYPERLINK("https://www.lazada.vn/products/soju-trai-cay-heejin-360ml-i2473321536.html", "https://www.lazada.vn/products/soju-trai-cay-heejin-360ml-i2473321536.html")</f>
        <v>https://www.lazada.vn/products/soju-trai-cay-heejin-360ml-i2473321536.html</v>
      </c>
      <c r="C2667" s="10" t="s">
        <v>2667</v>
      </c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8">
        <v>7522.0</v>
      </c>
      <c r="B2668" s="9" t="str">
        <f>HYPERLINK("https://www.lazada.vn/products/nuoc-ngot-co-ga-pepsi-vi-cola-lon-320ml-loc-6-i2576006336.html", "https://www.lazada.vn/products/nuoc-ngot-co-ga-pepsi-vi-cola-lon-320ml-loc-6-i2576006336.html")</f>
        <v>https://www.lazada.vn/products/nuoc-ngot-co-ga-pepsi-vi-cola-lon-320ml-loc-6-i2576006336.html</v>
      </c>
      <c r="C2668" s="10" t="s">
        <v>2668</v>
      </c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8">
        <v>7523.0</v>
      </c>
      <c r="B2669" s="9" t="str">
        <f>HYPERLINK("https://www.lazada.vn/products/thung-x-20-chai-soju-heejin-360ml-i2473312624.html", "https://www.lazada.vn/products/thung-x-20-chai-soju-heejin-360ml-i2473312624.html")</f>
        <v>https://www.lazada.vn/products/thung-x-20-chai-soju-heejin-360ml-i2473312624.html</v>
      </c>
      <c r="C2669" s="10" t="s">
        <v>2669</v>
      </c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8">
        <v>7524.0</v>
      </c>
      <c r="B2670" s="9" t="str">
        <f>HYPERLINK("https://www.lazada.vn/products/thung-12-lon-nuoc-ngot-welchs-soda-nho-hang-my-lon-355-ml-i2569902236.html", "https://www.lazada.vn/products/thung-12-lon-nuoc-ngot-welchs-soda-nho-hang-my-lon-355-ml-i2569902236.html")</f>
        <v>https://www.lazada.vn/products/thung-12-lon-nuoc-ngot-welchs-soda-nho-hang-my-lon-355-ml-i2569902236.html</v>
      </c>
      <c r="C2670" s="10" t="s">
        <v>2670</v>
      </c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8">
        <v>7525.0</v>
      </c>
      <c r="B2671" s="9" t="str">
        <f>HYPERLINK("https://www.lazada.vn/products/gia-si-combo-set-qua-tang-10-chai-tang-2-ly-ruou-soju-damso-nhap-khau-han-quoc-i2410234815.html", "https://www.lazada.vn/products/gia-si-combo-set-qua-tang-10-chai-tang-2-ly-ruou-soju-damso-nhap-khau-han-quoc-i2410234815.html")</f>
        <v>https://www.lazada.vn/products/gia-si-combo-set-qua-tang-10-chai-tang-2-ly-ruou-soju-damso-nhap-khau-han-quoc-i2410234815.html</v>
      </c>
      <c r="C2671" s="10" t="s">
        <v>2671</v>
      </c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8">
        <v>7526.0</v>
      </c>
      <c r="B2672" s="9" t="str">
        <f>HYPERLINK("https://www.lazada.vn/products/loc-6lon-nuoc-ngot-mirinda-cam-330ml-dam-da-thom-ngon-dung-vi-cam-nhieu-vitamin-c-tot-cho-suc-khoe-han-su-dung-luon-moi-i2565701129.html", "https://www.lazada.vn/products/loc-6lon-nuoc-ngot-mirinda-cam-330ml-dam-da-thom-ngon-dung-vi-cam-nhieu-vitamin-c-tot-cho-suc-khoe-han-su-dung-luon-moi-i2565701129.html")</f>
        <v>https://www.lazada.vn/products/loc-6lon-nuoc-ngot-mirinda-cam-330ml-dam-da-thom-ngon-dung-vi-cam-nhieu-vitamin-c-tot-cho-suc-khoe-han-su-dung-luon-moi-i2565701129.html</v>
      </c>
      <c r="C2672" s="10" t="s">
        <v>2672</v>
      </c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8">
        <v>7527.0</v>
      </c>
      <c r="B2673" s="9" t="str">
        <f>HYPERLINK("https://www.lazada.vn/products/soju-trai-cay-nhap-khau-han-quoc-him-360ml-i2374982456.html", "https://www.lazada.vn/products/soju-trai-cay-nhap-khau-han-quoc-him-360ml-i2374982456.html")</f>
        <v>https://www.lazada.vn/products/soju-trai-cay-nhap-khau-han-quoc-him-360ml-i2374982456.html</v>
      </c>
      <c r="C2673" s="10" t="s">
        <v>2673</v>
      </c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8">
        <v>7528.0</v>
      </c>
      <c r="B2674" s="9" t="str">
        <f>HYPERLINK("https://www.lazada.vn/products/thung-24-lon-nuoc-ngot-mirinda-cam-330ml-dam-da-thom-ngon-dung-vi-cam-nhieu-vitamin-c-tot-cho-suc-khoe-han-su-dung-luon-moi-i2565586164.html", "https://www.lazada.vn/products/thung-24-lon-nuoc-ngot-mirinda-cam-330ml-dam-da-thom-ngon-dung-vi-cam-nhieu-vitamin-c-tot-cho-suc-khoe-han-su-dung-luon-moi-i2565586164.html")</f>
        <v>https://www.lazada.vn/products/thung-24-lon-nuoc-ngot-mirinda-cam-330ml-dam-da-thom-ngon-dung-vi-cam-nhieu-vitamin-c-tot-cho-suc-khoe-han-su-dung-luon-moi-i2565586164.html</v>
      </c>
      <c r="C2674" s="10" t="s">
        <v>2674</v>
      </c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8">
        <v>7529.0</v>
      </c>
      <c r="B2675" s="9" t="str">
        <f>HYPERLINK("https://www.lazada.vn/products/thung-x-20-chai-soju-trai-cay-han-quoc-him-360ml-i2374975582.html", "https://www.lazada.vn/products/thung-x-20-chai-soju-trai-cay-han-quoc-him-360ml-i2374975582.html")</f>
        <v>https://www.lazada.vn/products/thung-x-20-chai-soju-trai-cay-han-quoc-him-360ml-i2374975582.html</v>
      </c>
      <c r="C2675" s="10" t="s">
        <v>2675</v>
      </c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8">
        <v>7530.0</v>
      </c>
      <c r="B2676" s="9" t="str">
        <f>HYPERLINK("https://www.lazada.vn/products/nuoc-ngot-pepsi-nhat-160ml-thung-30-lon-ly-trinh-15-i2564378412.html", "https://www.lazada.vn/products/nuoc-ngot-pepsi-nhat-160ml-thung-30-lon-ly-trinh-15-i2564378412.html")</f>
        <v>https://www.lazada.vn/products/nuoc-ngot-pepsi-nhat-160ml-thung-30-lon-ly-trinh-15-i2564378412.html</v>
      </c>
      <c r="C2676" s="10" t="s">
        <v>2676</v>
      </c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8">
        <v>7531.0</v>
      </c>
      <c r="B2677" s="9" t="str">
        <f>HYPERLINK("https://www.lazada.vn/products/th-30-goi-mi-3-mien-reeva-ga-soi-pho-65gr-b-i3015782694.html", "https://www.lazada.vn/products/th-30-goi-mi-3-mien-reeva-ga-soi-pho-65gr-b-i3015782694.html")</f>
        <v>https://www.lazada.vn/products/th-30-goi-mi-3-mien-reeva-ga-soi-pho-65gr-b-i3015782694.html</v>
      </c>
      <c r="C2677" s="10" t="s">
        <v>2677</v>
      </c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8">
        <v>7532.0</v>
      </c>
      <c r="B2678" s="9" t="str">
        <f>HYPERLINK("https://www.lazada.vn/products/nuoc-mo-xanh-choya-nhat-ban-chai-720ml-i2828230961.html", "https://www.lazada.vn/products/nuoc-mo-xanh-choya-nhat-ban-chai-720ml-i2828230961.html")</f>
        <v>https://www.lazada.vn/products/nuoc-mo-xanh-choya-nhat-ban-chai-720ml-i2828230961.html</v>
      </c>
      <c r="C2678" s="10" t="s">
        <v>2678</v>
      </c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8">
        <v>7533.0</v>
      </c>
      <c r="B2679" s="9" t="str">
        <f>HYPERLINK("https://www.lazada.vn/products/4-ca-ca-dong-dong-can-can-tuoi-tho-i3048960702.html", "https://www.lazada.vn/products/4-ca-ca-dong-dong-can-can-tuoi-tho-i3048960702.html")</f>
        <v>https://www.lazada.vn/products/4-ca-ca-dong-dong-can-can-tuoi-tho-i3048960702.html</v>
      </c>
      <c r="C2679" s="10" t="s">
        <v>2679</v>
      </c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8">
        <v>7534.0</v>
      </c>
      <c r="B2680" s="9" t="str">
        <f>HYPERLINK("https://www.lazada.vn/products/soju-han-quoc-damso-360ml-vi-vai-i2332032413.html", "https://www.lazada.vn/products/soju-han-quoc-damso-360ml-vi-vai-i2332032413.html")</f>
        <v>https://www.lazada.vn/products/soju-han-quoc-damso-360ml-vi-vai-i2332032413.html</v>
      </c>
      <c r="C2680" s="10" t="s">
        <v>2680</v>
      </c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8">
        <v>7535.0</v>
      </c>
      <c r="B2681" s="9" t="str">
        <f>HYPERLINK("https://www.lazada.vn/products/nuoc-ngot-pepsi-nhat-160ml-thung-30-lon-leetrinh-i2564369535.html", "https://www.lazada.vn/products/nuoc-ngot-pepsi-nhat-160ml-thung-30-lon-leetrinh-i2564369535.html")</f>
        <v>https://www.lazada.vn/products/nuoc-ngot-pepsi-nhat-160ml-thung-30-lon-leetrinh-i2564369535.html</v>
      </c>
      <c r="C2681" s="10" t="s">
        <v>2681</v>
      </c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8">
        <v>7536.0</v>
      </c>
      <c r="B2682" s="9" t="str">
        <f>HYPERLINK("https://www.lazada.vn/products/nem-buoi-la-chuoi-chay-an-tue-hang-lanh-tpc-an-tue-i3048781768.html", "https://www.lazada.vn/products/nem-buoi-la-chuoi-chay-an-tue-hang-lanh-tpc-an-tue-i3048781768.html")</f>
        <v>https://www.lazada.vn/products/nem-buoi-la-chuoi-chay-an-tue-hang-lanh-tpc-an-tue-i3048781768.html</v>
      </c>
      <c r="C2682" s="10" t="s">
        <v>2682</v>
      </c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8">
        <v>7537.0</v>
      </c>
      <c r="B2683" s="9" t="str">
        <f>HYPERLINK("https://www.lazada.vn/products/nuoc-soda-ramune-hata-trai-cay-nhat-200ml-hata-ramune-janpan-i3040930465.html", "https://www.lazada.vn/products/nuoc-soda-ramune-hata-trai-cay-nhat-200ml-hata-ramune-janpan-i3040930465.html")</f>
        <v>https://www.lazada.vn/products/nuoc-soda-ramune-hata-trai-cay-nhat-200ml-hata-ramune-janpan-i3040930465.html</v>
      </c>
      <c r="C2683" s="10" t="s">
        <v>2683</v>
      </c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8">
        <v>7538.0</v>
      </c>
      <c r="B2684" s="9" t="str">
        <f>HYPERLINK("https://www.lazada.vn/products/soju-han-quoc-chum-churum-360ml-vi-dao-i2331818976.html", "https://www.lazada.vn/products/soju-han-quoc-chum-churum-360ml-vi-dao-i2331818976.html")</f>
        <v>https://www.lazada.vn/products/soju-han-quoc-chum-churum-360ml-vi-dao-i2331818976.html</v>
      </c>
      <c r="C2684" s="10" t="s">
        <v>2684</v>
      </c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8">
        <v>7539.0</v>
      </c>
      <c r="B2685" s="9" t="str">
        <f>HYPERLINK("https://www.lazada.vn/products/bristol-hop-vang-340g-thit-ga-hop-nguyen-vi-chicken-luncheon-meat-i3048571873.html", "https://www.lazada.vn/products/bristol-hop-vang-340g-thit-ga-hop-nguyen-vi-chicken-luncheon-meat-i3048571873.html")</f>
        <v>https://www.lazada.vn/products/bristol-hop-vang-340g-thit-ga-hop-nguyen-vi-chicken-luncheon-meat-i3048571873.html</v>
      </c>
      <c r="C2685" s="10" t="s">
        <v>2685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8">
        <v>7540.0</v>
      </c>
      <c r="B2686" s="9" t="str">
        <f>HYPERLINK("https://www.lazada.vn/products/date-t0825-thung-30-lon-coca-cola-vi-nguyen-ban-nhat-ban-lon-160ml-x-30-hang-nhat-noi-dia-i2553991151.html", "https://www.lazada.vn/products/date-t0825-thung-30-lon-coca-cola-vi-nguyen-ban-nhat-ban-lon-160ml-x-30-hang-nhat-noi-dia-i2553991151.html")</f>
        <v>https://www.lazada.vn/products/date-t0825-thung-30-lon-coca-cola-vi-nguyen-ban-nhat-ban-lon-160ml-x-30-hang-nhat-noi-dia-i2553991151.html</v>
      </c>
      <c r="C2686" s="10" t="s">
        <v>2686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8">
        <v>7541.0</v>
      </c>
      <c r="B2687" s="9" t="str">
        <f>HYPERLINK("https://www.lazada.vn/products/vang-do-trenel-coteaux-bourguignon-i2280325005.html", "https://www.lazada.vn/products/vang-do-trenel-coteaux-bourguignon-i2280325005.html")</f>
        <v>https://www.lazada.vn/products/vang-do-trenel-coteaux-bourguignon-i2280325005.html</v>
      </c>
      <c r="C2687" s="10" t="s">
        <v>2687</v>
      </c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8">
        <v>7542.0</v>
      </c>
      <c r="B2688" s="9" t="str">
        <f>HYPERLINK("https://www.lazada.vn/products/bristol-hop-xanh-340g-thit-xanh-hop-nguyen-vi-original-luncheon-loaf-i3048537973.html", "https://www.lazada.vn/products/bristol-hop-xanh-340g-thit-xanh-hop-nguyen-vi-original-luncheon-loaf-i3048537973.html")</f>
        <v>https://www.lazada.vn/products/bristol-hop-xanh-340g-thit-xanh-hop-nguyen-vi-original-luncheon-loaf-i3048537973.html</v>
      </c>
      <c r="C2688" s="10" t="s">
        <v>2688</v>
      </c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8">
        <v>7543.0</v>
      </c>
      <c r="B2689" s="9" t="str">
        <f>HYPERLINK("https://www.lazada.vn/products/hcm-lon-nuoc-ngot-coca-cola-nhat-ban-huong-vi-nguyen-ban-cac-loai-160ml-300ml500ml-hang-nhat-noi-dia-i2553948235.html", "https://www.lazada.vn/products/hcm-lon-nuoc-ngot-coca-cola-nhat-ban-huong-vi-nguyen-ban-cac-loai-160ml-300ml500ml-hang-nhat-noi-dia-i2553948235.html")</f>
        <v>https://www.lazada.vn/products/hcm-lon-nuoc-ngot-coca-cola-nhat-ban-huong-vi-nguyen-ban-cac-loai-160ml-300ml500ml-hang-nhat-noi-dia-i2553948235.html</v>
      </c>
      <c r="C2689" s="10" t="s">
        <v>2689</v>
      </c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8">
        <v>7544.0</v>
      </c>
      <c r="B2690" s="9" t="str">
        <f>HYPERLINK("https://www.lazada.vn/products/siro-thanh-nhiet-ich-nhi-4-vi-x-5-ong-nhua-10ml-mkpmc-i2650802663.html", "https://www.lazada.vn/products/siro-thanh-nhiet-ich-nhi-4-vi-x-5-ong-nhua-10ml-mkpmc-i2650802663.html")</f>
        <v>https://www.lazada.vn/products/siro-thanh-nhiet-ich-nhi-4-vi-x-5-ong-nhua-10ml-mkpmc-i2650802663.html</v>
      </c>
      <c r="C2690" s="10" t="s">
        <v>2690</v>
      </c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8">
        <v>7545.0</v>
      </c>
      <c r="B2691" s="9" t="str">
        <f>HYPERLINK("https://www.lazada.vn/products/co-vit-cay-tu-xuyen-dacheng-goi-do-nhieu-thit-sieu-ngon-i3048266400.html", "https://www.lazada.vn/products/co-vit-cay-tu-xuyen-dacheng-goi-do-nhieu-thit-sieu-ngon-i3048266400.html")</f>
        <v>https://www.lazada.vn/products/co-vit-cay-tu-xuyen-dacheng-goi-do-nhieu-thit-sieu-ngon-i3048266400.html</v>
      </c>
      <c r="C2691" s="10" t="s">
        <v>2691</v>
      </c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8">
        <v>7546.0</v>
      </c>
      <c r="B2692" s="9" t="str">
        <f>HYPERLINK("https://www.lazada.vn/products/thach-dua-tuoi-minh-chau-thach-dua-tuoi-thothach-dua-minh-chau-tui-1kg-i2647630224.html", "https://www.lazada.vn/products/thach-dua-tuoi-minh-chau-thach-dua-tuoi-thothach-dua-minh-chau-tui-1kg-i2647630224.html")</f>
        <v>https://www.lazada.vn/products/thach-dua-tuoi-minh-chau-thach-dua-tuoi-thothach-dua-minh-chau-tui-1kg-i2647630224.html</v>
      </c>
      <c r="C2692" s="10" t="s">
        <v>2692</v>
      </c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8">
        <v>7547.0</v>
      </c>
      <c r="B2693" s="9" t="str">
        <f>HYPERLINK("https://www.lazada.vn/products/chan-ga-rut-xuong-2-vi-cay-te-chua-sieu-cay-ngon-an-la-me-i3048209573.html", "https://www.lazada.vn/products/chan-ga-rut-xuong-2-vi-cay-te-chua-sieu-cay-ngon-an-la-me-i3048209573.html")</f>
        <v>https://www.lazada.vn/products/chan-ga-rut-xuong-2-vi-cay-te-chua-sieu-cay-ngon-an-la-me-i3048209573.html</v>
      </c>
      <c r="C2693" s="10" t="s">
        <v>2693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8">
        <v>7548.0</v>
      </c>
      <c r="B2694" s="9" t="str">
        <f>HYPERLINK("https://www.lazada.vn/products/nui-say-gion-lac-kho-bo-hu-300g-do-an-vat-yoyo-i3048195071.html", "https://www.lazada.vn/products/nui-say-gion-lac-kho-bo-hu-300g-do-an-vat-yoyo-i3048195071.html")</f>
        <v>https://www.lazada.vn/products/nui-say-gion-lac-kho-bo-hu-300g-do-an-vat-yoyo-i3048195071.html</v>
      </c>
      <c r="C2694" s="10" t="s">
        <v>2694</v>
      </c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8">
        <v>7549.0</v>
      </c>
      <c r="B2695" s="9" t="str">
        <f>HYPERLINK("https://www.lazada.vn/products/banh-mi-hoa-cuc-duong-nau-i641660599.html", "https://www.lazada.vn/products/banh-mi-hoa-cuc-duong-nau-i641660599.html")</f>
        <v>https://www.lazada.vn/products/banh-mi-hoa-cuc-duong-nau-i641660599.html</v>
      </c>
      <c r="C2695" s="10" t="s">
        <v>2695</v>
      </c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8">
        <v>7550.0</v>
      </c>
      <c r="B2696" s="9" t="str">
        <f>HYPERLINK("https://www.lazada.vn/products/muc-bento-goi-to-20g-do-an-vat-yoyo-i3048175179.html", "https://www.lazada.vn/products/muc-bento-goi-to-20g-do-an-vat-yoyo-i3048175179.html")</f>
        <v>https://www.lazada.vn/products/muc-bento-goi-to-20g-do-an-vat-yoyo-i3048175179.html</v>
      </c>
      <c r="C2696" s="10" t="s">
        <v>2696</v>
      </c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8">
        <v>7551.0</v>
      </c>
      <c r="B2697" s="9" t="str">
        <f>HYPERLINK("https://www.lazada.vn/products/bot-kem-beo-b-one-1kg-i468292316.html", "https://www.lazada.vn/products/bot-kem-beo-b-one-1kg-i468292316.html")</f>
        <v>https://www.lazada.vn/products/bot-kem-beo-b-one-1kg-i468292316.html</v>
      </c>
      <c r="C2697" s="10" t="s">
        <v>2697</v>
      </c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8">
        <v>7552.0</v>
      </c>
      <c r="B2698" s="9" t="str">
        <f>HYPERLINK("https://www.lazada.vn/products/muc-bento-thai-lan-day-13-goi-do-an-vat-yoyo-i3048091576.html", "https://www.lazada.vn/products/muc-bento-thai-lan-day-13-goi-do-an-vat-yoyo-i3048091576.html")</f>
        <v>https://www.lazada.vn/products/muc-bento-thai-lan-day-13-goi-do-an-vat-yoyo-i3048091576.html</v>
      </c>
      <c r="C2698" s="10" t="s">
        <v>2698</v>
      </c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8">
        <v>7553.0</v>
      </c>
      <c r="B2699" s="9" t="str">
        <f>HYPERLINK("https://www.lazada.vn/products/banh-sanwich-sua-chua-horsh-2kg-dai-loan-i223595138.html", "https://www.lazada.vn/products/banh-sanwich-sua-chua-horsh-2kg-dai-loan-i223595138.html")</f>
        <v>https://www.lazada.vn/products/banh-sanwich-sua-chua-horsh-2kg-dai-loan-i223595138.html</v>
      </c>
      <c r="C2699" s="10" t="s">
        <v>2699</v>
      </c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8">
        <v>7554.0</v>
      </c>
      <c r="B2700" s="9" t="str">
        <f>HYPERLINK("https://www.lazada.vn/products/qua-oliu-xanh-qua-oliu-den-tach-hat-ngam-muoi-tay-ban-nha-450g-i3047642009.html", "https://www.lazada.vn/products/qua-oliu-xanh-qua-oliu-den-tach-hat-ngam-muoi-tay-ban-nha-450g-i3047642009.html")</f>
        <v>https://www.lazada.vn/products/qua-oliu-xanh-qua-oliu-den-tach-hat-ngam-muoi-tay-ban-nha-450g-i3047642009.html</v>
      </c>
      <c r="C2700" s="10" t="s">
        <v>2700</v>
      </c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8">
        <v>7555.0</v>
      </c>
      <c r="B2701" s="9" t="str">
        <f>HYPERLINK("https://www.lazada.vn/products/ca-na-ngao-duong-hu-500gr-i3047598171.html", "https://www.lazada.vn/products/ca-na-ngao-duong-hu-500gr-i3047598171.html")</f>
        <v>https://www.lazada.vn/products/ca-na-ngao-duong-hu-500gr-i3047598171.html</v>
      </c>
      <c r="C2701" s="10" t="s">
        <v>2701</v>
      </c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8">
        <v>7556.0</v>
      </c>
      <c r="B2702" s="9" t="str">
        <f>HYPERLINK("https://www.lazada.vn/products/qua-oliu-xanh-nguyen-trai-nguyen-hat-fragata-tay-ban-nha-340g-450g-i3047574200.html", "https://www.lazada.vn/products/qua-oliu-xanh-nguyen-trai-nguyen-hat-fragata-tay-ban-nha-340g-450g-i3047574200.html")</f>
        <v>https://www.lazada.vn/products/qua-oliu-xanh-nguyen-trai-nguyen-hat-fragata-tay-ban-nha-340g-450g-i3047574200.html</v>
      </c>
      <c r="C2702" s="10" t="s">
        <v>2702</v>
      </c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8">
        <v>7557.0</v>
      </c>
      <c r="B2703" s="9" t="str">
        <f>HYPERLINK("https://www.lazada.vn/products/tom-sumi-hieu-o-ngon-bich-500gr-giao-hcm-i3047453419.html", "https://www.lazada.vn/products/tom-sumi-hieu-o-ngon-bich-500gr-giao-hcm-i3047453419.html")</f>
        <v>https://www.lazada.vn/products/tom-sumi-hieu-o-ngon-bich-500gr-giao-hcm-i3047453419.html</v>
      </c>
      <c r="C2703" s="10" t="s">
        <v>2703</v>
      </c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8">
        <v>7558.0</v>
      </c>
      <c r="B2704" s="9" t="str">
        <f>HYPERLINK("https://www.lazada.vn/products/pate-cot-den-hai-phong-90g-150g-do-hop-ha-long-an-lien-banh-mi-chao-i3047164925.html", "https://www.lazada.vn/products/pate-cot-den-hai-phong-90g-150g-do-hop-ha-long-an-lien-banh-mi-chao-i3047164925.html")</f>
        <v>https://www.lazada.vn/products/pate-cot-den-hai-phong-90g-150g-do-hop-ha-long-an-lien-banh-mi-chao-i3047164925.html</v>
      </c>
      <c r="C2704" s="10" t="s">
        <v>2704</v>
      </c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8">
        <v>7559.0</v>
      </c>
      <c r="B2705" s="9" t="str">
        <f>HYPERLINK("https://www.lazada.vn/products/thit-ho-cay-mon-an-vat-tuoi-tho-sieu-ngon-40g-i3046658069.html", "https://www.lazada.vn/products/thit-ho-cay-mon-an-vat-tuoi-tho-sieu-ngon-40g-i3046658069.html")</f>
        <v>https://www.lazada.vn/products/thit-ho-cay-mon-an-vat-tuoi-tho-sieu-ngon-40g-i3046658069.html</v>
      </c>
      <c r="C2705" s="10" t="s">
        <v>2705</v>
      </c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8">
        <v>7560.0</v>
      </c>
      <c r="B2706" s="9" t="str">
        <f>HYPERLINK("https://www.lazada.vn/products/tran-chau-den-trang-minh-hanh-goi-1kg-tran-chau-caramen-duong-den-topping-i2647586204.html", "https://www.lazada.vn/products/tran-chau-den-trang-minh-hanh-goi-1kg-tran-chau-caramen-duong-den-topping-i2647586204.html")</f>
        <v>https://www.lazada.vn/products/tran-chau-den-trang-minh-hanh-goi-1kg-tran-chau-caramen-duong-den-topping-i2647586204.html</v>
      </c>
      <c r="C2706" s="10" t="s">
        <v>2706</v>
      </c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8">
        <v>7561.0</v>
      </c>
      <c r="B2707" s="9" t="str">
        <f>HYPERLINK("https://www.lazada.vn/products/combo-5-goi-viet-thien-huong-lai-goi-400g-i3036553099.html", "https://www.lazada.vn/products/combo-5-goi-viet-thien-huong-lai-goi-400g-i3036553099.html")</f>
        <v>https://www.lazada.vn/products/combo-5-goi-viet-thien-huong-lai-goi-400g-i3036553099.html</v>
      </c>
      <c r="C2707" s="10" t="s">
        <v>2707</v>
      </c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8">
        <v>7562.0</v>
      </c>
      <c r="B2708" s="9" t="str">
        <f>HYPERLINK("https://www.lazada.vn/products/banh-quy-soda-hanh-tay-huong-nam-men-280g2-goi-banh-quy-tieu-lon-banh-quy-nuong-huong-vi-dac-biet-cua-taiwan-shengxiangzhen-i2923806919.html", "https://www.lazada.vn/products/banh-quy-soda-hanh-tay-huong-nam-men-280g2-goi-banh-quy-tieu-lon-banh-quy-nuong-huong-vi-dac-biet-cua-taiwan-shengxiangzhen-i2923806919.html")</f>
        <v>https://www.lazada.vn/products/banh-quy-soda-hanh-tay-huong-nam-men-280g2-goi-banh-quy-tieu-lon-banh-quy-nuong-huong-vi-dac-biet-cua-taiwan-shengxiangzhen-i2923806919.html</v>
      </c>
      <c r="C2708" s="10" t="s">
        <v>2708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8">
        <v>7563.0</v>
      </c>
      <c r="B2709" s="9" t="str">
        <f>HYPERLINK("https://www.lazada.vn/products/nlpcthuha-tran-chau-soitran-chau-soi-krubo-nguyen-lieu-pha-tra-sua-loai-cao-cap-deo-dai-tui-800gr-topping-i2647524575.html", "https://www.lazada.vn/products/nlpcthuha-tran-chau-soitran-chau-soi-krubo-nguyen-lieu-pha-tra-sua-loai-cao-cap-deo-dai-tui-800gr-topping-i2647524575.html")</f>
        <v>https://www.lazada.vn/products/nlpcthuha-tran-chau-soitran-chau-soi-krubo-nguyen-lieu-pha-tra-sua-loai-cao-cap-deo-dai-tui-800gr-topping-i2647524575.html</v>
      </c>
      <c r="C2709" s="10" t="s">
        <v>2709</v>
      </c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8">
        <v>7564.0</v>
      </c>
      <c r="B2710" s="9" t="str">
        <f>HYPERLINK("https://www.lazada.vn/products/bot-kem-beo-pha-tra-sua-tha-lan-b-one-bone-goi-1kg-topping-chua-i2647460602.html", "https://www.lazada.vn/products/bot-kem-beo-pha-tra-sua-tha-lan-b-one-bone-goi-1kg-topping-chua-i2647460602.html")</f>
        <v>https://www.lazada.vn/products/bot-kem-beo-pha-tra-sua-tha-lan-b-one-bone-goi-1kg-topping-chua-i2647460602.html</v>
      </c>
      <c r="C2710" s="10" t="s">
        <v>2710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8">
        <v>7565.0</v>
      </c>
      <c r="B2711" s="9" t="str">
        <f>HYPERLINK("https://www.lazada.vn/products/siro-trinh-huong-dau-600ml-i2646624196.html", "https://www.lazada.vn/products/siro-trinh-huong-dau-600ml-i2646624196.html")</f>
        <v>https://www.lazada.vn/products/siro-trinh-huong-dau-600ml-i2646624196.html</v>
      </c>
      <c r="C2711" s="10" t="s">
        <v>2711</v>
      </c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8">
        <v>7566.0</v>
      </c>
      <c r="B2712" s="9" t="str">
        <f>HYPERLINK("https://www.lazada.vn/products/ruou-ngo-men-la-dac-san-ha-giang-thom-ngon-chuan-ruou-ha-giang-i2640794435.html", "https://www.lazada.vn/products/ruou-ngo-men-la-dac-san-ha-giang-thom-ngon-chuan-ruou-ha-giang-i2640794435.html")</f>
        <v>https://www.lazada.vn/products/ruou-ngo-men-la-dac-san-ha-giang-thom-ngon-chuan-ruou-ha-giang-i2640794435.html</v>
      </c>
      <c r="C2712" s="10" t="s">
        <v>2712</v>
      </c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8">
        <v>7567.0</v>
      </c>
      <c r="B2713" s="9" t="str">
        <f>HYPERLINK("https://www.lazada.vn/products/siro-tiramisu-longbeach-tiramisu-flavoured-syrup-740ml-i2640713207.html", "https://www.lazada.vn/products/siro-tiramisu-longbeach-tiramisu-flavoured-syrup-740ml-i2640713207.html")</f>
        <v>https://www.lazada.vn/products/siro-tiramisu-longbeach-tiramisu-flavoured-syrup-740ml-i2640713207.html</v>
      </c>
      <c r="C2713" s="10" t="s">
        <v>2713</v>
      </c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8">
        <v>7568.0</v>
      </c>
      <c r="B2714" s="9" t="str">
        <f>HYPERLINK("https://www.lazada.vn/products/banh-khoai-tay-nuong-tok-orion-vi-pho-mai-4p-i2841560788.html", "https://www.lazada.vn/products/banh-khoai-tay-nuong-tok-orion-vi-pho-mai-4p-i2841560788.html")</f>
        <v>https://www.lazada.vn/products/banh-khoai-tay-nuong-tok-orion-vi-pho-mai-4p-i2841560788.html</v>
      </c>
      <c r="C2714" s="10" t="s">
        <v>2714</v>
      </c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8">
        <v>7569.0</v>
      </c>
      <c r="B2715" s="9" t="str">
        <f>HYPERLINK("https://www.lazada.vn/products/banh-gao-nhat-ichi-vi-shouyu-mat-ong-goi-100g-i2008656927.html", "https://www.lazada.vn/products/banh-gao-nhat-ichi-vi-shouyu-mat-ong-goi-100g-i2008656927.html")</f>
        <v>https://www.lazada.vn/products/banh-gao-nhat-ichi-vi-shouyu-mat-ong-goi-100g-i2008656927.html</v>
      </c>
      <c r="C2715" s="10" t="s">
        <v>2715</v>
      </c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8">
        <v>7570.0</v>
      </c>
      <c r="B2716" s="9" t="str">
        <f>HYPERLINK("https://www.lazada.vn/products/loc-6-lon-bo-huc-thai-250-ml-shop-thai-ha-i2600122588.html", "https://www.lazada.vn/products/loc-6-lon-bo-huc-thai-250-ml-shop-thai-ha-i2600122588.html")</f>
        <v>https://www.lazada.vn/products/loc-6-lon-bo-huc-thai-250-ml-shop-thai-ha-i2600122588.html</v>
      </c>
      <c r="C2716" s="10" t="s">
        <v>2716</v>
      </c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8">
        <v>7571.0</v>
      </c>
      <c r="B2717" s="9" t="str">
        <f>HYPERLINK("https://www.lazada.vn/products/special-pricelaopu-1-thung-bia-corny-khoa-khilong-ngat-ket-noi-cho-bia-nha-kieu-cornelius-i3005444059.html", "https://www.lazada.vn/products/special-pricelaopu-1-thung-bia-corny-khoa-khilong-ngat-ket-noi-cho-bia-nha-kieu-cornelius-i3005444059.html")</f>
        <v>https://www.lazada.vn/products/special-pricelaopu-1-thung-bia-corny-khoa-khilong-ngat-ket-noi-cho-bia-nha-kieu-cornelius-i3005444059.html</v>
      </c>
      <c r="C2717" s="10" t="s">
        <v>2717</v>
      </c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8">
        <v>7572.0</v>
      </c>
      <c r="B2718" s="9" t="str">
        <f>HYPERLINK("https://www.lazada.vn/products/banh-chocopie-dark-360g-do-an-vat-gia-re-i2005213363.html", "https://www.lazada.vn/products/banh-chocopie-dark-360g-do-an-vat-gia-re-i2005213363.html")</f>
        <v>https://www.lazada.vn/products/banh-chocopie-dark-360g-do-an-vat-gia-re-i2005213363.html</v>
      </c>
      <c r="C2718" s="10" t="s">
        <v>2718</v>
      </c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8">
        <v>7573.0</v>
      </c>
      <c r="B2719" s="9" t="str">
        <f>HYPERLINK("https://www.lazada.vn/products/loc-6-lon-nuoc-tang-luc-redbull-bo-huc-viet-lon-250ml-i2598807342.html", "https://www.lazada.vn/products/loc-6-lon-nuoc-tang-luc-redbull-bo-huc-viet-lon-250ml-i2598807342.html")</f>
        <v>https://www.lazada.vn/products/loc-6-lon-nuoc-tang-luc-redbull-bo-huc-viet-lon-250ml-i2598807342.html</v>
      </c>
      <c r="C2719" s="10" t="s">
        <v>2719</v>
      </c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8">
        <v>7574.0</v>
      </c>
      <c r="B2720" s="9" t="str">
        <f>HYPERLINK("https://www.lazada.vn/products/snack-khoai-tay-mister-potato-lon-85g-i2841519616.html", "https://www.lazada.vn/products/snack-khoai-tay-mister-potato-lon-85g-i2841519616.html")</f>
        <v>https://www.lazada.vn/products/snack-khoai-tay-mister-potato-lon-85g-i2841519616.html</v>
      </c>
      <c r="C2720" s="10" t="s">
        <v>2720</v>
      </c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8">
        <v>7575.0</v>
      </c>
      <c r="B2721" s="9" t="str">
        <f>HYPERLINK("https://www.lazada.vn/products/1-thung-chocolate-nam-24-tui-510g-meiji-chocorooms-nhat-ban-i2003724625.html", "https://www.lazada.vn/products/1-thung-chocolate-nam-24-tui-510g-meiji-chocorooms-nhat-ban-i2003724625.html")</f>
        <v>https://www.lazada.vn/products/1-thung-chocolate-nam-24-tui-510g-meiji-chocorooms-nhat-ban-i2003724625.html</v>
      </c>
      <c r="C2721" s="10" t="s">
        <v>2721</v>
      </c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8">
        <v>7576.0</v>
      </c>
      <c r="B2722" s="9" t="str">
        <f>HYPERLINK("https://www.lazada.vn/products/mau-dung-thu-125ml-nuoc-cot-trai-nhau-tu-nhien-khong-chat-bao-quan-tot-cho-suc-khoe-i2828174368.html", "https://www.lazada.vn/products/mau-dung-thu-125ml-nuoc-cot-trai-nhau-tu-nhien-khong-chat-bao-quan-tot-cho-suc-khoe-i2828174368.html")</f>
        <v>https://www.lazada.vn/products/mau-dung-thu-125ml-nuoc-cot-trai-nhau-tu-nhien-khong-chat-bao-quan-tot-cho-suc-khoe-i2828174368.html</v>
      </c>
      <c r="C2722" s="10" t="s">
        <v>2722</v>
      </c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8">
        <v>7577.0</v>
      </c>
      <c r="B2723" s="9" t="str">
        <f>HYPERLINK("https://www.lazada.vn/products/date-t825-loc-4-hop-abbott-grow-gold-cacao-180mlhop-i2386460889.html", "https://www.lazada.vn/products/date-t825-loc-4-hop-abbott-grow-gold-cacao-180mlhop-i2386460889.html")</f>
        <v>https://www.lazada.vn/products/date-t825-loc-4-hop-abbott-grow-gold-cacao-180mlhop-i2386460889.html</v>
      </c>
      <c r="C2723" s="10" t="s">
        <v>2723</v>
      </c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8">
        <v>7578.0</v>
      </c>
      <c r="B2724" s="9" t="str">
        <f>HYPERLINK("https://www.lazada.vn/products/com-mini-omachi-com-tu-soi-xa-xiu-ngu-vi-168g-san-pham-moi-nhat-i2972204080.html", "https://www.lazada.vn/products/com-mini-omachi-com-tu-soi-xa-xiu-ngu-vi-168g-san-pham-moi-nhat-i2972204080.html")</f>
        <v>https://www.lazada.vn/products/com-mini-omachi-com-tu-soi-xa-xiu-ngu-vi-168g-san-pham-moi-nhat-i2972204080.html</v>
      </c>
      <c r="C2724" s="10" t="s">
        <v>2724</v>
      </c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8">
        <v>7579.0</v>
      </c>
      <c r="B2725" s="9" t="str">
        <f>HYPERLINK("https://www.lazada.vn/products/ruou-eric-legrand-cuvee-prestige-brut-75cl-i2280305029.html", "https://www.lazada.vn/products/ruou-eric-legrand-cuvee-prestige-brut-75cl-i2280305029.html")</f>
        <v>https://www.lazada.vn/products/ruou-eric-legrand-cuvee-prestige-brut-75cl-i2280305029.html</v>
      </c>
      <c r="C2725" s="10" t="s">
        <v>2725</v>
      </c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8">
        <v>7580.0</v>
      </c>
      <c r="B2726" s="9" t="str">
        <f>HYPERLINK("https://www.lazada.vn/products/thung-nuoc-ngot-co-gaz-pepsi-lon-mau-thuong-320mllon-i2553631797.html", "https://www.lazada.vn/products/thung-nuoc-ngot-co-gaz-pepsi-lon-mau-thuong-320mllon-i2553631797.html")</f>
        <v>https://www.lazada.vn/products/thung-nuoc-ngot-co-gaz-pepsi-lon-mau-thuong-320mllon-i2553631797.html</v>
      </c>
      <c r="C2726" s="10" t="s">
        <v>2726</v>
      </c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8">
        <v>7581.0</v>
      </c>
      <c r="B2727" s="9" t="str">
        <f>HYPERLINK("https://www.lazada.vn/products/chinh-hang-soju-han-quoc-jinro-vi-chanh-vang-360ml-combo-6-chai-i3038595970.html", "https://www.lazada.vn/products/chinh-hang-soju-han-quoc-jinro-vi-chanh-vang-360ml-combo-6-chai-i3038595970.html")</f>
        <v>https://www.lazada.vn/products/chinh-hang-soju-han-quoc-jinro-vi-chanh-vang-360ml-combo-6-chai-i3038595970.html</v>
      </c>
      <c r="C2727" s="10" t="s">
        <v>2727</v>
      </c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8">
        <v>7582.0</v>
      </c>
      <c r="B2728" s="9" t="str">
        <f>HYPERLINK("https://www.lazada.vn/products/xoai-say-deo-i3057019961.html", "https://www.lazada.vn/products/xoai-say-deo-i3057019961.html")</f>
        <v>https://www.lazada.vn/products/xoai-say-deo-i3057019961.html</v>
      </c>
      <c r="C2728" s="10" t="s">
        <v>2728</v>
      </c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8">
        <v>7583.0</v>
      </c>
      <c r="B2729" s="9" t="str">
        <f>HYPERLINK("https://www.lazada.vn/products/la-nam-10-vi-thap-vi-tam-an-chinh-hang-giam-can-giam-mo-bung-mo-noi-tang-15-goi-dung-1-thang-i3027485923.html", "https://www.lazada.vn/products/la-nam-10-vi-thap-vi-tam-an-chinh-hang-giam-can-giam-mo-bung-mo-noi-tang-15-goi-dung-1-thang-i3027485923.html")</f>
        <v>https://www.lazada.vn/products/la-nam-10-vi-thap-vi-tam-an-chinh-hang-giam-can-giam-mo-bung-mo-noi-tang-15-goi-dung-1-thang-i3027485923.html</v>
      </c>
      <c r="C2729" s="10" t="s">
        <v>2729</v>
      </c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8">
        <v>7584.0</v>
      </c>
      <c r="B2730" s="9" t="str">
        <f>HYPERLINK("https://www.lazada.vn/products/fresh-black-sesame-crackers-biscuits-salted-flavor-crackers-snacks-fresh-black-sesame-baking-soda-crackers-biscuits-crackers-i2923772531.html", "https://www.lazada.vn/products/fresh-black-sesame-crackers-biscuits-salted-flavor-crackers-snacks-fresh-black-sesame-baking-soda-crackers-biscuits-crackers-i2923772531.html")</f>
        <v>https://www.lazada.vn/products/fresh-black-sesame-crackers-biscuits-salted-flavor-crackers-snacks-fresh-black-sesame-baking-soda-crackers-biscuits-crackers-i2923772531.html</v>
      </c>
      <c r="C2730" s="10" t="s">
        <v>2730</v>
      </c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8">
        <v>7585.0</v>
      </c>
      <c r="B2731" s="9" t="str">
        <f>HYPERLINK("https://www.lazada.vn/products/combo-2-hop-banh-bong-lan-cuon-kem-solite-vi-la-dua-bo-sua-dau-hop-2x360g-i2714294614.html", "https://www.lazada.vn/products/combo-2-hop-banh-bong-lan-cuon-kem-solite-vi-la-dua-bo-sua-dau-hop-2x360g-i2714294614.html")</f>
        <v>https://www.lazada.vn/products/combo-2-hop-banh-bong-lan-cuon-kem-solite-vi-la-dua-bo-sua-dau-hop-2x360g-i2714294614.html</v>
      </c>
      <c r="C2731" s="10" t="s">
        <v>2731</v>
      </c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8">
        <v>7586.0</v>
      </c>
      <c r="B2732" s="9" t="str">
        <f>HYPERLINK("https://www.lazada.vn/products/banh-que-go-choco-rollz-280g-i2003421135.html", "https://www.lazada.vn/products/banh-que-go-choco-rollz-280g-i2003421135.html")</f>
        <v>https://www.lazada.vn/products/banh-que-go-choco-rollz-280g-i2003421135.html</v>
      </c>
      <c r="C2732" s="10" t="s">
        <v>2732</v>
      </c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8">
        <v>7587.0</v>
      </c>
      <c r="B2733" s="9" t="str">
        <f>HYPERLINK("https://www.lazada.vn/products/qr-1-thung-bia-corny-khoa-khilong-ngat-ket-noi-cho-bia-nha-kieu-cornelius-i3004863939.html", "https://www.lazada.vn/products/qr-1-thung-bia-corny-khoa-khilong-ngat-ket-noi-cho-bia-nha-kieu-cornelius-i3004863939.html")</f>
        <v>https://www.lazada.vn/products/qr-1-thung-bia-corny-khoa-khilong-ngat-ket-noi-cho-bia-nha-kieu-cornelius-i3004863939.html</v>
      </c>
      <c r="C2733" s="10" t="s">
        <v>2733</v>
      </c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8">
        <v>7588.0</v>
      </c>
      <c r="B2734" s="9" t="str">
        <f>HYPERLINK("https://www.lazada.vn/products/ruou-mo-choya-xanh-va-choya-single-year-ultimate-ume-nhat-ban-i3022850523.html", "https://www.lazada.vn/products/ruou-mo-choya-xanh-va-choya-single-year-ultimate-ume-nhat-ban-i3022850523.html")</f>
        <v>https://www.lazada.vn/products/ruou-mo-choya-xanh-va-choya-single-year-ultimate-ume-nhat-ban-i3022850523.html</v>
      </c>
      <c r="C2734" s="10" t="s">
        <v>2734</v>
      </c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8">
        <v>7589.0</v>
      </c>
      <c r="B2735" s="9" t="str">
        <f>HYPERLINK("https://www.lazada.vn/products/vang-do-mchapoutier-belleruche-cote-du-rhone-750ml-i2280282430.html", "https://www.lazada.vn/products/vang-do-mchapoutier-belleruche-cote-du-rhone-750ml-i2280282430.html")</f>
        <v>https://www.lazada.vn/products/vang-do-mchapoutier-belleruche-cote-du-rhone-750ml-i2280282430.html</v>
      </c>
      <c r="C2735" s="10" t="s">
        <v>2735</v>
      </c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8">
        <v>7590.0</v>
      </c>
      <c r="B2736" s="9" t="str">
        <f>HYPERLINK("https://www.lazada.vn/products/jimbeam-white-750ml-i2999248529.html", "https://www.lazada.vn/products/jimbeam-white-750ml-i2999248529.html")</f>
        <v>https://www.lazada.vn/products/jimbeam-white-750ml-i2999248529.html</v>
      </c>
      <c r="C2736" s="10" t="s">
        <v>2736</v>
      </c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8">
        <v>7591.0</v>
      </c>
      <c r="B2737" s="9" t="str">
        <f>HYPERLINK("https://www.lazada.vn/products/tuborg-ice-bia-lager-dan-mach-do-con-43-combo-2-thung-24-x330ml-bia-cao-cap-quoc-te-i3004285028.html", "https://www.lazada.vn/products/tuborg-ice-bia-lager-dan-mach-do-con-43-combo-2-thung-24-x330ml-bia-cao-cap-quoc-te-i3004285028.html")</f>
        <v>https://www.lazada.vn/products/tuborg-ice-bia-lager-dan-mach-do-con-43-combo-2-thung-24-x330ml-bia-cao-cap-quoc-te-i3004285028.html</v>
      </c>
      <c r="C2737" s="10" t="s">
        <v>2737</v>
      </c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8">
        <v>7592.0</v>
      </c>
      <c r="B2738" s="9" t="str">
        <f>HYPERLINK("https://www.lazada.vn/products/sake-mua-craft-sake-pure-rice-300ml-vi-gao-nguyen-ban-st25-i3012780186.html", "https://www.lazada.vn/products/sake-mua-craft-sake-pure-rice-300ml-vi-gao-nguyen-ban-st25-i3012780186.html")</f>
        <v>https://www.lazada.vn/products/sake-mua-craft-sake-pure-rice-300ml-vi-gao-nguyen-ban-st25-i3012780186.html</v>
      </c>
      <c r="C2738" s="10" t="s">
        <v>2738</v>
      </c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8">
        <v>7593.0</v>
      </c>
      <c r="B2739" s="9" t="str">
        <f>HYPERLINK("https://www.lazada.vn/products/yidao4-1-thung-bia-corny-khoa-khilong-ngat-ket-noi-cho-bia-nha-kieu-cornelius-i3004257936.html", "https://www.lazada.vn/products/yidao4-1-thung-bia-corny-khoa-khilong-ngat-ket-noi-cho-bia-nha-kieu-cornelius-i3004257936.html")</f>
        <v>https://www.lazada.vn/products/yidao4-1-thung-bia-corny-khoa-khilong-ngat-ket-noi-cho-bia-nha-kieu-cornelius-i3004257936.html</v>
      </c>
      <c r="C2739" s="10" t="s">
        <v>2739</v>
      </c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8">
        <v>7594.0</v>
      </c>
      <c r="B2740" s="9" t="str">
        <f>HYPERLINK("https://www.lazada.vn/products/sake-mua-craft-sake-passionfruit-cubeb-300ml-vi-chanh-day-tieu-that-i3012774291.html", "https://www.lazada.vn/products/sake-mua-craft-sake-passionfruit-cubeb-300ml-vi-chanh-day-tieu-that-i3012774291.html")</f>
        <v>https://www.lazada.vn/products/sake-mua-craft-sake-passionfruit-cubeb-300ml-vi-chanh-day-tieu-that-i3012774291.html</v>
      </c>
      <c r="C2740" s="10" t="s">
        <v>2740</v>
      </c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8">
        <v>7595.0</v>
      </c>
      <c r="B2741" s="9" t="str">
        <f>HYPERLINK("https://www.lazada.vn/products/sake-mua-craft-sake-classic-300ml-vi-co-dien-i3012740439.html", "https://www.lazada.vn/products/sake-mua-craft-sake-classic-300ml-vi-co-dien-i3012740439.html")</f>
        <v>https://www.lazada.vn/products/sake-mua-craft-sake-classic-300ml-vi-co-dien-i3012740439.html</v>
      </c>
      <c r="C2741" s="10" t="s">
        <v>2741</v>
      </c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8">
        <v>7596.0</v>
      </c>
      <c r="B2742" s="9" t="str">
        <f>HYPERLINK("https://www.lazada.vn/products/the-cici-shop-1-thung-bia-corny-khoa-khilong-ngat-ket-noi-cho-bia-nha-kieu-cornelius-i3003261151.html", "https://www.lazada.vn/products/the-cici-shop-1-thung-bia-corny-khoa-khilong-ngat-ket-noi-cho-bia-nha-kieu-cornelius-i3003261151.html")</f>
        <v>https://www.lazada.vn/products/the-cici-shop-1-thung-bia-corny-khoa-khilong-ngat-ket-noi-cho-bia-nha-kieu-cornelius-i3003261151.html</v>
      </c>
      <c r="C2742" s="10" t="s">
        <v>2742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8">
        <v>7597.0</v>
      </c>
      <c r="B2743" s="9" t="str">
        <f>HYPERLINK("https://www.lazada.vn/products/sake-mua-craft-sake-pineapple-chili-300ml-vi-dua-ot-i3012713617.html", "https://www.lazada.vn/products/sake-mua-craft-sake-pineapple-chili-300ml-vi-dua-ot-i3012713617.html")</f>
        <v>https://www.lazada.vn/products/sake-mua-craft-sake-pineapple-chili-300ml-vi-dua-ot-i3012713617.html</v>
      </c>
      <c r="C2743" s="10" t="s">
        <v>2743</v>
      </c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8">
        <v>7598.0</v>
      </c>
      <c r="B2744" s="9" t="str">
        <f>HYPERLINK("https://www.lazada.vn/products/wsg-1-thung-bia-corny-khoa-khilong-ngat-ket-noi-cho-bia-nha-kieu-cornelius-i3003218094.html", "https://www.lazada.vn/products/wsg-1-thung-bia-corny-khoa-khilong-ngat-ket-noi-cho-bia-nha-kieu-cornelius-i3003218094.html")</f>
        <v>https://www.lazada.vn/products/wsg-1-thung-bia-corny-khoa-khilong-ngat-ket-noi-cho-bia-nha-kieu-cornelius-i3003218094.html</v>
      </c>
      <c r="C2744" s="10" t="s">
        <v>2744</v>
      </c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8">
        <v>7599.0</v>
      </c>
      <c r="B2745" s="9" t="str">
        <f>HYPERLINK("https://www.lazada.vn/products/hop-qua-ruou-mo-nhat-vi-viet-quat-umeshu-nakano-blueberry-720ml-12-i3009518030.html", "https://www.lazada.vn/products/hop-qua-ruou-mo-nhat-vi-viet-quat-umeshu-nakano-blueberry-720ml-12-i3009518030.html")</f>
        <v>https://www.lazada.vn/products/hop-qua-ruou-mo-nhat-vi-viet-quat-umeshu-nakano-blueberry-720ml-12-i3009518030.html</v>
      </c>
      <c r="C2745" s="10" t="s">
        <v>2745</v>
      </c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8">
        <v>7600.0</v>
      </c>
      <c r="B2746" s="9" t="str">
        <f>HYPERLINK("https://www.lazada.vn/products/behoo-1-thung-bia-corny-khoa-khilong-ngat-ket-noi-cho-bia-nha-kieu-cornelius-i3002687117.html", "https://www.lazada.vn/products/behoo-1-thung-bia-corny-khoa-khilong-ngat-ket-noi-cho-bia-nha-kieu-cornelius-i3002687117.html")</f>
        <v>https://www.lazada.vn/products/behoo-1-thung-bia-corny-khoa-khilong-ngat-ket-noi-cho-bia-nha-kieu-cornelius-i3002687117.html</v>
      </c>
      <c r="C2746" s="10" t="s">
        <v>2746</v>
      </c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8">
        <v>7601.0</v>
      </c>
      <c r="B2747" s="9" t="str">
        <f>HYPERLINK("https://www.lazada.vn/products/hop-2kg-banh-my-hoa-cuc-7-vi-thom-ngon-thung-24-chiec-i2713997719.html", "https://www.lazada.vn/products/hop-2kg-banh-my-hoa-cuc-7-vi-thom-ngon-thung-24-chiec-i2713997719.html")</f>
        <v>https://www.lazada.vn/products/hop-2kg-banh-my-hoa-cuc-7-vi-thom-ngon-thung-24-chiec-i2713997719.html</v>
      </c>
      <c r="C2747" s="10" t="s">
        <v>2747</v>
      </c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8">
        <v>7602.0</v>
      </c>
      <c r="B2748" s="9" t="str">
        <f>HYPERLINK("https://www.lazada.vn/products/250g-banh-dua-nguyen-cam-healthy-eat-clean-by-tuna-i2002830510.html", "https://www.lazada.vn/products/250g-banh-dua-nguyen-cam-healthy-eat-clean-by-tuna-i2002830510.html")</f>
        <v>https://www.lazada.vn/products/250g-banh-dua-nguyen-cam-healthy-eat-clean-by-tuna-i2002830510.html</v>
      </c>
      <c r="C2748" s="10" t="s">
        <v>2748</v>
      </c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8">
        <v>7603.0</v>
      </c>
      <c r="B2749" s="9" t="str">
        <f>HYPERLINK("https://www.lazada.vn/products/combo-nuoc-uong-the-thao-co-ga-chinh-hang-applied-nutrition-abe-protein-water-bodyfuel-i2598485287.html", "https://www.lazada.vn/products/combo-nuoc-uong-the-thao-co-ga-chinh-hang-applied-nutrition-abe-protein-water-bodyfuel-i2598485287.html")</f>
        <v>https://www.lazada.vn/products/combo-nuoc-uong-the-thao-co-ga-chinh-hang-applied-nutrition-abe-protein-water-bodyfuel-i2598485287.html</v>
      </c>
      <c r="C2749" s="10" t="s">
        <v>2749</v>
      </c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8">
        <v>7604.0</v>
      </c>
      <c r="B2750" s="9" t="str">
        <f>HYPERLINK("https://www.lazada.vn/products/banh-ong-nho-snack-nabati-siip-hop-20-goi-x-4g-i2841353831.html", "https://www.lazada.vn/products/banh-ong-nho-snack-nabati-siip-hop-20-goi-x-4g-i2841353831.html")</f>
        <v>https://www.lazada.vn/products/banh-ong-nho-snack-nabati-siip-hop-20-goi-x-4g-i2841353831.html</v>
      </c>
      <c r="C2750" s="10" t="s">
        <v>2750</v>
      </c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8">
        <v>7605.0</v>
      </c>
      <c r="B2751" s="9" t="str">
        <f>HYPERLINK("https://www.lazada.vn/products/nuoc-cot-sau-thuong-hang-hong-lam-chai-500ml-co-vi-chua-ngot-sau-chin-i2827054034.html", "https://www.lazada.vn/products/nuoc-cot-sau-thuong-hang-hong-lam-chai-500ml-co-vi-chua-ngot-sau-chin-i2827054034.html")</f>
        <v>https://www.lazada.vn/products/nuoc-cot-sau-thuong-hang-hong-lam-chai-500ml-co-vi-chua-ngot-sau-chin-i2827054034.html</v>
      </c>
      <c r="C2751" s="10" t="s">
        <v>2751</v>
      </c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8">
        <v>7606.0</v>
      </c>
      <c r="B2752" s="9" t="str">
        <f>HYPERLINK("https://www.lazada.vn/products/loc-6lon-nuoc-ngot-pepsi-320ml-dam-da-thom-ngon-dung-vi-la-nuoc-giai-khac-uong-lanh-ngon-tuyet-dinh-han-su-dung-luon-moi-co-mau-xuan-2025-i2553550037.html", "https://www.lazada.vn/products/loc-6lon-nuoc-ngot-pepsi-320ml-dam-da-thom-ngon-dung-vi-la-nuoc-giai-khac-uong-lanh-ngon-tuyet-dinh-han-su-dung-luon-moi-co-mau-xuan-2025-i2553550037.html")</f>
        <v>https://www.lazada.vn/products/loc-6lon-nuoc-ngot-pepsi-320ml-dam-da-thom-ngon-dung-vi-la-nuoc-giai-khac-uong-lanh-ngon-tuyet-dinh-han-su-dung-luon-moi-co-mau-xuan-2025-i2553550037.html</v>
      </c>
      <c r="C2752" s="10" t="s">
        <v>2752</v>
      </c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8">
        <v>7607.0</v>
      </c>
      <c r="B2753" s="9" t="str">
        <f>HYPERLINK("https://www.lazada.vn/products/bot-cacao-thai-chau-nguyen-chat-100-thom-ngon-dam-vi-loai-1-250g-500ghop-i2384090909.html", "https://www.lazada.vn/products/bot-cacao-thai-chau-nguyen-chat-100-thom-ngon-dam-vi-loai-1-250g-500ghop-i2384090909.html")</f>
        <v>https://www.lazada.vn/products/bot-cacao-thai-chau-nguyen-chat-100-thom-ngon-dam-vi-loai-1-250g-500ghop-i2384090909.html</v>
      </c>
      <c r="C2753" s="10" t="s">
        <v>2753</v>
      </c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8">
        <v>7608.0</v>
      </c>
      <c r="B2754" s="9" t="str">
        <f>HYPERLINK("https://www.lazada.vn/products/gia-vi-haidilao-mien-hop-vi-chua-cay-mien-an-lien-tien-loi-cho-nguoi-ban-ron-127g-i2957197302.html", "https://www.lazada.vn/products/gia-vi-haidilao-mien-hop-vi-chua-cay-mien-an-lien-tien-loi-cho-nguoi-ban-ron-127g-i2957197302.html")</f>
        <v>https://www.lazada.vn/products/gia-vi-haidilao-mien-hop-vi-chua-cay-mien-an-lien-tien-loi-cho-nguoi-ban-ron-127g-i2957197302.html</v>
      </c>
      <c r="C2754" s="10" t="s">
        <v>2754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8">
        <v>7609.0</v>
      </c>
      <c r="B2755" s="9" t="str">
        <f>HYPERLINK("https://www.lazada.vn/products/wake-up-tui-456g-24-goi-ca-phe-sai-gon-vinacafe-bh-3-in-1-the-coffee-innovator-i3036016929.html", "https://www.lazada.vn/products/wake-up-tui-456g-24-goi-ca-phe-sai-gon-vinacafe-bh-3-in-1-the-coffee-innovator-i3036016929.html")</f>
        <v>https://www.lazada.vn/products/wake-up-tui-456g-24-goi-ca-phe-sai-gon-vinacafe-bh-3-in-1-the-coffee-innovator-i3036016929.html</v>
      </c>
      <c r="C2755" s="10" t="s">
        <v>2755</v>
      </c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8">
        <v>7610.0</v>
      </c>
      <c r="B2756" s="9" t="str">
        <f>HYPERLINK("https://www.lazada.vn/products/xoai-say-deo-i3056951901.html", "https://www.lazada.vn/products/xoai-say-deo-i3056951901.html")</f>
        <v>https://www.lazada.vn/products/xoai-say-deo-i3056951901.html</v>
      </c>
      <c r="C2756" s="10" t="s">
        <v>2756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8">
        <v>7611.0</v>
      </c>
      <c r="B2757" s="9" t="str">
        <f>HYPERLINK("https://www.lazada.vn/products/thung-2kg-banh-mi-hamburger-nhan-xot-pho-mai-i2713992680.html", "https://www.lazada.vn/products/thung-2kg-banh-mi-hamburger-nhan-xot-pho-mai-i2713992680.html")</f>
        <v>https://www.lazada.vn/products/thung-2kg-banh-mi-hamburger-nhan-xot-pho-mai-i2713992680.html</v>
      </c>
      <c r="C2757" s="10" t="s">
        <v>2757</v>
      </c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8">
        <v>7612.0</v>
      </c>
      <c r="B2758" s="9" t="str">
        <f>HYPERLINK("https://www.lazada.vn/products/ruou-eric-legrand-bulle-de-folie-75cl-i2280278345.html", "https://www.lazada.vn/products/ruou-eric-legrand-bulle-de-folie-75cl-i2280278345.html")</f>
        <v>https://www.lazada.vn/products/ruou-eric-legrand-bulle-de-folie-75cl-i2280278345.html</v>
      </c>
      <c r="C2758" s="10" t="s">
        <v>2758</v>
      </c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8">
        <v>7613.0</v>
      </c>
      <c r="B2759" s="9" t="str">
        <f>HYPERLINK("https://www.lazada.vn/products/banh-quy-an-no-khong-duong-danh-cho-nguoi-tieu-duong-banh-quy-hat-thay-the-thuc-pham-banh-quy-yen-mach-ngot-tu-nhien-banh-quy-khoai-tay-chien-i2923770613.html", "https://www.lazada.vn/products/banh-quy-an-no-khong-duong-danh-cho-nguoi-tieu-duong-banh-quy-hat-thay-the-thuc-pham-banh-quy-yen-mach-ngot-tu-nhien-banh-quy-khoai-tay-chien-i2923770613.html")</f>
        <v>https://www.lazada.vn/products/banh-quy-an-no-khong-duong-danh-cho-nguoi-tieu-duong-banh-quy-hat-thay-the-thuc-pham-banh-quy-yen-mach-ngot-tu-nhien-banh-quy-khoai-tay-chien-i2923770613.html</v>
      </c>
      <c r="C2759" s="10" t="s">
        <v>2759</v>
      </c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8">
        <v>7614.0</v>
      </c>
      <c r="B2760" s="9" t="str">
        <f>HYPERLINK("https://www.lazada.vn/products/banh-ruoc-gau-cha-bong-goi-40gr-i2712332158.html", "https://www.lazada.vn/products/banh-ruoc-gau-cha-bong-goi-40gr-i2712332158.html")</f>
        <v>https://www.lazada.vn/products/banh-ruoc-gau-cha-bong-goi-40gr-i2712332158.html</v>
      </c>
      <c r="C2760" s="10" t="s">
        <v>2760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8">
        <v>7615.0</v>
      </c>
      <c r="B2761" s="9" t="str">
        <f>HYPERLINK("https://www.lazada.vn/products/muxi-1-thung-bia-corny-khoa-khilong-ngat-ket-noi-cho-bia-nha-kieu-cornelius-i3002376489.html", "https://www.lazada.vn/products/muxi-1-thung-bia-corny-khoa-khilong-ngat-ket-noi-cho-bia-nha-kieu-cornelius-i3002376489.html")</f>
        <v>https://www.lazada.vn/products/muxi-1-thung-bia-corny-khoa-khilong-ngat-ket-noi-cho-bia-nha-kieu-cornelius-i3002376489.html</v>
      </c>
      <c r="C2761" s="10" t="s">
        <v>2761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8">
        <v>7616.0</v>
      </c>
      <c r="B2762" s="9" t="str">
        <f>HYPERLINK("https://www.lazada.vn/products/banh-gao-cuon-want-want-vi-trung-muoi-rong-bien-180g-banh-ong-cuon-gion-ngon-an-vat-i2707785092.html", "https://www.lazada.vn/products/banh-gao-cuon-want-want-vi-trung-muoi-rong-bien-180g-banh-ong-cuon-gion-ngon-an-vat-i2707785092.html")</f>
        <v>https://www.lazada.vn/products/banh-gao-cuon-want-want-vi-trung-muoi-rong-bien-180g-banh-ong-cuon-gion-ngon-an-vat-i2707785092.html</v>
      </c>
      <c r="C2762" s="10" t="s">
        <v>2762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8">
        <v>7617.0</v>
      </c>
      <c r="B2763" s="9" t="str">
        <f>HYPERLINK("https://www.lazada.vn/products/bia-cong-nghe-duc-huong-vi-dam-da-thom-ngon-doc-va-la-i3001877601.html", "https://www.lazada.vn/products/bia-cong-nghe-duc-huong-vi-dam-da-thom-ngon-doc-va-la-i3001877601.html")</f>
        <v>https://www.lazada.vn/products/bia-cong-nghe-duc-huong-vi-dam-da-thom-ngon-doc-va-la-i3001877601.html</v>
      </c>
      <c r="C2763" s="10" t="s">
        <v>2763</v>
      </c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8">
        <v>7618.0</v>
      </c>
      <c r="B2764" s="9" t="str">
        <f>HYPERLINK("https://www.lazada.vn/products/10-cai-banh-phong-sua-tron-thanh-long-vi-dua-sua-beo-vi-la-dua-vi-sau-rieng-i2707392163.html", "https://www.lazada.vn/products/10-cai-banh-phong-sua-tron-thanh-long-vi-dua-sua-beo-vi-la-dua-vi-sau-rieng-i2707392163.html")</f>
        <v>https://www.lazada.vn/products/10-cai-banh-phong-sua-tron-thanh-long-vi-dua-sua-beo-vi-la-dua-vi-sau-rieng-i2707392163.html</v>
      </c>
      <c r="C2764" s="10" t="s">
        <v>2764</v>
      </c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8">
        <v>7619.0</v>
      </c>
      <c r="B2765" s="9" t="str">
        <f>HYPERLINK("https://www.lazada.vn/products/bun-gao-kho-jimmy-250g-i1038136952.html", "https://www.lazada.vn/products/bun-gao-kho-jimmy-250g-i1038136952.html")</f>
        <v>https://www.lazada.vn/products/bun-gao-kho-jimmy-250g-i1038136952.html</v>
      </c>
      <c r="C2765" s="10" t="s">
        <v>2765</v>
      </c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8">
        <v>7620.0</v>
      </c>
      <c r="B2766" s="9" t="str">
        <f>HYPERLINK("https://www.lazada.vn/products/tran-chau-3q-ok-i2933417330.html", "https://www.lazada.vn/products/tran-chau-3q-ok-i2933417330.html")</f>
        <v>https://www.lazada.vn/products/tran-chau-3q-ok-i2933417330.html</v>
      </c>
      <c r="C2766" s="10" t="s">
        <v>2766</v>
      </c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8">
        <v>7621.0</v>
      </c>
      <c r="B2767" s="9" t="str">
        <f>HYPERLINK("https://www.lazada.vn/products/banh-lotte-chocolat-i2001923571.html", "https://www.lazada.vn/products/banh-lotte-chocolat-i2001923571.html")</f>
        <v>https://www.lazada.vn/products/banh-lotte-chocolat-i2001923571.html</v>
      </c>
      <c r="C2767" s="10" t="s">
        <v>2767</v>
      </c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8">
        <v>7622.0</v>
      </c>
      <c r="B2768" s="9" t="str">
        <f>HYPERLINK("https://www.lazada.vn/products/ruou-mo-umeshu-nhat-nakano-bc-vi-tac-citrus-720ml-12-i3009511136.html", "https://www.lazada.vn/products/ruou-mo-umeshu-nhat-nakano-bc-vi-tac-citrus-720ml-12-i3009511136.html")</f>
        <v>https://www.lazada.vn/products/ruou-mo-umeshu-nhat-nakano-bc-vi-tac-citrus-720ml-12-i3009511136.html</v>
      </c>
      <c r="C2768" s="10" t="s">
        <v>2768</v>
      </c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8">
        <v>7623.0</v>
      </c>
      <c r="B2769" s="9" t="str">
        <f>HYPERLINK("https://www.lazada.vn/products/ca-phe-hoa-tan-3in1-ngon-bich-to-60-goi-i2996131426.html", "https://www.lazada.vn/products/ca-phe-hoa-tan-3in1-ngon-bich-to-60-goi-i2996131426.html")</f>
        <v>https://www.lazada.vn/products/ca-phe-hoa-tan-3in1-ngon-bich-to-60-goi-i2996131426.html</v>
      </c>
      <c r="C2769" s="10" t="s">
        <v>2769</v>
      </c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8">
        <v>7624.0</v>
      </c>
      <c r="B2770" s="9" t="str">
        <f>HYPERLINK("https://www.lazada.vn/products/coop-online-chao-yen-gau-do-thit-bam-50g-i2944144234.html", "https://www.lazada.vn/products/coop-online-chao-yen-gau-do-thit-bam-50g-i2944144234.html")</f>
        <v>https://www.lazada.vn/products/coop-online-chao-yen-gau-do-thit-bam-50g-i2944144234.html</v>
      </c>
      <c r="C2770" s="10" t="s">
        <v>2770</v>
      </c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8">
        <v>7625.0</v>
      </c>
      <c r="B2771" s="9" t="str">
        <f>HYPERLINK("https://www.lazada.vn/products/bot-cacao-dang-nguyen-chat-hersheys-hop-226g-date-62025-i2383762488.html", "https://www.lazada.vn/products/bot-cacao-dang-nguyen-chat-hersheys-hop-226g-date-62025-i2383762488.html")</f>
        <v>https://www.lazada.vn/products/bot-cacao-dang-nguyen-chat-hersheys-hop-226g-date-62025-i2383762488.html</v>
      </c>
      <c r="C2771" s="10" t="s">
        <v>2771</v>
      </c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8">
        <v>7626.0</v>
      </c>
      <c r="B2772" s="9" t="str">
        <f>HYPERLINK("https://www.lazada.vn/products/thung-28lon-nuoc-ngot-pepsi-320-ml-dam-da-thom-ngon-dung-vi-la-nuoc-giai-khac-uong-lanh-ngon-tuyet-han-su-dung-luon-moico-mau-xuan-2025-i2553496234.html", "https://www.lazada.vn/products/thung-28lon-nuoc-ngot-pepsi-320-ml-dam-da-thom-ngon-dung-vi-la-nuoc-giai-khac-uong-lanh-ngon-tuyet-han-su-dung-luon-moico-mau-xuan-2025-i2553496234.html")</f>
        <v>https://www.lazada.vn/products/thung-28lon-nuoc-ngot-pepsi-320-ml-dam-da-thom-ngon-dung-vi-la-nuoc-giai-khac-uong-lanh-ngon-tuyet-han-su-dung-luon-moico-mau-xuan-2025-i2553496234.html</v>
      </c>
      <c r="C2772" s="10" t="s">
        <v>2772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8">
        <v>7627.0</v>
      </c>
      <c r="B2773" s="9" t="str">
        <f>HYPERLINK("https://www.lazada.vn/products/xoai-say-deo-hu-300g-do-an-vat-yoyo-i3048135233.html", "https://www.lazada.vn/products/xoai-say-deo-hu-300g-do-an-vat-yoyo-i3048135233.html")</f>
        <v>https://www.lazada.vn/products/xoai-say-deo-hu-300g-do-an-vat-yoyo-i3048135233.html</v>
      </c>
      <c r="C2773" s="10" t="s">
        <v>2773</v>
      </c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8">
        <v>7628.0</v>
      </c>
      <c r="B2774" s="9" t="str">
        <f>HYPERLINK("https://www.lazada.vn/products/combo-6-chai-nuoc-revive-bu-nuoc-bu-khoang-b1-b3-b6-b12-kali-date-moi-9-thangmoi-chai-500ml-i2597540438.html", "https://www.lazada.vn/products/combo-6-chai-nuoc-revive-bu-nuoc-bu-khoang-b1-b3-b6-b12-kali-date-moi-9-thangmoi-chai-500ml-i2597540438.html")</f>
        <v>https://www.lazada.vn/products/combo-6-chai-nuoc-revive-bu-nuoc-bu-khoang-b1-b3-b6-b12-kali-date-moi-9-thangmoi-chai-500ml-i2597540438.html</v>
      </c>
      <c r="C2774" s="10" t="s">
        <v>2774</v>
      </c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8">
        <v>7629.0</v>
      </c>
      <c r="B2775" s="9" t="str">
        <f>HYPERLINK("https://www.lazada.vn/products/big-size-113g-snack-tu-uc-ga-wilde-protein-chips-giau-dam-i2839499262.html", "https://www.lazada.vn/products/big-size-113g-snack-tu-uc-ga-wilde-protein-chips-giau-dam-i2839499262.html")</f>
        <v>https://www.lazada.vn/products/big-size-113g-snack-tu-uc-ga-wilde-protein-chips-giau-dam-i2839499262.html</v>
      </c>
      <c r="C2775" s="10" t="s">
        <v>2775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8">
        <v>7630.0</v>
      </c>
      <c r="B2776" s="9" t="str">
        <f>HYPERLINK("https://www.lazada.vn/products/xi-muoi-mo-thanh-binh-900gr-i2826276486.html", "https://www.lazada.vn/products/xi-muoi-mo-thanh-binh-900gr-i2826276486.html")</f>
        <v>https://www.lazada.vn/products/xi-muoi-mo-thanh-binh-900gr-i2826276486.html</v>
      </c>
      <c r="C2776" s="10" t="s">
        <v>2776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8">
        <v>7631.0</v>
      </c>
      <c r="B2777" s="9" t="str">
        <f>HYPERLINK("https://www.lazada.vn/products/banh-quy-hat-de-gion-ngon-qua-cuoi-banh-keo-ngot-keo-deo-sua-banh-quy-hat-keo-deo-gion-huong-vi-hat-de-huong-vi-sua-i2923686622.html", "https://www.lazada.vn/products/banh-quy-hat-de-gion-ngon-qua-cuoi-banh-keo-ngot-keo-deo-sua-banh-quy-hat-keo-deo-gion-huong-vi-hat-de-huong-vi-sua-i2923686622.html")</f>
        <v>https://www.lazada.vn/products/banh-quy-hat-de-gion-ngon-qua-cuoi-banh-keo-ngot-keo-deo-sua-banh-quy-hat-keo-deo-gion-huong-vi-hat-de-huong-vi-sua-i2923686622.html</v>
      </c>
      <c r="C2777" s="10" t="s">
        <v>2777</v>
      </c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8">
        <v>7632.0</v>
      </c>
      <c r="B2778" s="9" t="str">
        <f>HYPERLINK("https://www.lazada.vn/products/hop-qua-nghe-nhan-ruou-vang-chile-karku-750ml-i2700691579.html", "https://www.lazada.vn/products/hop-qua-nghe-nhan-ruou-vang-chile-karku-750ml-i2700691579.html")</f>
        <v>https://www.lazada.vn/products/hop-qua-nghe-nhan-ruou-vang-chile-karku-750ml-i2700691579.html</v>
      </c>
      <c r="C2778" s="10" t="s">
        <v>2778</v>
      </c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8">
        <v>7633.0</v>
      </c>
      <c r="B2779" s="9" t="str">
        <f>HYPERLINK("https://www.lazada.vn/products/ruou-eric-legrand-cuvee-rose-750ml-i2280270080.html", "https://www.lazada.vn/products/ruou-eric-legrand-cuvee-rose-750ml-i2280270080.html")</f>
        <v>https://www.lazada.vn/products/ruou-eric-legrand-cuvee-rose-750ml-i2280270080.html</v>
      </c>
      <c r="C2779" s="10" t="s">
        <v>2779</v>
      </c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8">
        <v>7634.0</v>
      </c>
      <c r="B2780" s="9" t="str">
        <f>HYPERLINK("https://www.lazada.vn/products/combo-4-goi-banh-pia-600g-i280000119.html", "https://www.lazada.vn/products/combo-4-goi-banh-pia-600g-i280000119.html")</f>
        <v>https://www.lazada.vn/products/combo-4-goi-banh-pia-600g-i280000119.html</v>
      </c>
      <c r="C2780" s="10" t="s">
        <v>2780</v>
      </c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8">
        <v>7635.0</v>
      </c>
      <c r="B2781" s="9" t="str">
        <f>HYPERLINK("https://www.lazada.vn/products/si-thung-5kg-thach-zaizai-duc-hanh-mix-nhieu-vi-thom-ngon-do-an-vat-i2576022282.html", "https://www.lazada.vn/products/si-thung-5kg-thach-zaizai-duc-hanh-mix-nhieu-vi-thom-ngon-do-an-vat-i2576022282.html")</f>
        <v>https://www.lazada.vn/products/si-thung-5kg-thach-zaizai-duc-hanh-mix-nhieu-vi-thom-ngon-do-an-vat-i2576022282.html</v>
      </c>
      <c r="C2781" s="10" t="s">
        <v>2781</v>
      </c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8">
        <v>7636.0</v>
      </c>
      <c r="B2782" s="9" t="str">
        <f>HYPERLINK("https://www.lazada.vn/products/banh-mi-me-den-vung-kieu-han-quoc-an-healthy-bibizan-25grgoi-hop-8-banh-200gr-i2706079701.html", "https://www.lazada.vn/products/banh-mi-me-den-vung-kieu-han-quoc-an-healthy-bibizan-25grgoi-hop-8-banh-200gr-i2706079701.html")</f>
        <v>https://www.lazada.vn/products/banh-mi-me-den-vung-kieu-han-quoc-an-healthy-bibizan-25grgoi-hop-8-banh-200gr-i2706079701.html</v>
      </c>
      <c r="C2782" s="10" t="s">
        <v>2782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8">
        <v>7637.0</v>
      </c>
      <c r="B2783" s="9" t="str">
        <f>HYPERLINK("https://www.lazada.vn/products/tuborg-bia-lager-dan-mach-nong-do-con-46-thung-24-lon-330ml-bia-cao-cap-quoc-te-i3001484301.html", "https://www.lazada.vn/products/tuborg-bia-lager-dan-mach-nong-do-con-46-thung-24-lon-330ml-bia-cao-cap-quoc-te-i3001484301.html")</f>
        <v>https://www.lazada.vn/products/tuborg-bia-lager-dan-mach-nong-do-con-46-thung-24-lon-330ml-bia-cao-cap-quoc-te-i3001484301.html</v>
      </c>
      <c r="C2783" s="10" t="s">
        <v>2783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8">
        <v>7638.0</v>
      </c>
      <c r="B2784" s="9" t="str">
        <f>HYPERLINK("https://www.lazada.vn/products/hop-qua-bon-mua-ruou-vang-do-phap-roc-saint-andre-750ml-i2700554714.html", "https://www.lazada.vn/products/hop-qua-bon-mua-ruou-vang-do-phap-roc-saint-andre-750ml-i2700554714.html")</f>
        <v>https://www.lazada.vn/products/hop-qua-bon-mua-ruou-vang-do-phap-roc-saint-andre-750ml-i2700554714.html</v>
      </c>
      <c r="C2784" s="10" t="s">
        <v>2784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8">
        <v>7639.0</v>
      </c>
      <c r="B2785" s="9" t="str">
        <f>HYPERLINK("https://www.lazada.vn/products/ppbe-1-thung-bia-corny-khoa-khilong-ngat-ket-noi-cho-bia-nha-kieu-cornelius-i3001421060.html", "https://www.lazada.vn/products/ppbe-1-thung-bia-corny-khoa-khilong-ngat-ket-noi-cho-bia-nha-kieu-cornelius-i3001421060.html")</f>
        <v>https://www.lazada.vn/products/ppbe-1-thung-bia-corny-khoa-khilong-ngat-ket-noi-cho-bia-nha-kieu-cornelius-i3001421060.html</v>
      </c>
      <c r="C2785" s="10" t="s">
        <v>2785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8">
        <v>7640.0</v>
      </c>
      <c r="B2786" s="9" t="str">
        <f>HYPERLINK("https://www.lazada.vn/products/banh-mi-hoa-cuc-otto_80gr-i2705631232.html", "https://www.lazada.vn/products/banh-mi-hoa-cuc-otto_80gr-i2705631232.html")</f>
        <v>https://www.lazada.vn/products/banh-mi-hoa-cuc-otto_80gr-i2705631232.html</v>
      </c>
      <c r="C2786" s="10" t="s">
        <v>2786</v>
      </c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8">
        <v>7641.0</v>
      </c>
      <c r="B2787" s="9" t="str">
        <f>HYPERLINK("https://www.lazada.vn/products/dac-rim-dau-tam-chua-ngot-hu-1kg-i3046095062.html", "https://www.lazada.vn/products/dac-rim-dau-tam-chua-ngot-hu-1kg-i3046095062.html")</f>
        <v>https://www.lazada.vn/products/dac-rim-dau-tam-chua-ngot-hu-1kg-i3046095062.html</v>
      </c>
      <c r="C2787" s="10" t="s">
        <v>2787</v>
      </c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8">
        <v>7642.0</v>
      </c>
      <c r="B2788" s="9" t="str">
        <f>HYPERLINK("https://www.lazada.vn/products/hop-qua-tang-van-phuc-nishino-seki-hana-720ml-i3009511123.html", "https://www.lazada.vn/products/hop-qua-tang-van-phuc-nishino-seki-hana-720ml-i3009511123.html")</f>
        <v>https://www.lazada.vn/products/hop-qua-tang-van-phuc-nishino-seki-hana-720ml-i3009511123.html</v>
      </c>
      <c r="C2788" s="10" t="s">
        <v>2788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8">
        <v>7643.0</v>
      </c>
      <c r="B2789" s="9" t="str">
        <f>HYPERLINK("https://www.lazada.vn/products/tac-xi-muoi-xuan-hong-hu-900gc-i2845353206.html", "https://www.lazada.vn/products/tac-xi-muoi-xuan-hong-hu-900gc-i2845353206.html")</f>
        <v>https://www.lazada.vn/products/tac-xi-muoi-xuan-hong-hu-900gc-i2845353206.html</v>
      </c>
      <c r="C2789" s="10" t="s">
        <v>2789</v>
      </c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8">
        <v>7644.0</v>
      </c>
      <c r="B2790" s="9" t="str">
        <f>HYPERLINK("https://www.lazada.vn/products/nui-say-gia-vi-hu-300g-i2992737837.html", "https://www.lazada.vn/products/nui-say-gia-vi-hu-300g-i2992737837.html")</f>
        <v>https://www.lazada.vn/products/nui-say-gia-vi-hu-300g-i2992737837.html</v>
      </c>
      <c r="C2790" s="10" t="s">
        <v>2790</v>
      </c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8">
        <v>7645.0</v>
      </c>
      <c r="B2791" s="9" t="str">
        <f>HYPERLINK("https://www.lazada.vn/products/tui-1kg-thach-zaizai-duc-hanh-mix-nhieu-vi-thom-ngon-do-an-vat-i2576012272.html", "https://www.lazada.vn/products/tui-1kg-thach-zaizai-duc-hanh-mix-nhieu-vi-thom-ngon-do-an-vat-i2576012272.html")</f>
        <v>https://www.lazada.vn/products/tui-1kg-thach-zaizai-duc-hanh-mix-nhieu-vi-thom-ngon-do-an-vat-i2576012272.html</v>
      </c>
      <c r="C2791" s="10" t="s">
        <v>2791</v>
      </c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8">
        <v>7646.0</v>
      </c>
      <c r="B2792" s="9" t="str">
        <f>HYPERLINK("https://www.lazada.vn/products/hop-qua-bon-mua-ruou-vang-do-phap-chateau-de-leglise-bordeaux-superieur-750ml-i2700528781.html", "https://www.lazada.vn/products/hop-qua-bon-mua-ruou-vang-do-phap-chateau-de-leglise-bordeaux-superieur-750ml-i2700528781.html")</f>
        <v>https://www.lazada.vn/products/hop-qua-bon-mua-ruou-vang-do-phap-chateau-de-leglise-bordeaux-superieur-750ml-i2700528781.html</v>
      </c>
      <c r="C2792" s="10" t="s">
        <v>2792</v>
      </c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8">
        <v>7647.0</v>
      </c>
      <c r="B2793" s="9" t="str">
        <f>HYPERLINK("https://www.lazada.vn/products/banh-choco-pie-orion-vi-dua-hau-hop-12-cai-i1995470231.html", "https://www.lazada.vn/products/banh-choco-pie-orion-vi-dua-hau-hop-12-cai-i1995470231.html")</f>
        <v>https://www.lazada.vn/products/banh-choco-pie-orion-vi-dua-hau-hop-12-cai-i1995470231.html</v>
      </c>
      <c r="C2793" s="10" t="s">
        <v>2793</v>
      </c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8">
        <v>7648.0</v>
      </c>
      <c r="B2794" s="9" t="str">
        <f>HYPERLINK("https://www.lazada.vn/products/carlsberg-bia-danish-pilsner-nong-do-con-5-loc-6-lon-330ml-beer-dan-mach-hao-hang-i3001326825.html", "https://www.lazada.vn/products/carlsberg-bia-danish-pilsner-nong-do-con-5-loc-6-lon-330ml-beer-dan-mach-hao-hang-i3001326825.html")</f>
        <v>https://www.lazada.vn/products/carlsberg-bia-danish-pilsner-nong-do-con-5-loc-6-lon-330ml-beer-dan-mach-hao-hang-i3001326825.html</v>
      </c>
      <c r="C2794" s="10" t="s">
        <v>2794</v>
      </c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8">
        <v>7649.0</v>
      </c>
      <c r="B2795" s="9" t="str">
        <f>HYPERLINK("https://www.lazada.vn/products/tuborg-ice-bia-lager-dan-mach-nong-do-con-43-thung-24-lon-330ml-beer-cao-cap-quoc-te-i3001282942.html", "https://www.lazada.vn/products/tuborg-ice-bia-lager-dan-mach-nong-do-con-43-thung-24-lon-330ml-beer-cao-cap-quoc-te-i3001282942.html")</f>
        <v>https://www.lazada.vn/products/tuborg-ice-bia-lager-dan-mach-nong-do-con-43-thung-24-lon-330ml-beer-cao-cap-quoc-te-i3001282942.html</v>
      </c>
      <c r="C2795" s="10" t="s">
        <v>2795</v>
      </c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8">
        <v>7650.0</v>
      </c>
      <c r="B2796" s="9" t="str">
        <f>HYPERLINK("https://www.lazada.vn/products/blanc-1664-nong-do-con-5-thung-24-lon-bia-330ml-beer-phap-hao-hang-i3001253535.html", "https://www.lazada.vn/products/blanc-1664-nong-do-con-5-thung-24-lon-bia-330ml-beer-phap-hao-hang-i3001253535.html")</f>
        <v>https://www.lazada.vn/products/blanc-1664-nong-do-con-5-thung-24-lon-bia-330ml-beer-phap-hao-hang-i3001253535.html</v>
      </c>
      <c r="C2796" s="10" t="s">
        <v>2796</v>
      </c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8">
        <v>7651.0</v>
      </c>
      <c r="B2797" s="9" t="str">
        <f>HYPERLINK("https://www.lazada.vn/products/sieu-ngon-1-banh-banh-tam-giac-nhien-loi-nhieu-vi-nhan-kem-thom-beo-ngon-kho-cuong-an-vat-jamay-food-i2704885175.html", "https://www.lazada.vn/products/sieu-ngon-1-banh-banh-tam-giac-nhien-loi-nhieu-vi-nhan-kem-thom-beo-ngon-kho-cuong-an-vat-jamay-food-i2704885175.html")</f>
        <v>https://www.lazada.vn/products/sieu-ngon-1-banh-banh-tam-giac-nhien-loi-nhieu-vi-nhan-kem-thom-beo-ngon-kho-cuong-an-vat-jamay-food-i2704885175.html</v>
      </c>
      <c r="C2797" s="10" t="s">
        <v>2797</v>
      </c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8">
        <v>7652.0</v>
      </c>
      <c r="B2798" s="9" t="str">
        <f>HYPERLINK("https://www.lazada.vn/products/hop-qua-khai-xuan-ruou-vang-do-phap-roc-saint-andre-750ml-i2700521832.html", "https://www.lazada.vn/products/hop-qua-khai-xuan-ruou-vang-do-phap-roc-saint-andre-750ml-i2700521832.html")</f>
        <v>https://www.lazada.vn/products/hop-qua-khai-xuan-ruou-vang-do-phap-roc-saint-andre-750ml-i2700521832.html</v>
      </c>
      <c r="C2798" s="10" t="s">
        <v>2798</v>
      </c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8">
        <v>7653.0</v>
      </c>
      <c r="B2799" s="9" t="str">
        <f>HYPERLINK("https://www.lazada.vn/products/caravaggio-bacchus-montepulciano-dabruzzo-vang-do-y-i2695214706.html", "https://www.lazada.vn/products/caravaggio-bacchus-montepulciano-dabruzzo-vang-do-y-i2695214706.html")</f>
        <v>https://www.lazada.vn/products/caravaggio-bacchus-montepulciano-dabruzzo-vang-do-y-i2695214706.html</v>
      </c>
      <c r="C2799" s="10" t="s">
        <v>2799</v>
      </c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8">
        <v>7654.0</v>
      </c>
      <c r="B2800" s="9" t="str">
        <f>HYPERLINK("https://www.lazada.vn/products/thom-ngon-kho-cuong-banh-sua-chua-ong-gia-horsh-1kg-do-an-vat-ngon-an-vat-i2704883271.html", "https://www.lazada.vn/products/thom-ngon-kho-cuong-banh-sua-chua-ong-gia-horsh-1kg-do-an-vat-ngon-an-vat-i2704883271.html")</f>
        <v>https://www.lazada.vn/products/thom-ngon-kho-cuong-banh-sua-chua-ong-gia-horsh-1kg-do-an-vat-ngon-an-vat-i2704883271.html</v>
      </c>
      <c r="C2800" s="10" t="s">
        <v>2800</v>
      </c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8">
        <v>7655.0</v>
      </c>
      <c r="B2801" s="9" t="str">
        <f>HYPERLINK("https://www.lazada.vn/products/carlsberg-bia-danish-pilsner-nong-do-con-5-thung-24-lon-330ml-beer-dan-mach-hao-hang-i3001162447.html", "https://www.lazada.vn/products/carlsberg-bia-danish-pilsner-nong-do-con-5-thung-24-lon-330ml-beer-dan-mach-hao-hang-i3001162447.html")</f>
        <v>https://www.lazada.vn/products/carlsberg-bia-danish-pilsner-nong-do-con-5-thung-24-lon-330ml-beer-dan-mach-hao-hang-i3001162447.html</v>
      </c>
      <c r="C2801" s="10" t="s">
        <v>2801</v>
      </c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8">
        <v>7656.0</v>
      </c>
      <c r="B2802" s="9" t="str">
        <f>HYPERLINK("https://www.lazada.vn/products/tavernello-sangiovese-merlot-rubicone-vang-do-y-i2692536440.html", "https://www.lazada.vn/products/tavernello-sangiovese-merlot-rubicone-vang-do-y-i2692536440.html")</f>
        <v>https://www.lazada.vn/products/tavernello-sangiovese-merlot-rubicone-vang-do-y-i2692536440.html</v>
      </c>
      <c r="C2802" s="10" t="s">
        <v>2802</v>
      </c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8">
        <v>7657.0</v>
      </c>
      <c r="B2803" s="9" t="str">
        <f>HYPERLINK("https://www.lazada.vn/products/an-la-ghien-thung-banh-mix-du-vi-nhieu-trong-luong-cho-khach-lua-chon-500g-1kg-2kg-dac-biet-la-khong-can-thung-nha-khach-iu-shop-tu-mix-i2704808459.html", "https://www.lazada.vn/products/an-la-ghien-thung-banh-mix-du-vi-nhieu-trong-luong-cho-khach-lua-chon-500g-1kg-2kg-dac-biet-la-khong-can-thung-nha-khach-iu-shop-tu-mix-i2704808459.html")</f>
        <v>https://www.lazada.vn/products/an-la-ghien-thung-banh-mix-du-vi-nhieu-trong-luong-cho-khach-lua-chon-500g-1kg-2kg-dac-biet-la-khong-can-thung-nha-khach-iu-shop-tu-mix-i2704808459.html</v>
      </c>
      <c r="C2803" s="10" t="s">
        <v>2803</v>
      </c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8">
        <v>7658.0</v>
      </c>
      <c r="B2804" s="9" t="str">
        <f>HYPERLINK("https://www.lazada.vn/products/wonderfulbuyinge-1-thung-bia-corny-khoa-khilong-ngat-ket-noi-cho-bia-nha-kieu-cornelius-i3000619464.html", "https://www.lazada.vn/products/wonderfulbuyinge-1-thung-bia-corny-khoa-khilong-ngat-ket-noi-cho-bia-nha-kieu-cornelius-i3000619464.html")</f>
        <v>https://www.lazada.vn/products/wonderfulbuyinge-1-thung-bia-corny-khoa-khilong-ngat-ket-noi-cho-bia-nha-kieu-cornelius-i3000619464.html</v>
      </c>
      <c r="C2804" s="10" t="s">
        <v>2804</v>
      </c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8">
        <v>7659.0</v>
      </c>
      <c r="B2805" s="9" t="str">
        <f>HYPERLINK("https://www.lazada.vn/products/mi-cay-samyang-han-quoc-vi-pho-mai-vang-my-phomai-maximas-goi-140g-x-3-goi-i997122058.html", "https://www.lazada.vn/products/mi-cay-samyang-han-quoc-vi-pho-mai-vang-my-phomai-maximas-goi-140g-x-3-goi-i997122058.html")</f>
        <v>https://www.lazada.vn/products/mi-cay-samyang-han-quoc-vi-pho-mai-vang-my-phomai-maximas-goi-140g-x-3-goi-i997122058.html</v>
      </c>
      <c r="C2805" s="10" t="s">
        <v>2805</v>
      </c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8">
        <v>7660.0</v>
      </c>
      <c r="B2806" s="9" t="str">
        <f>HYPERLINK("https://www.lazada.vn/products/sieu-khuyen-mai-tang-ca-thai-hoac-tra-70g-khi-mua-2-goi-ca-phe-tran-quang-3-in1-good-morning-480g24-tip-x-20-gam-i2974472013.html", "https://www.lazada.vn/products/sieu-khuyen-mai-tang-ca-thai-hoac-tra-70g-khi-mua-2-goi-ca-phe-tran-quang-3-in1-good-morning-480g24-tip-x-20-gam-i2974472013.html")</f>
        <v>https://www.lazada.vn/products/sieu-khuyen-mai-tang-ca-thai-hoac-tra-70g-khi-mua-2-goi-ca-phe-tran-quang-3-in1-good-morning-480g24-tip-x-20-gam-i2974472013.html</v>
      </c>
      <c r="C2806" s="10" t="s">
        <v>2806</v>
      </c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8">
        <v>7661.0</v>
      </c>
      <c r="B2807" s="9" t="str">
        <f>HYPERLINK("https://www.lazada.vn/products/nuoc-tang-luc-sting-dau-loc-6-lon-x-320ml-i2594569274.html", "https://www.lazada.vn/products/nuoc-tang-luc-sting-dau-loc-6-lon-x-320ml-i2594569274.html")</f>
        <v>https://www.lazada.vn/products/nuoc-tang-luc-sting-dau-loc-6-lon-x-320ml-i2594569274.html</v>
      </c>
      <c r="C2807" s="10" t="s">
        <v>2807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8">
        <v>7662.0</v>
      </c>
      <c r="B2808" s="9" t="str">
        <f>HYPERLINK("https://www.lazada.vn/products/bot-cacao-bungo-nguyen-chat-400gr-31182-i2960302945.html", "https://www.lazada.vn/products/bot-cacao-bungo-nguyen-chat-400gr-31182-i2960302945.html")</f>
        <v>https://www.lazada.vn/products/bot-cacao-bungo-nguyen-chat-400gr-31182-i2960302945.html</v>
      </c>
      <c r="C2808" s="10" t="s">
        <v>2808</v>
      </c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8">
        <v>7663.0</v>
      </c>
      <c r="B2809" s="9" t="str">
        <f>HYPERLINK("https://www.lazada.vn/products/mam-ca-thu-ngam-dau-hu-500g-dac-san-binh-dinh-i3046053881.html", "https://www.lazada.vn/products/mam-ca-thu-ngam-dau-hu-500g-dac-san-binh-dinh-i3046053881.html")</f>
        <v>https://www.lazada.vn/products/mam-ca-thu-ngam-dau-hu-500g-dac-san-binh-dinh-i3046053881.html</v>
      </c>
      <c r="C2809" s="10" t="s">
        <v>2809</v>
      </c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8">
        <v>7664.0</v>
      </c>
      <c r="B2810" s="9" t="str">
        <f>HYPERLINK("https://www.lazada.vn/products/hop-qua-van-phuc-ruou-sake-nishino-seki-junmaishu-720ml-i3009498221.html", "https://www.lazada.vn/products/hop-qua-van-phuc-ruou-sake-nishino-seki-junmaishu-720ml-i3009498221.html")</f>
        <v>https://www.lazada.vn/products/hop-qua-van-phuc-ruou-sake-nishino-seki-junmaishu-720ml-i3009498221.html</v>
      </c>
      <c r="C2810" s="10" t="s">
        <v>2810</v>
      </c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8">
        <v>7665.0</v>
      </c>
      <c r="B2811" s="9" t="str">
        <f>HYPERLINK("https://www.lazada.vn/products/sinh-to-berrino-1-lit-du-vi-i2825904941.html", "https://www.lazada.vn/products/sinh-to-berrino-1-lit-du-vi-i2825904941.html")</f>
        <v>https://www.lazada.vn/products/sinh-to-berrino-1-lit-du-vi-i2825904941.html</v>
      </c>
      <c r="C2811" s="10" t="s">
        <v>2811</v>
      </c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8">
        <v>7666.0</v>
      </c>
      <c r="B2812" s="9" t="str">
        <f>HYPERLINK("https://www.lazada.vn/products/snack-banh-mi-mo-toi-premium-garlic-pizza-han-quoc-120g-i2838069538.html", "https://www.lazada.vn/products/snack-banh-mi-mo-toi-premium-garlic-pizza-han-quoc-120g-i2838069538.html")</f>
        <v>https://www.lazada.vn/products/snack-banh-mi-mo-toi-premium-garlic-pizza-han-quoc-120g-i2838069538.html</v>
      </c>
      <c r="C2812" s="10" t="s">
        <v>2812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8">
        <v>7667.0</v>
      </c>
      <c r="B2813" s="9" t="str">
        <f>HYPERLINK("https://www.lazada.vn/products/chanh-muoi-duong-tan-loc-580gr-80343-i2805097014.html", "https://www.lazada.vn/products/chanh-muoi-duong-tan-loc-580gr-80343-i2805097014.html")</f>
        <v>https://www.lazada.vn/products/chanh-muoi-duong-tan-loc-580gr-80343-i2805097014.html</v>
      </c>
      <c r="C2813" s="10" t="s">
        <v>2813</v>
      </c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8">
        <v>7668.0</v>
      </c>
      <c r="B2814" s="9" t="str">
        <f>HYPERLINK("https://www.lazada.vn/products/tui-500g-thach-zaizai-duc-hanh-mix-nhieu-vi-thom-ngon-do-an-vat-i2575998375.html", "https://www.lazada.vn/products/tui-500g-thach-zaizai-duc-hanh-mix-nhieu-vi-thom-ngon-do-an-vat-i2575998375.html")</f>
        <v>https://www.lazada.vn/products/tui-500g-thach-zaizai-duc-hanh-mix-nhieu-vi-thom-ngon-do-an-vat-i2575998375.html</v>
      </c>
      <c r="C2814" s="10" t="s">
        <v>2814</v>
      </c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8">
        <v>7669.0</v>
      </c>
      <c r="B2815" s="9" t="str">
        <f>HYPERLINK("https://www.lazada.vn/products/xoai-say-muoi-ot-tan-loc-phat-i2989297770.html", "https://www.lazada.vn/products/xoai-say-muoi-ot-tan-loc-phat-i2989297770.html")</f>
        <v>https://www.lazada.vn/products/xoai-say-muoi-ot-tan-loc-phat-i2989297770.html</v>
      </c>
      <c r="C2815" s="10" t="s">
        <v>2815</v>
      </c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8">
        <v>7670.0</v>
      </c>
      <c r="B2816" s="9" t="str">
        <f>HYPERLINK("https://www.lazada.vn/products/combo-2-bich-banh-quy-yen-mach-quaker-270g-vi-hanh-nhan-mat-ong-i1989505586.html", "https://www.lazada.vn/products/combo-2-bich-banh-quy-yen-mach-quaker-270g-vi-hanh-nhan-mat-ong-i1989505586.html")</f>
        <v>https://www.lazada.vn/products/combo-2-bich-banh-quy-yen-mach-quaker-270g-vi-hanh-nhan-mat-ong-i1989505586.html</v>
      </c>
      <c r="C2816" s="10" t="s">
        <v>2816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8">
        <v>7671.0</v>
      </c>
      <c r="B2817" s="9" t="str">
        <f>HYPERLINK("https://www.lazada.vn/products/nikki-namkeen-namak-para-200g-i2818002222.html", "https://www.lazada.vn/products/nikki-namkeen-namak-para-200g-i2818002222.html")</f>
        <v>https://www.lazada.vn/products/nikki-namkeen-namak-para-200g-i2818002222.html</v>
      </c>
      <c r="C2817" s="10" t="s">
        <v>2817</v>
      </c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8">
        <v>7672.0</v>
      </c>
      <c r="B2818" s="9" t="str">
        <f>HYPERLINK("https://www.lazada.vn/products/ovaltine-ahuat-lava-cake-320gbox-chocolate-afternoon-tea-black-chocolate-flavor-pastries-snacks-banh-quy-trung-tron-so-co-la-i2923672970.html", "https://www.lazada.vn/products/ovaltine-ahuat-lava-cake-320gbox-chocolate-afternoon-tea-black-chocolate-flavor-pastries-snacks-banh-quy-trung-tron-so-co-la-i2923672970.html")</f>
        <v>https://www.lazada.vn/products/ovaltine-ahuat-lava-cake-320gbox-chocolate-afternoon-tea-black-chocolate-flavor-pastries-snacks-banh-quy-trung-tron-so-co-la-i2923672970.html</v>
      </c>
      <c r="C2818" s="10" t="s">
        <v>2818</v>
      </c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8">
        <v>7673.0</v>
      </c>
      <c r="B2819" s="9" t="str">
        <f>HYPERLINK("https://www.lazada.vn/products/bot-ca-cao-nguyen-chat-100-hucha-bich-100g-nguyen-lieu-hucha-i2382984987.html", "https://www.lazada.vn/products/bot-ca-cao-nguyen-chat-100-hucha-bich-100g-nguyen-lieu-hucha-i2382984987.html")</f>
        <v>https://www.lazada.vn/products/bot-ca-cao-nguyen-chat-100-hucha-bich-100g-nguyen-lieu-hucha-i2382984987.html</v>
      </c>
      <c r="C2819" s="10" t="s">
        <v>2819</v>
      </c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8">
        <v>7674.0</v>
      </c>
      <c r="B2820" s="9" t="str">
        <f>HYPERLINK("https://www.lazada.vn/products/nuoc-trai-cay-co-gas-vivazz-sparkling-juice-720-ml-i2547756024.html", "https://www.lazada.vn/products/nuoc-trai-cay-co-gas-vivazz-sparkling-juice-720-ml-i2547756024.html")</f>
        <v>https://www.lazada.vn/products/nuoc-trai-cay-co-gas-vivazz-sparkling-juice-720-ml-i2547756024.html</v>
      </c>
      <c r="C2820" s="10" t="s">
        <v>2820</v>
      </c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8">
        <v>7675.0</v>
      </c>
      <c r="B2821" s="9" t="str">
        <f>HYPERLINK("https://www.lazada.vn/products/mi-nissin-loc-5-goi-tha-lan-chua-ca-dam-vi-i2924947489.html", "https://www.lazada.vn/products/mi-nissin-loc-5-goi-tha-lan-chua-ca-dam-vi-i2924947489.html")</f>
        <v>https://www.lazada.vn/products/mi-nissin-loc-5-goi-tha-lan-chua-ca-dam-vi-i2924947489.html</v>
      </c>
      <c r="C2821" s="10" t="s">
        <v>2821</v>
      </c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8">
        <v>7676.0</v>
      </c>
      <c r="B2822" s="9" t="str">
        <f>HYPERLINK("https://www.lazada.vn/products/vang-uc-heart-of-the-murray-750ml-i2692417287.html", "https://www.lazada.vn/products/vang-uc-heart-of-the-murray-750ml-i2692417287.html")</f>
        <v>https://www.lazada.vn/products/vang-uc-heart-of-the-murray-750ml-i2692417287.html</v>
      </c>
      <c r="C2822" s="10" t="s">
        <v>2822</v>
      </c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8">
        <v>7677.0</v>
      </c>
      <c r="B2823" s="9" t="str">
        <f>HYPERLINK("https://www.lazada.vn/products/an-la-ghien-thung-banh-mix-du-vi-nhieu-trong-luong-cho-khach-lua-chon-500g-1kg-2kg-dac-biet-la-khong-can-thung-nha-khach-iu-shop-tu-mix-do-an-vat-i2704771430.html", "https://www.lazada.vn/products/an-la-ghien-thung-banh-mix-du-vi-nhieu-trong-luong-cho-khach-lua-chon-500g-1kg-2kg-dac-biet-la-khong-can-thung-nha-khach-iu-shop-tu-mix-do-an-vat-i2704771430.html")</f>
        <v>https://www.lazada.vn/products/an-la-ghien-thung-banh-mix-du-vi-nhieu-trong-luong-cho-khach-lua-chon-500g-1kg-2kg-dac-biet-la-khong-can-thung-nha-khach-iu-shop-tu-mix-do-an-vat-i2704771430.html</v>
      </c>
      <c r="C2823" s="10" t="s">
        <v>2823</v>
      </c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8">
        <v>7678.0</v>
      </c>
      <c r="B2824" s="9" t="str">
        <f>HYPERLINK("https://www.lazada.vn/products/changda-1-thung-bia-corny-khoa-khilong-ngat-ket-noi-cho-bia-nha-kieu-cornelius-i3000573491.html", "https://www.lazada.vn/products/changda-1-thung-bia-corny-khoa-khilong-ngat-ket-noi-cho-bia-nha-kieu-cornelius-i3000573491.html")</f>
        <v>https://www.lazada.vn/products/changda-1-thung-bia-corny-khoa-khilong-ngat-ket-noi-cho-bia-nha-kieu-cornelius-i3000573491.html</v>
      </c>
      <c r="C2824" s="10" t="s">
        <v>2824</v>
      </c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8">
        <v>7679.0</v>
      </c>
      <c r="B2825" s="9" t="str">
        <f>HYPERLINK("https://www.lazada.vn/products/bot-cu-sen-mix-hat-500g-dinh-duong-lanh-manh-thanh-nhiet-i2925247461.html", "https://www.lazada.vn/products/bot-cu-sen-mix-hat-500g-dinh-duong-lanh-manh-thanh-nhiet-i2925247461.html")</f>
        <v>https://www.lazada.vn/products/bot-cu-sen-mix-hat-500g-dinh-duong-lanh-manh-thanh-nhiet-i2925247461.html</v>
      </c>
      <c r="C2825" s="10" t="s">
        <v>2825</v>
      </c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8">
        <v>7680.0</v>
      </c>
      <c r="B2826" s="9" t="str">
        <f>HYPERLINK("https://www.lazada.vn/products/luong-kho-matcha-tra-xanh-180gbich-i1985642010.html", "https://www.lazada.vn/products/luong-kho-matcha-tra-xanh-180gbich-i1985642010.html")</f>
        <v>https://www.lazada.vn/products/luong-kho-matcha-tra-xanh-180gbich-i1985642010.html</v>
      </c>
      <c r="C2826" s="10" t="s">
        <v>2826</v>
      </c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8">
        <v>7681.0</v>
      </c>
      <c r="B2827" s="9" t="str">
        <f>HYPERLINK("https://www.lazada.vn/products/thuc-uong-chau-a-da-me-tan-loc-900gr-80114-i2805039581.html", "https://www.lazada.vn/products/thuc-uong-chau-a-da-me-tan-loc-900gr-80114-i2805039581.html")</f>
        <v>https://www.lazada.vn/products/thuc-uong-chau-a-da-me-tan-loc-900gr-80114-i2805039581.html</v>
      </c>
      <c r="C2827" s="10" t="s">
        <v>2827</v>
      </c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8">
        <v>7682.0</v>
      </c>
      <c r="B2828" s="9" t="str">
        <f>HYPERLINK("https://www.lazada.vn/products/xoai-say-muoi-ot-tan-loc-phat-tlp-06-bich-500g-thom-ngon-deo-bui-do-an-vat-yeu-thich-i2989282830.html", "https://www.lazada.vn/products/xoai-say-muoi-ot-tan-loc-phat-tlp-06-bich-500g-thom-ngon-deo-bui-do-an-vat-yeu-thich-i2989282830.html")</f>
        <v>https://www.lazada.vn/products/xoai-say-muoi-ot-tan-loc-phat-tlp-06-bich-500g-thom-ngon-deo-bui-do-an-vat-yeu-thich-i2989282830.html</v>
      </c>
      <c r="C2828" s="10" t="s">
        <v>2828</v>
      </c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8">
        <v>7683.0</v>
      </c>
      <c r="B2829" s="9" t="str">
        <f>HYPERLINK("https://www.lazada.vn/products/tui-1kg-keo-thach-zaizai-duc-hanh-mau-moi-goi-dai-do-an-vat-i2575933375.html", "https://www.lazada.vn/products/tui-1kg-keo-thach-zaizai-duc-hanh-mau-moi-goi-dai-do-an-vat-i2575933375.html")</f>
        <v>https://www.lazada.vn/products/tui-1kg-keo-thach-zaizai-duc-hanh-mau-moi-goi-dai-do-an-vat-i2575933375.html</v>
      </c>
      <c r="C2829" s="10" t="s">
        <v>2829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8">
        <v>7684.0</v>
      </c>
      <c r="B2830" s="9" t="str">
        <f>HYPERLINK("https://www.lazada.vn/products/ca-thac-lac-rut-xuong-tam-vi-bich-1kg-3-4-con-giao-hoa-toc-tphcm-i3045834839.html", "https://www.lazada.vn/products/ca-thac-lac-rut-xuong-tam-vi-bich-1kg-3-4-con-giao-hoa-toc-tphcm-i3045834839.html")</f>
        <v>https://www.lazada.vn/products/ca-thac-lac-rut-xuong-tam-vi-bich-1kg-3-4-con-giao-hoa-toc-tphcm-i3045834839.html</v>
      </c>
      <c r="C2830" s="10" t="s">
        <v>2830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8">
        <v>7685.0</v>
      </c>
      <c r="B2831" s="9" t="str">
        <f>HYPERLINK("https://www.lazada.vn/products/thom-ngon-kho-cuong-500g-banh-sua-chua-horsh-dai-loan-hieu-ong-gia-hang-noi-dia-i2704670884.html", "https://www.lazada.vn/products/thom-ngon-kho-cuong-500g-banh-sua-chua-horsh-dai-loan-hieu-ong-gia-hang-noi-dia-i2704670884.html")</f>
        <v>https://www.lazada.vn/products/thom-ngon-kho-cuong-500g-banh-sua-chua-horsh-dai-loan-hieu-ong-gia-hang-noi-dia-i2704670884.html</v>
      </c>
      <c r="C2831" s="10" t="s">
        <v>2831</v>
      </c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8">
        <v>7686.0</v>
      </c>
      <c r="B2832" s="9" t="str">
        <f>HYPERLINK("https://www.lazada.vn/products/jollic-1-thung-bia-corny-khoa-khilong-ngat-ket-noi-cho-bia-nha-kieu-cornelius-i3000528015.html", "https://www.lazada.vn/products/jollic-1-thung-bia-corny-khoa-khilong-ngat-ket-noi-cho-bia-nha-kieu-cornelius-i3000528015.html")</f>
        <v>https://www.lazada.vn/products/jollic-1-thung-bia-corny-khoa-khilong-ngat-ket-noi-cho-bia-nha-kieu-cornelius-i3000528015.html</v>
      </c>
      <c r="C2832" s="10" t="s">
        <v>2832</v>
      </c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8">
        <v>7687.0</v>
      </c>
      <c r="B2833" s="9" t="str">
        <f>HYPERLINK("https://www.lazada.vn/products/vang-y-golden-lion-primitivo-del-salento-co-hop-khui-va-tui-i2685759012.html", "https://www.lazada.vn/products/vang-y-golden-lion-primitivo-del-salento-co-hop-khui-va-tui-i2685759012.html")</f>
        <v>https://www.lazada.vn/products/vang-y-golden-lion-primitivo-del-salento-co-hop-khui-va-tui-i2685759012.html</v>
      </c>
      <c r="C2833" s="10" t="s">
        <v>2833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8">
        <v>7688.0</v>
      </c>
      <c r="B2834" s="9" t="str">
        <f>HYPERLINK("https://www.lazada.vn/products/ruou-sake-nhat-ban-nishino-seki-hana-nigori-500ml-15-i3009496199.html", "https://www.lazada.vn/products/ruou-sake-nhat-ban-nishino-seki-hana-nigori-500ml-15-i3009496199.html")</f>
        <v>https://www.lazada.vn/products/ruou-sake-nhat-ban-nishino-seki-hana-nigori-500ml-15-i3009496199.html</v>
      </c>
      <c r="C2834" s="10" t="s">
        <v>2834</v>
      </c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8">
        <v>7689.0</v>
      </c>
      <c r="B2835" s="9" t="str">
        <f>HYPERLINK("https://www.lazada.vn/products/coop-online-ca-phe-hoa-tan-trung-nguyen-legend-special-edition-hop-25g-x-18-goi-i2944220005.html", "https://www.lazada.vn/products/coop-online-ca-phe-hoa-tan-trung-nguyen-legend-special-edition-hop-25g-x-18-goi-i2944220005.html")</f>
        <v>https://www.lazada.vn/products/coop-online-ca-phe-hoa-tan-trung-nguyen-legend-special-edition-hop-25g-x-18-goi-i2944220005.html</v>
      </c>
      <c r="C2835" s="10" t="s">
        <v>2835</v>
      </c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8">
        <v>7690.0</v>
      </c>
      <c r="B2836" s="9" t="str">
        <f>HYPERLINK("https://www.lazada.vn/products/mi-hai-san-siukay-goi-128g-i939264191.html", "https://www.lazada.vn/products/mi-hai-san-siukay-goi-128g-i939264191.html")</f>
        <v>https://www.lazada.vn/products/mi-hai-san-siukay-goi-128g-i939264191.html</v>
      </c>
      <c r="C2836" s="10" t="s">
        <v>2836</v>
      </c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8">
        <v>7691.0</v>
      </c>
      <c r="B2837" s="9" t="str">
        <f>HYPERLINK("https://www.lazada.vn/products/hop-qua-anh-dao-sake-nishino-seki-junmaishu-720ml-i3009494125.html", "https://www.lazada.vn/products/hop-qua-anh-dao-sake-nishino-seki-junmaishu-720ml-i3009494125.html")</f>
        <v>https://www.lazada.vn/products/hop-qua-anh-dao-sake-nishino-seki-junmaishu-720ml-i3009494125.html</v>
      </c>
      <c r="C2837" s="10" t="s">
        <v>2837</v>
      </c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8">
        <v>7692.0</v>
      </c>
      <c r="B2838" s="9" t="str">
        <f>HYPERLINK("https://www.lazada.vn/products/chinh-hang-ca-phe-gung-den-mat-ong-black-ginger-honey-coffee-cafe-giam-can-gung-den-i2935480120.html", "https://www.lazada.vn/products/chinh-hang-ca-phe-gung-den-mat-ong-black-ginger-honey-coffee-cafe-giam-can-gung-den-i2935480120.html")</f>
        <v>https://www.lazada.vn/products/chinh-hang-ca-phe-gung-den-mat-ong-black-ginger-honey-coffee-cafe-giam-can-gung-den-i2935480120.html</v>
      </c>
      <c r="C2838" s="10" t="s">
        <v>2838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8">
        <v>7693.0</v>
      </c>
      <c r="B2839" s="9" t="str">
        <f>HYPERLINK("https://www.lazada.vn/products/hop-qua-anh-dao-sake-nishino-seki-hana-300ml-i3009484136.html", "https://www.lazada.vn/products/hop-qua-anh-dao-sake-nishino-seki-hana-300ml-i3009484136.html")</f>
        <v>https://www.lazada.vn/products/hop-qua-anh-dao-sake-nishino-seki-hana-300ml-i3009484136.html</v>
      </c>
      <c r="C2839" s="10" t="s">
        <v>2839</v>
      </c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8">
        <v>7694.0</v>
      </c>
      <c r="B2840" s="9" t="str">
        <f>HYPERLINK("https://www.lazada.vn/products/thung-24-goi-mi-siukay-128gr-mix-3-vi-hai-san-bo-pho-mai-i939260239.html", "https://www.lazada.vn/products/thung-24-goi-mi-siukay-128gr-mix-3-vi-hai-san-bo-pho-mai-i939260239.html")</f>
        <v>https://www.lazada.vn/products/thung-24-goi-mi-siukay-128gr-mix-3-vi-hai-san-bo-pho-mai-i939260239.html</v>
      </c>
      <c r="C2840" s="10" t="s">
        <v>2840</v>
      </c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8">
        <v>7695.0</v>
      </c>
      <c r="B2841" s="9" t="str">
        <f>HYPERLINK("https://www.lazada.vn/products/ca-phe-sau-rieng-rockcafe-rock-cafe-vi-sau-rieng-mau-moi-white-coffee-i2811859640.html", "https://www.lazada.vn/products/ca-phe-sau-rieng-rockcafe-rock-cafe-vi-sau-rieng-mau-moi-white-coffee-i2811859640.html")</f>
        <v>https://www.lazada.vn/products/ca-phe-sau-rieng-rockcafe-rock-cafe-vi-sau-rieng-mau-moi-white-coffee-i2811859640.html</v>
      </c>
      <c r="C2841" s="10" t="s">
        <v>2841</v>
      </c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8">
        <v>7696.0</v>
      </c>
      <c r="B2842" s="9" t="str">
        <f>HYPERLINK("https://www.lazada.vn/products/ruou-mo-nhat-umeshu-nakano-kishu-vi-truyen-thong-720ml-10-i3009467175.html", "https://www.lazada.vn/products/ruou-mo-nhat-umeshu-nakano-kishu-vi-truyen-thong-720ml-10-i3009467175.html")</f>
        <v>https://www.lazada.vn/products/ruou-mo-nhat-umeshu-nakano-kishu-vi-truyen-thong-720ml-10-i3009467175.html</v>
      </c>
      <c r="C2842" s="10" t="s">
        <v>2842</v>
      </c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8">
        <v>7697.0</v>
      </c>
      <c r="B2843" s="9" t="str">
        <f>HYPERLINK("https://www.lazada.vn/products/mi-bo-siukay-goi-128g-i939254305.html", "https://www.lazada.vn/products/mi-bo-siukay-goi-128g-i939254305.html")</f>
        <v>https://www.lazada.vn/products/mi-bo-siukay-goi-128g-i939254305.html</v>
      </c>
      <c r="C2843" s="10" t="s">
        <v>2843</v>
      </c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8">
        <v>7698.0</v>
      </c>
      <c r="B2844" s="9" t="str">
        <f>HYPERLINK("https://www.lazada.vn/products/thung-ca-phe-luu-dong-i2782992641.html", "https://www.lazada.vn/products/thung-ca-phe-luu-dong-i2782992641.html")</f>
        <v>https://www.lazada.vn/products/thung-ca-phe-luu-dong-i2782992641.html</v>
      </c>
      <c r="C2844" s="10" t="s">
        <v>2844</v>
      </c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8">
        <v>7699.0</v>
      </c>
      <c r="B2845" s="9" t="str">
        <f>HYPERLINK("https://www.lazada.vn/products/hop-qua-ruou-mo-nhat-umeshu-nakano-kishu-vi-truyen-thong-720ml-10-i3009463257.html", "https://www.lazada.vn/products/hop-qua-ruou-mo-nhat-umeshu-nakano-kishu-vi-truyen-thong-720ml-10-i3009463257.html")</f>
        <v>https://www.lazada.vn/products/hop-qua-ruou-mo-nhat-umeshu-nakano-kishu-vi-truyen-thong-720ml-10-i3009463257.html</v>
      </c>
      <c r="C2845" s="10" t="s">
        <v>2845</v>
      </c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8">
        <v>7700.0</v>
      </c>
      <c r="B2846" s="9" t="str">
        <f>HYPERLINK("https://www.lazada.vn/products/hcmthung-24-goi-mi-siukay-128gr-vi-ga-pho-mai-i939236643.html", "https://www.lazada.vn/products/hcmthung-24-goi-mi-siukay-128gr-vi-ga-pho-mai-i939236643.html")</f>
        <v>https://www.lazada.vn/products/hcmthung-24-goi-mi-siukay-128gr-vi-ga-pho-mai-i939236643.html</v>
      </c>
      <c r="C2846" s="10" t="s">
        <v>2846</v>
      </c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8">
        <v>7701.0</v>
      </c>
      <c r="B2847" s="9" t="str">
        <f>HYPERLINK("https://www.lazada.vn/products/ca-phe-archcafe-da-viet-nam-12-goi-x13gr-71411-i2773451579.html", "https://www.lazada.vn/products/ca-phe-archcafe-da-viet-nam-12-goi-x13gr-71411-i2773451579.html")</f>
        <v>https://www.lazada.vn/products/ca-phe-archcafe-da-viet-nam-12-goi-x13gr-71411-i2773451579.html</v>
      </c>
      <c r="C2847" s="10" t="s">
        <v>2847</v>
      </c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8">
        <v>7702.0</v>
      </c>
      <c r="B2848" s="9" t="str">
        <f>HYPERLINK("https://www.lazada.vn/products/hop-qua-viet-nhat-sake-nishino-seki-hana-720ml-i3009457265.html", "https://www.lazada.vn/products/hop-qua-viet-nhat-sake-nishino-seki-hana-720ml-i3009457265.html")</f>
        <v>https://www.lazada.vn/products/hop-qua-viet-nhat-sake-nishino-seki-hana-720ml-i3009457265.html</v>
      </c>
      <c r="C2848" s="10" t="s">
        <v>2848</v>
      </c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8">
        <v>7703.0</v>
      </c>
      <c r="B2849" s="9" t="str">
        <f>HYPERLINK("https://www.lazada.vn/products/mi-ga-pho-mai-siukay-goi-128g-i939236636.html", "https://www.lazada.vn/products/mi-ga-pho-mai-siukay-goi-128g-i939236636.html")</f>
        <v>https://www.lazada.vn/products/mi-ga-pho-mai-siukay-goi-128g-i939236636.html</v>
      </c>
      <c r="C2849" s="10" t="s">
        <v>2849</v>
      </c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8">
        <v>7704.0</v>
      </c>
      <c r="B2850" s="9" t="str">
        <f>HYPERLINK("https://www.lazada.vn/products/ca-phe-hoa-tan-wake-up-sai-gon-tui-456g-24-goi-x-19g-i2747827488.html", "https://www.lazada.vn/products/ca-phe-hoa-tan-wake-up-sai-gon-tui-456g-24-goi-x-19g-i2747827488.html")</f>
        <v>https://www.lazada.vn/products/ca-phe-hoa-tan-wake-up-sai-gon-tui-456g-24-goi-x-19g-i2747827488.html</v>
      </c>
      <c r="C2850" s="10" t="s">
        <v>2850</v>
      </c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8">
        <v>7705.0</v>
      </c>
      <c r="B2851" s="9" t="str">
        <f>HYPERLINK("https://www.lazada.vn/products/hop-qua-ruou-mo-nhat-nakano-bc-umeshu-vi-tra-xanh-720ml-12-i3009455302.html", "https://www.lazada.vn/products/hop-qua-ruou-mo-nhat-nakano-bc-umeshu-vi-tra-xanh-720ml-12-i3009455302.html")</f>
        <v>https://www.lazada.vn/products/hop-qua-ruou-mo-nhat-nakano-bc-umeshu-vi-tra-xanh-720ml-12-i3009455302.html</v>
      </c>
      <c r="C2851" s="10" t="s">
        <v>2851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8">
        <v>7706.0</v>
      </c>
      <c r="B2852" s="9" t="str">
        <f>HYPERLINK("https://www.lazada.vn/products/combo-3-goi-mi-siukay-128g-mix-3-vi-hai-san-bo-pho-mai-i939234647.html", "https://www.lazada.vn/products/combo-3-goi-mi-siukay-128g-mix-3-vi-hai-san-bo-pho-mai-i939234647.html")</f>
        <v>https://www.lazada.vn/products/combo-3-goi-mi-siukay-128g-mix-3-vi-hai-san-bo-pho-mai-i939234647.html</v>
      </c>
      <c r="C2852" s="10" t="s">
        <v>2852</v>
      </c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8">
        <v>7707.0</v>
      </c>
      <c r="B2853" s="9" t="str">
        <f>HYPERLINK("https://www.lazada.vn/products/siro-huong-hat-keo-bo-longbeach-toffee-nut-flavoured-syrup-740ml-i2640704423.html", "https://www.lazada.vn/products/siro-huong-hat-keo-bo-longbeach-toffee-nut-flavoured-syrup-740ml-i2640704423.html")</f>
        <v>https://www.lazada.vn/products/siro-huong-hat-keo-bo-longbeach-toffee-nut-flavoured-syrup-740ml-i2640704423.html</v>
      </c>
      <c r="C2853" s="10" t="s">
        <v>2853</v>
      </c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8">
        <v>7708.0</v>
      </c>
      <c r="B2854" s="9" t="str">
        <f>HYPERLINK("https://www.lazada.vn/products/du-vi-cho-be-thach-yen-sao-rong-nho-d7nest-hop-30-cay-thach-yen-sao-san-pham-ho-tro-suc-khoe-9-yen-tuoi-i2766317994.html", "https://www.lazada.vn/products/du-vi-cho-be-thach-yen-sao-rong-nho-d7nest-hop-30-cay-thach-yen-sao-san-pham-ho-tro-suc-khoe-9-yen-tuoi-i2766317994.html")</f>
        <v>https://www.lazada.vn/products/du-vi-cho-be-thach-yen-sao-rong-nho-d7nest-hop-30-cay-thach-yen-sao-san-pham-ho-tro-suc-khoe-9-yen-tuoi-i2766317994.html</v>
      </c>
      <c r="C2854" s="10" t="s">
        <v>2854</v>
      </c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8">
        <v>7709.0</v>
      </c>
      <c r="B2855" s="9" t="str">
        <f>HYPERLINK("https://www.lazada.vn/products/strawberry-dried-frozen-food-healthy-snack-for-children-and-pregnant-women-sweetened-dried-fruit-treats-from-fujian-china-i2923831308.html", "https://www.lazada.vn/products/strawberry-dried-frozen-food-healthy-snack-for-children-and-pregnant-women-sweetened-dried-fruit-treats-from-fujian-china-i2923831308.html")</f>
        <v>https://www.lazada.vn/products/strawberry-dried-frozen-food-healthy-snack-for-children-and-pregnant-women-sweetened-dried-fruit-treats-from-fujian-china-i2923831308.html</v>
      </c>
      <c r="C2855" s="10" t="s">
        <v>2855</v>
      </c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8">
        <v>7710.0</v>
      </c>
      <c r="B2856" s="9" t="str">
        <f>HYPERLINK("https://www.lazada.vn/products/an-la-ghien-combo-10-cai-banh-bong-lan-chuoi-sieu-ngon-hot-dai-loan-sieu-ngon-i2704641917.html", "https://www.lazada.vn/products/an-la-ghien-combo-10-cai-banh-bong-lan-chuoi-sieu-ngon-hot-dai-loan-sieu-ngon-i2704641917.html")</f>
        <v>https://www.lazada.vn/products/an-la-ghien-combo-10-cai-banh-bong-lan-chuoi-sieu-ngon-hot-dai-loan-sieu-ngon-i2704641917.html</v>
      </c>
      <c r="C2856" s="10" t="s">
        <v>2856</v>
      </c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8">
        <v>7711.0</v>
      </c>
      <c r="B2857" s="9" t="str">
        <f>HYPERLINK("https://www.lazada.vn/products/combo-3-chai-black-blue-red-lion-nhap-lao-700ml1c-i2590694885.html", "https://www.lazada.vn/products/combo-3-chai-black-blue-red-lion-nhap-lao-700ml1c-i2590694885.html")</f>
        <v>https://www.lazada.vn/products/combo-3-chai-black-blue-red-lion-nhap-lao-700ml1c-i2590694885.html</v>
      </c>
      <c r="C2857" s="10" t="s">
        <v>2857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8">
        <v>7712.0</v>
      </c>
      <c r="B2858" s="9" t="str">
        <f>HYPERLINK("https://www.lazada.vn/products/nuoc-uong-giam-luu-va-mam-xoi-daesang-han-quoc-i2825785054.html", "https://www.lazada.vn/products/nuoc-uong-giam-luu-va-mam-xoi-daesang-han-quoc-i2825785054.html")</f>
        <v>https://www.lazada.vn/products/nuoc-uong-giam-luu-va-mam-xoi-daesang-han-quoc-i2825785054.html</v>
      </c>
      <c r="C2858" s="10" t="s">
        <v>2858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8">
        <v>7713.0</v>
      </c>
      <c r="B2859" s="9" t="str">
        <f>HYPERLINK("https://www.lazada.vn/products/hang-cao-cap-khoai-tay-mix-vi-rong-bien-trung-muoi-mam-ot-dac-san-chinh-da-lat-i2837819791.html", "https://www.lazada.vn/products/hang-cao-cap-khoai-tay-mix-vi-rong-bien-trung-muoi-mam-ot-dac-san-chinh-da-lat-i2837819791.html")</f>
        <v>https://www.lazada.vn/products/hang-cao-cap-khoai-tay-mix-vi-rong-bien-trung-muoi-mam-ot-dac-san-chinh-da-lat-i2837819791.html</v>
      </c>
      <c r="C2859" s="10" t="s">
        <v>2859</v>
      </c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8">
        <v>7714.0</v>
      </c>
      <c r="B2860" s="9" t="str">
        <f>HYPERLINK("https://www.lazada.vn/products/thanh-cua-cay-tu-xuyen-tam-vi-an-lien-an-vat-tieu-dong-i2802529094.html", "https://www.lazada.vn/products/thanh-cua-cay-tu-xuyen-tam-vi-an-lien-an-vat-tieu-dong-i2802529094.html")</f>
        <v>https://www.lazada.vn/products/thanh-cua-cay-tu-xuyen-tam-vi-an-lien-an-vat-tieu-dong-i2802529094.html</v>
      </c>
      <c r="C2860" s="10" t="s">
        <v>2860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8">
        <v>7715.0</v>
      </c>
      <c r="B2861" s="9" t="str">
        <f>HYPERLINK("https://www.lazada.vn/products/banh-quy-trang-pho-mai-trung-ngam-lau-ngay-huong-vi-bo-sua-ngot-ngon-khong-duong-can-banh-quy-hat-de-trung-quoc-phu-kien-giai-tri-i2923612659.html", "https://www.lazada.vn/products/banh-quy-trang-pho-mai-trung-ngam-lau-ngay-huong-vi-bo-sua-ngot-ngon-khong-duong-can-banh-quy-hat-de-trung-quoc-phu-kien-giai-tri-i2923612659.html")</f>
        <v>https://www.lazada.vn/products/banh-quy-trang-pho-mai-trung-ngam-lau-ngay-huong-vi-bo-sua-ngot-ngon-khong-duong-can-banh-quy-hat-de-trung-quoc-phu-kien-giai-tri-i2923612659.html</v>
      </c>
      <c r="C2861" s="10" t="s">
        <v>2861</v>
      </c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8">
        <v>7716.0</v>
      </c>
      <c r="B2862" s="9" t="str">
        <f>HYPERLINK("https://www.lazada.vn/products/mi-tron-tuong-den-koreno-thung-20-goi-date-moi-nhat-i2924195044.html", "https://www.lazada.vn/products/mi-tron-tuong-den-koreno-thung-20-goi-date-moi-nhat-i2924195044.html")</f>
        <v>https://www.lazada.vn/products/mi-tron-tuong-den-koreno-thung-20-goi-date-moi-nhat-i2924195044.html</v>
      </c>
      <c r="C2862" s="10" t="s">
        <v>2862</v>
      </c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8">
        <v>7717.0</v>
      </c>
      <c r="B2863" s="9" t="str">
        <f>HYPERLINK("https://www.lazada.vn/products/ma-bmlta50-giam-den-50k-don-99k-bot-cacao-nguyen-chat-100-dam-vi-wings-i2380867736.html", "https://www.lazada.vn/products/ma-bmlta50-giam-den-50k-don-99k-bot-cacao-nguyen-chat-100-dam-vi-wings-i2380867736.html")</f>
        <v>https://www.lazada.vn/products/ma-bmlta50-giam-den-50k-don-99k-bot-cacao-nguyen-chat-100-dam-vi-wings-i2380867736.html</v>
      </c>
      <c r="C2863" s="10" t="s">
        <v>2863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8">
        <v>7718.0</v>
      </c>
      <c r="B2864" s="9" t="str">
        <f>HYPERLINK("https://www.lazada.vn/products/dongwon-hop-ot-100g-ca-ngu-vi-ot-cay-gap-doi-han-quoc-double-hot-pepper-tuna-i3045746214.html", "https://www.lazada.vn/products/dongwon-hop-ot-100g-ca-ngu-vi-ot-cay-gap-doi-han-quoc-double-hot-pepper-tuna-i3045746214.html")</f>
        <v>https://www.lazada.vn/products/dongwon-hop-ot-100g-ca-ngu-vi-ot-cay-gap-doi-han-quoc-double-hot-pepper-tuna-i3045746214.html</v>
      </c>
      <c r="C2864" s="10" t="s">
        <v>2864</v>
      </c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8">
        <v>7719.0</v>
      </c>
      <c r="B2865" s="9" t="str">
        <f>HYPERLINK("https://www.lazada.vn/products/bot-tra-xanh-matcha-dai-loan-goi-500g-i2800187808.html", "https://www.lazada.vn/products/bot-tra-xanh-matcha-dai-loan-goi-500g-i2800187808.html")</f>
        <v>https://www.lazada.vn/products/bot-tra-xanh-matcha-dai-loan-goi-500g-i2800187808.html</v>
      </c>
      <c r="C2865" s="10" t="s">
        <v>2865</v>
      </c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8">
        <v>7720.0</v>
      </c>
      <c r="B2866" s="9" t="str">
        <f>HYPERLINK("https://www.lazada.vn/products/ca-phe-sua-tran-quang-ngon-hoa-tan-3-in-1-uong-lien-thung-10kg-x-21-bich-480g-kope-i2740966881.html", "https://www.lazada.vn/products/ca-phe-sua-tran-quang-ngon-hoa-tan-3-in-1-uong-lien-thung-10kg-x-21-bich-480g-kope-i2740966881.html")</f>
        <v>https://www.lazada.vn/products/ca-phe-sua-tran-quang-ngon-hoa-tan-3-in-1-uong-lien-thung-10kg-x-21-bich-480g-kope-i2740966881.html</v>
      </c>
      <c r="C2866" s="10" t="s">
        <v>2866</v>
      </c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8">
        <v>7721.0</v>
      </c>
      <c r="B2867" s="9" t="str">
        <f>HYPERLINK("https://www.lazada.vn/products/vang-y-dragon-negroamaro-del-salento-co-hop-khui-va-tui-i2685688075.html", "https://www.lazada.vn/products/vang-y-dragon-negroamaro-del-salento-co-hop-khui-va-tui-i2685688075.html")</f>
        <v>https://www.lazada.vn/products/vang-y-dragon-negroamaro-del-salento-co-hop-khui-va-tui-i2685688075.html</v>
      </c>
      <c r="C2867" s="10" t="s">
        <v>2867</v>
      </c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8">
        <v>7722.0</v>
      </c>
      <c r="B2868" s="9" t="str">
        <f>HYPERLINK("https://www.lazada.vn/products/banh-pia-mon-sau-rieng-khong-trung-thanh-huong-350grcay-4cai-i1984835308.html", "https://www.lazada.vn/products/banh-pia-mon-sau-rieng-khong-trung-thanh-huong-350grcay-4cai-i1984835308.html")</f>
        <v>https://www.lazada.vn/products/banh-pia-mon-sau-rieng-khong-trung-thanh-huong-350grcay-4cai-i1984835308.html</v>
      </c>
      <c r="C2868" s="10" t="s">
        <v>2868</v>
      </c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8">
        <v>7723.0</v>
      </c>
      <c r="B2869" s="9" t="str">
        <f>HYPERLINK("https://www.lazada.vn/products/thung-24-goi-mi-siukay-128gr-vi-bo-i939230643.html", "https://www.lazada.vn/products/thung-24-goi-mi-siukay-128gr-vi-bo-i939230643.html")</f>
        <v>https://www.lazada.vn/products/thung-24-goi-mi-siukay-128gr-vi-bo-i939230643.html</v>
      </c>
      <c r="C2869" s="10" t="s">
        <v>2869</v>
      </c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8">
        <v>7724.0</v>
      </c>
      <c r="B2870" s="9" t="str">
        <f>HYPERLINK("https://www.lazada.vn/products/totan-200wp-loc-troi-vi-khuan-tren-lua20gr-i2796635593.html", "https://www.lazada.vn/products/totan-200wp-loc-troi-vi-khuan-tren-lua20gr-i2796635593.html")</f>
        <v>https://www.lazada.vn/products/totan-200wp-loc-troi-vi-khuan-tren-lua20gr-i2796635593.html</v>
      </c>
      <c r="C2870" s="10" t="s">
        <v>2870</v>
      </c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8">
        <v>7725.0</v>
      </c>
      <c r="B2871" s="9" t="str">
        <f>HYPERLINK("https://www.lazada.vn/products/banh-choco-pie-vi-truyen-thong-hop-336g-12-cai-i1983129551.html", "https://www.lazada.vn/products/banh-choco-pie-vi-truyen-thong-hop-336g-12-cai-i1983129551.html")</f>
        <v>https://www.lazada.vn/products/banh-choco-pie-vi-truyen-thong-hop-336g-12-cai-i1983129551.html</v>
      </c>
      <c r="C2871" s="10" t="s">
        <v>2871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8">
        <v>7726.0</v>
      </c>
      <c r="B2872" s="9" t="str">
        <f>HYPERLINK("https://www.lazada.vn/products/ruou-sake-nhat-ban-nishino-seki-hana-barrel-1800ml-15-i3009442171.html", "https://www.lazada.vn/products/ruou-sake-nhat-ban-nishino-seki-hana-barrel-1800ml-15-i3009442171.html")</f>
        <v>https://www.lazada.vn/products/ruou-sake-nhat-ban-nishino-seki-hana-barrel-1800ml-15-i3009442171.html</v>
      </c>
      <c r="C2872" s="10" t="s">
        <v>2872</v>
      </c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8">
        <v>7727.0</v>
      </c>
      <c r="B2873" s="9" t="str">
        <f>HYPERLINK("https://www.lazada.vn/products/ca-phe-sua-tran-quang-ngon-hoa-tan-3-in-1-uong-lien-thung-10kg-x-21-bich-480g-kope-i2740945916.html", "https://www.lazada.vn/products/ca-phe-sua-tran-quang-ngon-hoa-tan-3-in-1-uong-lien-thung-10kg-x-21-bich-480g-kope-i2740945916.html")</f>
        <v>https://www.lazada.vn/products/ca-phe-sua-tran-quang-ngon-hoa-tan-3-in-1-uong-lien-thung-10kg-x-21-bich-480g-kope-i2740945916.html</v>
      </c>
      <c r="C2873" s="10" t="s">
        <v>2873</v>
      </c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8">
        <v>7728.0</v>
      </c>
      <c r="B2874" s="9" t="str">
        <f>HYPERLINK("https://www.lazada.vn/products/san-pham-chinh-hang-tuong-tron-han-quoc-ssamjang-170g-i917462053.html", "https://www.lazada.vn/products/san-pham-chinh-hang-tuong-tron-han-quoc-ssamjang-170g-i917462053.html")</f>
        <v>https://www.lazada.vn/products/san-pham-chinh-hang-tuong-tron-han-quoc-ssamjang-170g-i917462053.html</v>
      </c>
      <c r="C2874" s="10" t="s">
        <v>2874</v>
      </c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8">
        <v>7729.0</v>
      </c>
      <c r="B2875" s="9" t="str">
        <f>HYPERLINK("https://www.lazada.vn/products/vang-y-principe-del-sole-rosso-puglia-750ml-i2685648068.html", "https://www.lazada.vn/products/vang-y-principe-del-sole-rosso-puglia-750ml-i2685648068.html")</f>
        <v>https://www.lazada.vn/products/vang-y-principe-del-sole-rosso-puglia-750ml-i2685648068.html</v>
      </c>
      <c r="C2875" s="10" t="s">
        <v>2875</v>
      </c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8">
        <v>7730.0</v>
      </c>
      <c r="B2876" s="9" t="str">
        <f>HYPERLINK("https://www.lazada.vn/products/combo-5-banh-mi-vi-chuoi-umiki-han-su-dung-den-07062025-i2701938931.html", "https://www.lazada.vn/products/combo-5-banh-mi-vi-chuoi-umiki-han-su-dung-den-07062025-i2701938931.html")</f>
        <v>https://www.lazada.vn/products/combo-5-banh-mi-vi-chuoi-umiki-han-su-dung-den-07062025-i2701938931.html</v>
      </c>
      <c r="C2876" s="10" t="s">
        <v>2876</v>
      </c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8">
        <v>7731.0</v>
      </c>
      <c r="B2877" s="9" t="str">
        <f>HYPERLINK("https://www.lazada.vn/products/1-goi-tra-dong-trung-ha-thao-7-vi-nguyen-lieu-say-lanh-i2759817861.html", "https://www.lazada.vn/products/1-goi-tra-dong-trung-ha-thao-7-vi-nguyen-lieu-say-lanh-i2759817861.html")</f>
        <v>https://www.lazada.vn/products/1-goi-tra-dong-trung-ha-thao-7-vi-nguyen-lieu-say-lanh-i2759817861.html</v>
      </c>
      <c r="C2877" s="10" t="s">
        <v>2877</v>
      </c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8">
        <v>7732.0</v>
      </c>
      <c r="B2878" s="9" t="str">
        <f>HYPERLINK("https://www.lazada.vn/products/bot-detox-3-trong-1-rau-ma-diep-ca-tia-to-mix-mat-ong-say-thang-hoa-eherbal-thom-ngon-de-uongdetox-co-the-het-nong-trong-nhiet-mieng-tao-bon-i2788498027.html", "https://www.lazada.vn/products/bot-detox-3-trong-1-rau-ma-diep-ca-tia-to-mix-mat-ong-say-thang-hoa-eherbal-thom-ngon-de-uongdetox-co-the-het-nong-trong-nhiet-mieng-tao-bon-i2788498027.html")</f>
        <v>https://www.lazada.vn/products/bot-detox-3-trong-1-rau-ma-diep-ca-tia-to-mix-mat-ong-say-thang-hoa-eherbal-thom-ngon-de-uongdetox-co-the-het-nong-trong-nhiet-mieng-tao-bon-i2788498027.html</v>
      </c>
      <c r="C2878" s="10" t="s">
        <v>2878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8">
        <v>7733.0</v>
      </c>
      <c r="B2879" s="9" t="str">
        <f>HYPERLINK("https://www.lazada.vn/products/luong-kho-man-salted-hop-2kg-i1979340721.html", "https://www.lazada.vn/products/luong-kho-man-salted-hop-2kg-i1979340721.html")</f>
        <v>https://www.lazada.vn/products/luong-kho-man-salted-hop-2kg-i1979340721.html</v>
      </c>
      <c r="C2879" s="10" t="s">
        <v>2879</v>
      </c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8">
        <v>7734.0</v>
      </c>
      <c r="B2880" s="9" t="str">
        <f>HYPERLINK("https://www.lazada.vn/products/banh-ngan-lop-tonguaan-tq-chuan-vi-phong-gion-rum-y-hinh-1tui-5cai-i2698829766.html", "https://www.lazada.vn/products/banh-ngan-lop-tonguaan-tq-chuan-vi-phong-gion-rum-y-hinh-1tui-5cai-i2698829766.html")</f>
        <v>https://www.lazada.vn/products/banh-ngan-lop-tonguaan-tq-chuan-vi-phong-gion-rum-y-hinh-1tui-5cai-i2698829766.html</v>
      </c>
      <c r="C2880" s="10" t="s">
        <v>2880</v>
      </c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8">
        <v>7735.0</v>
      </c>
      <c r="B2881" s="9" t="str">
        <f>HYPERLINK("https://www.lazada.vn/products/si-toan-quoc-15kg-mien-dong-khong-tay-trang-i765358739.html", "https://www.lazada.vn/products/si-toan-quoc-15kg-mien-dong-khong-tay-trang-i765358739.html")</f>
        <v>https://www.lazada.vn/products/si-toan-quoc-15kg-mien-dong-khong-tay-trang-i765358739.html</v>
      </c>
      <c r="C2881" s="10" t="s">
        <v>2881</v>
      </c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8">
        <v>7736.0</v>
      </c>
      <c r="B2882" s="9" t="str">
        <f>HYPERLINK("https://www.lazada.vn/products/ca-phe-sua-tran-quang-good-morning-hoa-tan-3-in-1-uong-lien-bich-480g-x-24-ong-20g-kope-i2740018657.html", "https://www.lazada.vn/products/ca-phe-sua-tran-quang-good-morning-hoa-tan-3-in-1-uong-lien-bich-480g-x-24-ong-20g-kope-i2740018657.html")</f>
        <v>https://www.lazada.vn/products/ca-phe-sua-tran-quang-good-morning-hoa-tan-3-in-1-uong-lien-bich-480g-x-24-ong-20g-kope-i2740018657.html</v>
      </c>
      <c r="C2882" s="10" t="s">
        <v>2882</v>
      </c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8">
        <v>7737.0</v>
      </c>
      <c r="B2883" s="9" t="str">
        <f>HYPERLINK("https://www.lazada.vn/products/vang-chile-divina-reserve-cabernet-sauvignon-750ml-i2685520033.html", "https://www.lazada.vn/products/vang-chile-divina-reserve-cabernet-sauvignon-750ml-i2685520033.html")</f>
        <v>https://www.lazada.vn/products/vang-chile-divina-reserve-cabernet-sauvignon-750ml-i2685520033.html</v>
      </c>
      <c r="C2883" s="10" t="s">
        <v>2883</v>
      </c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8">
        <v>7738.0</v>
      </c>
      <c r="B2884" s="9" t="str">
        <f>HYPERLINK("https://www.lazada.vn/products/bot-kem-sua-dua-phomai-odelicoco-voi-kem-sua-dua-voi-phomai-nguyen-chat-thom-ngon-beo-beo-dam-da-ngay-ngay-goi-1kg-3527-oz-i2743571247.html", "https://www.lazada.vn/products/bot-kem-sua-dua-phomai-odelicoco-voi-kem-sua-dua-voi-phomai-nguyen-chat-thom-ngon-beo-beo-dam-da-ngay-ngay-goi-1kg-3527-oz-i2743571247.html")</f>
        <v>https://www.lazada.vn/products/bot-kem-sua-dua-phomai-odelicoco-voi-kem-sua-dua-voi-phomai-nguyen-chat-thom-ngon-beo-beo-dam-da-ngay-ngay-goi-1kg-3527-oz-i2743571247.html</v>
      </c>
      <c r="C2884" s="10" t="s">
        <v>2884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8">
        <v>7739.0</v>
      </c>
      <c r="B2885" s="9" t="str">
        <f>HYPERLINK("https://www.lazada.vn/products/re-vo-dich-1kg-banh-sua-chua-sandwich-hosd-hieu-ong-gia-i2695651088.html", "https://www.lazada.vn/products/re-vo-dich-1kg-banh-sua-chua-sandwich-hosd-hieu-ong-gia-i2695651088.html")</f>
        <v>https://www.lazada.vn/products/re-vo-dich-1kg-banh-sua-chua-sandwich-hosd-hieu-ong-gia-i2695651088.html</v>
      </c>
      <c r="C2885" s="10" t="s">
        <v>2885</v>
      </c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8">
        <v>7740.0</v>
      </c>
      <c r="B2886" s="9" t="str">
        <f>HYPERLINK("https://www.lazada.vn/products/vang-chile-mallco-reserve-carmenere-750ml-i2685397394.html", "https://www.lazada.vn/products/vang-chile-mallco-reserve-carmenere-750ml-i2685397394.html")</f>
        <v>https://www.lazada.vn/products/vang-chile-mallco-reserve-carmenere-750ml-i2685397394.html</v>
      </c>
      <c r="C2886" s="10" t="s">
        <v>2886</v>
      </c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8">
        <v>7741.0</v>
      </c>
      <c r="B2887" s="9" t="str">
        <f>HYPERLINK("https://www.lazada.vn/products/mien-soi-dong-han-quoc-mien-han-quoc-loai-goi-1kg-sieu-dai-ngon-i530396760.html", "https://www.lazada.vn/products/mien-soi-dong-han-quoc-mien-han-quoc-loai-goi-1kg-sieu-dai-ngon-i530396760.html")</f>
        <v>https://www.lazada.vn/products/mien-soi-dong-han-quoc-mien-han-quoc-loai-goi-1kg-sieu-dai-ngon-i530396760.html</v>
      </c>
      <c r="C2887" s="10" t="s">
        <v>2887</v>
      </c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8">
        <v>7742.0</v>
      </c>
      <c r="B2888" s="9" t="str">
        <f>HYPERLINK("https://www.lazada.vn/products/ca-phe-pho-den-bich-35-goi16gr-i2737915567.html", "https://www.lazada.vn/products/ca-phe-pho-den-bich-35-goi16gr-i2737915567.html")</f>
        <v>https://www.lazada.vn/products/ca-phe-pho-den-bich-35-goi16gr-i2737915567.html</v>
      </c>
      <c r="C2888" s="10" t="s">
        <v>2888</v>
      </c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8">
        <v>7743.0</v>
      </c>
      <c r="B2889" s="9" t="str">
        <f>HYPERLINK("https://www.lazada.vn/products/banh-pia-nhan-dau-xanh-sau-rieng-khong-trung-thanh-huong-350grcay-i1975959687.html", "https://www.lazada.vn/products/banh-pia-nhan-dau-xanh-sau-rieng-khong-trung-thanh-huong-350grcay-i1975959687.html")</f>
        <v>https://www.lazada.vn/products/banh-pia-nhan-dau-xanh-sau-rieng-khong-trung-thanh-huong-350grcay-i1975959687.html</v>
      </c>
      <c r="C2889" s="10" t="s">
        <v>2889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8">
        <v>7744.0</v>
      </c>
      <c r="B2890" s="9" t="str">
        <f>HYPERLINK("https://www.lazada.vn/products/hop-24-goi-mi-sack-enaak-vi-ga-30gr-vang-i1969731147.html", "https://www.lazada.vn/products/hop-24-goi-mi-sack-enaak-vi-ga-30gr-vang-i1969731147.html")</f>
        <v>https://www.lazada.vn/products/hop-24-goi-mi-sack-enaak-vi-ga-30gr-vang-i1969731147.html</v>
      </c>
      <c r="C2890" s="10" t="s">
        <v>2890</v>
      </c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8">
        <v>7745.0</v>
      </c>
      <c r="B2891" s="9" t="str">
        <f>HYPERLINK("https://www.lazada.vn/products/mua-3-tang-1-bo-4-tui-nui-dai-mikiri-x-400g-cao-cap-nguyen-lieu-nau-an-thom-ngon-i499104909.html", "https://www.lazada.vn/products/mua-3-tang-1-bo-4-tui-nui-dai-mikiri-x-400g-cao-cap-nguyen-lieu-nau-an-thom-ngon-i499104909.html")</f>
        <v>https://www.lazada.vn/products/mua-3-tang-1-bo-4-tui-nui-dai-mikiri-x-400g-cao-cap-nguyen-lieu-nau-an-thom-ngon-i499104909.html</v>
      </c>
      <c r="C2891" s="10" t="s">
        <v>2891</v>
      </c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8">
        <v>7746.0</v>
      </c>
      <c r="B2892" s="9" t="str">
        <f>HYPERLINK("https://www.lazada.vn/products/vang-y-domenico-sangiovese-puglia-750ml-i2685386828.html", "https://www.lazada.vn/products/vang-y-domenico-sangiovese-puglia-750ml-i2685386828.html")</f>
        <v>https://www.lazada.vn/products/vang-y-domenico-sangiovese-puglia-750ml-i2685386828.html</v>
      </c>
      <c r="C2892" s="10" t="s">
        <v>2892</v>
      </c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8">
        <v>7747.0</v>
      </c>
      <c r="B2893" s="9" t="str">
        <f>HYPERLINK("https://www.lazada.vn/products/combo-2-hop-ca-phe-hoa-tan-vi-khoai-mon-meet-more-15-goi-x-18g-i2735967926.html", "https://www.lazada.vn/products/combo-2-hop-ca-phe-hoa-tan-vi-khoai-mon-meet-more-15-goi-x-18g-i2735967926.html")</f>
        <v>https://www.lazada.vn/products/combo-2-hop-ca-phe-hoa-tan-vi-khoai-mon-meet-more-15-goi-x-18g-i2735967926.html</v>
      </c>
      <c r="C2893" s="10" t="s">
        <v>2893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8">
        <v>7748.0</v>
      </c>
      <c r="B2894" s="9" t="str">
        <f>HYPERLINK("https://www.lazada.vn/products/1-goi-5-6-vien-banh-mi-pho-mai-vien-i2695643114.html", "https://www.lazada.vn/products/1-goi-5-6-vien-banh-mi-pho-mai-vien-i2695643114.html")</f>
        <v>https://www.lazada.vn/products/1-goi-5-6-vien-banh-mi-pho-mai-vien-i2695643114.html</v>
      </c>
      <c r="C2894" s="10" t="s">
        <v>2894</v>
      </c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8">
        <v>7749.0</v>
      </c>
      <c r="B2895" s="9" t="str">
        <f>HYPERLINK("https://www.lazada.vn/products/bot-d-i-e-p-luc-uni-hop-92gr-i2731638068.html", "https://www.lazada.vn/products/bot-d-i-e-p-luc-uni-hop-92gr-i2731638068.html")</f>
        <v>https://www.lazada.vn/products/bot-d-i-e-p-luc-uni-hop-92gr-i2731638068.html</v>
      </c>
      <c r="C2895" s="10" t="s">
        <v>2895</v>
      </c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8">
        <v>7750.0</v>
      </c>
      <c r="B2896" s="9" t="str">
        <f>HYPERLINK("https://www.lazada.vn/products/combo-2-banh-mi-80g-sandwich-bo-sua-ngan-lop-hot-hit-nhien-loi-i2695607206.html", "https://www.lazada.vn/products/combo-2-banh-mi-80g-sandwich-bo-sua-ngan-lop-hot-hit-nhien-loi-i2695607206.html")</f>
        <v>https://www.lazada.vn/products/combo-2-banh-mi-80g-sandwich-bo-sua-ngan-lop-hot-hit-nhien-loi-i2695607206.html</v>
      </c>
      <c r="C2896" s="10" t="s">
        <v>2896</v>
      </c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8">
        <v>7751.0</v>
      </c>
      <c r="B2897" s="9" t="str">
        <f>HYPERLINK("https://www.lazada.vn/products/bia-kinh-thanh-cho-phu-nu-co-so-tay-nguoi-phu-nu-cau-nguyen-hoa-bia-kinh-thanh-lon-cho-phu-nu-bia-kinh-thanh-da-pu-cho-con-gai-co-day-deo-co-tay-co-i2999619221.html", "https://www.lazada.vn/products/bia-kinh-thanh-cho-phu-nu-co-so-tay-nguoi-phu-nu-cau-nguyen-hoa-bia-kinh-thanh-lon-cho-phu-nu-bia-kinh-thanh-da-pu-cho-con-gai-co-day-deo-co-tay-co-i2999619221.html")</f>
        <v>https://www.lazada.vn/products/bia-kinh-thanh-cho-phu-nu-co-so-tay-nguoi-phu-nu-cau-nguyen-hoa-bia-kinh-thanh-lon-cho-phu-nu-bia-kinh-thanh-da-pu-cho-con-gai-co-day-deo-co-tay-co-i2999619221.html</v>
      </c>
      <c r="C2897" s="10" t="s">
        <v>2897</v>
      </c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8">
        <v>7752.0</v>
      </c>
      <c r="B2898" s="9" t="str">
        <f>HYPERLINK("https://www.lazada.vn/products/tui-500g-keo-thach-zaizai-duc-hanh-mau-moi-goi-dai-do-an-vat-i2575916416.html", "https://www.lazada.vn/products/tui-500g-keo-thach-zaizai-duc-hanh-mau-moi-goi-dai-do-an-vat-i2575916416.html")</f>
        <v>https://www.lazada.vn/products/tui-500g-keo-thach-zaizai-duc-hanh-mau-moi-goi-dai-do-an-vat-i2575916416.html</v>
      </c>
      <c r="C2898" s="10" t="s">
        <v>2898</v>
      </c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8">
        <v>7753.0</v>
      </c>
      <c r="B2899" s="9" t="str">
        <f>HYPERLINK("https://www.lazada.vn/products/chinh-hang-socola-feastables-mrbeast-day-du-vi-60g-keo-i2946614879.html", "https://www.lazada.vn/products/chinh-hang-socola-feastables-mrbeast-day-du-vi-60g-keo-i2946614879.html")</f>
        <v>https://www.lazada.vn/products/chinh-hang-socola-feastables-mrbeast-day-du-vi-60g-keo-i2946614879.html</v>
      </c>
      <c r="C2899" s="10" t="s">
        <v>2899</v>
      </c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8">
        <v>7754.0</v>
      </c>
      <c r="B2900" s="9" t="str">
        <f>HYPERLINK("https://www.lazada.vn/products/mi-cay-han-quoc-pho-mai-hong-combo-5-goi-my-cay-an-vat-han-quoc-i392394253.html", "https://www.lazada.vn/products/mi-cay-han-quoc-pho-mai-hong-combo-5-goi-my-cay-an-vat-han-quoc-i392394253.html")</f>
        <v>https://www.lazada.vn/products/mi-cay-han-quoc-pho-mai-hong-combo-5-goi-my-cay-an-vat-han-quoc-i392394253.html</v>
      </c>
      <c r="C2900" s="10" t="s">
        <v>2900</v>
      </c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8">
        <v>7755.0</v>
      </c>
      <c r="B2901" s="9" t="str">
        <f>HYPERLINK("https://www.lazada.vn/products/bot-cacao-nguyen-chat-bungo-400g-i2374442188.html", "https://www.lazada.vn/products/bot-cacao-nguyen-chat-bungo-400g-i2374442188.html")</f>
        <v>https://www.lazada.vn/products/bot-cacao-nguyen-chat-bungo-400g-i2374442188.html</v>
      </c>
      <c r="C2901" s="10" t="s">
        <v>2901</v>
      </c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8">
        <v>7756.0</v>
      </c>
      <c r="B2902" s="9" t="str">
        <f>HYPERLINK("https://www.lazada.vn/products/mon-an-nhe-hinh-chu-so-giai-con-them-an-qua-do-tuong-nhan-hang-pho-bien-san-pham-ngon-thuong-hieu-yuji-loai-banh-quy-keo-mem-i2923604570.html", "https://www.lazada.vn/products/mon-an-nhe-hinh-chu-so-giai-con-them-an-qua-do-tuong-nhan-hang-pho-bien-san-pham-ngon-thuong-hieu-yuji-loai-banh-quy-keo-mem-i2923604570.html")</f>
        <v>https://www.lazada.vn/products/mon-an-nhe-hinh-chu-so-giai-con-them-an-qua-do-tuong-nhan-hang-pho-bien-san-pham-ngon-thuong-hieu-yuji-loai-banh-quy-keo-mem-i2923604570.html</v>
      </c>
      <c r="C2902" s="10" t="s">
        <v>2902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8">
        <v>7757.0</v>
      </c>
      <c r="B2903" s="9" t="str">
        <f>HYPERLINK("https://www.lazada.vn/products/mang-cay-tu-xuyen-yuyu-ngam-ot-xanh-an-vat-noi-dia-trung-tieu-dong-goi-90g-va-110g-i2802485347.html", "https://www.lazada.vn/products/mang-cay-tu-xuyen-yuyu-ngam-ot-xanh-an-vat-noi-dia-trung-tieu-dong-goi-90g-va-110g-i2802485347.html")</f>
        <v>https://www.lazada.vn/products/mang-cay-tu-xuyen-yuyu-ngam-ot-xanh-an-vat-noi-dia-trung-tieu-dong-goi-90g-va-110g-i2802485347.html</v>
      </c>
      <c r="C2903" s="10" t="s">
        <v>2903</v>
      </c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8">
        <v>7758.0</v>
      </c>
      <c r="B2904" s="9" t="str">
        <f>HYPERLINK("https://www.lazada.vn/products/thung-30-goi-chao-tuoi-to-yen-thit-than-bi-do-sg-food-i2900908349.html", "https://www.lazada.vn/products/thung-30-goi-chao-tuoi-to-yen-thit-than-bi-do-sg-food-i2900908349.html")</f>
        <v>https://www.lazada.vn/products/thung-30-goi-chao-tuoi-to-yen-thit-than-bi-do-sg-food-i2900908349.html</v>
      </c>
      <c r="C2904" s="10" t="s">
        <v>2904</v>
      </c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8">
        <v>7759.0</v>
      </c>
      <c r="B2905" s="9" t="str">
        <f>HYPERLINK("https://www.lazada.vn/products/500gr-snack-khoai-tay-que-3-loai-pho-mai-truyen-thong-khoai-tay-ong-dac-san-chinh-da-lat-i2837801481.html", "https://www.lazada.vn/products/500gr-snack-khoai-tay-que-3-loai-pho-mai-truyen-thong-khoai-tay-ong-dac-san-chinh-da-lat-i2837801481.html")</f>
        <v>https://www.lazada.vn/products/500gr-snack-khoai-tay-que-3-loai-pho-mai-truyen-thong-khoai-tay-ong-dac-san-chinh-da-lat-i2837801481.html</v>
      </c>
      <c r="C2905" s="10" t="s">
        <v>2905</v>
      </c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8">
        <v>7760.0</v>
      </c>
      <c r="B2906" s="9" t="str">
        <f>HYPERLINK("https://www.lazada.vn/products/nuoc-uong-giam-hong-vi-luu-va-mam-xoi-daesang-han-quoc-i2825716074.html", "https://www.lazada.vn/products/nuoc-uong-giam-hong-vi-luu-va-mam-xoi-daesang-han-quoc-i2825716074.html")</f>
        <v>https://www.lazada.vn/products/nuoc-uong-giam-hong-vi-luu-va-mam-xoi-daesang-han-quoc-i2825716074.html</v>
      </c>
      <c r="C2906" s="10" t="s">
        <v>2906</v>
      </c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8">
        <v>7761.0</v>
      </c>
      <c r="B2907" s="9" t="str">
        <f>HYPERLINK("https://www.lazada.vn/products/ca-gia-toi-ot-hu-200-gram-vi-mien-trung-cay-nhe-che-bien-tu-ca-tuoi-cang-bien-tam-quan-i3045719890.html", "https://www.lazada.vn/products/ca-gia-toi-ot-hu-200-gram-vi-mien-trung-cay-nhe-che-bien-tu-ca-tuoi-cang-bien-tam-quan-i3045719890.html")</f>
        <v>https://www.lazada.vn/products/ca-gia-toi-ot-hu-200-gram-vi-mien-trung-cay-nhe-che-bien-tu-ca-tuoi-cang-bien-tam-quan-i3045719890.html</v>
      </c>
      <c r="C2907" s="10" t="s">
        <v>2907</v>
      </c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8">
        <v>7762.0</v>
      </c>
      <c r="B2908" s="9" t="str">
        <f>HYPERLINK("https://www.lazada.vn/products/pho-mai-que-keo-keo-soi-mozzarela-balan-chien-ngon-beo-ngay-ai-cung-me-hop-14-thanh-i1967445024.html", "https://www.lazada.vn/products/pho-mai-que-keo-keo-soi-mozzarela-balan-chien-ngon-beo-ngay-ai-cung-me-hop-14-thanh-i1967445024.html")</f>
        <v>https://www.lazada.vn/products/pho-mai-que-keo-keo-soi-mozzarela-balan-chien-ngon-beo-ngay-ai-cung-me-hop-14-thanh-i1967445024.html</v>
      </c>
      <c r="C2908" s="10" t="s">
        <v>2908</v>
      </c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8">
        <v>7763.0</v>
      </c>
      <c r="B2909" s="9" t="str">
        <f>HYPERLINK("https://www.lazada.vn/products/nam-kinh-tongrentang-bot-lanh-trang-600g-bot-da-600g-i2730603396.html", "https://www.lazada.vn/products/nam-kinh-tongrentang-bot-lanh-trang-600g-bot-da-600g-i2730603396.html")</f>
        <v>https://www.lazada.vn/products/nam-kinh-tongrentang-bot-lanh-trang-600g-bot-da-600g-i2730603396.html</v>
      </c>
      <c r="C2909" s="10" t="s">
        <v>2909</v>
      </c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8">
        <v>7764.0</v>
      </c>
      <c r="B2910" s="9" t="str">
        <f>HYPERLINK("https://www.lazada.vn/products/vang-y-fuedo-mariano-puglia-co-hop-va-tui-i2683984266.html", "https://www.lazada.vn/products/vang-y-fuedo-mariano-puglia-co-hop-va-tui-i2683984266.html")</f>
        <v>https://www.lazada.vn/products/vang-y-fuedo-mariano-puglia-co-hop-va-tui-i2683984266.html</v>
      </c>
      <c r="C2910" s="10" t="s">
        <v>2910</v>
      </c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8">
        <v>7765.0</v>
      </c>
      <c r="B2911" s="9" t="str">
        <f>HYPERLINK("https://www.lazada.vn/products/nuoc-tang-luc-carabao-thai-loc-6-lon-250ml-han-su-dung-luon-moi-i2586026402.html", "https://www.lazada.vn/products/nuoc-tang-luc-carabao-thai-loc-6-lon-250ml-han-su-dung-luon-moi-i2586026402.html")</f>
        <v>https://www.lazada.vn/products/nuoc-tang-luc-carabao-thai-loc-6-lon-250ml-han-su-dung-luon-moi-i2586026402.html</v>
      </c>
      <c r="C2911" s="10" t="s">
        <v>2911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8">
        <v>7766.0</v>
      </c>
      <c r="B2912" s="9" t="str">
        <f>HYPERLINK("https://www.lazada.vn/products/hop-qua-viet-nhat-ruou-sake-nishino-seki-junmaishu-720ml-i3009437382.html", "https://www.lazada.vn/products/hop-qua-viet-nhat-ruou-sake-nishino-seki-junmaishu-720ml-i3009437382.html")</f>
        <v>https://www.lazada.vn/products/hop-qua-viet-nhat-ruou-sake-nishino-seki-junmaishu-720ml-i3009437382.html</v>
      </c>
      <c r="C2912" s="10" t="s">
        <v>2912</v>
      </c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8">
        <v>7767.0</v>
      </c>
      <c r="B2913" s="9" t="str">
        <f>HYPERLINK("https://www.lazada.vn/products/ruou-sake-nhat-ban-nishino-seki-hana-15-i3009435392.html", "https://www.lazada.vn/products/ruou-sake-nhat-ban-nishino-seki-hana-15-i3009435392.html")</f>
        <v>https://www.lazada.vn/products/ruou-sake-nhat-ban-nishino-seki-hana-15-i3009435392.html</v>
      </c>
      <c r="C2913" s="10" t="s">
        <v>2913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8">
        <v>7768.0</v>
      </c>
      <c r="B2914" s="9" t="str">
        <f>HYPERLINK("https://www.lazada.vn/products/vang-phap-malesan-bordeaux-750ml-co-hop-va-tui-i2683922168.html", "https://www.lazada.vn/products/vang-phap-malesan-bordeaux-750ml-co-hop-va-tui-i2683922168.html")</f>
        <v>https://www.lazada.vn/products/vang-phap-malesan-bordeaux-750ml-co-hop-va-tui-i2683922168.html</v>
      </c>
      <c r="C2914" s="10" t="s">
        <v>2914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8">
        <v>7769.0</v>
      </c>
      <c r="B2915" s="9" t="str">
        <f>HYPERLINK("https://www.lazada.vn/products/ruou-sake-nhat-ban-nishino-seki-nigori-zake-15-i3009434415.html", "https://www.lazada.vn/products/ruou-sake-nhat-ban-nishino-seki-nigori-zake-15-i3009434415.html")</f>
        <v>https://www.lazada.vn/products/ruou-sake-nhat-ban-nishino-seki-nigori-zake-15-i3009434415.html</v>
      </c>
      <c r="C2915" s="10" t="s">
        <v>2915</v>
      </c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8">
        <v>7770.0</v>
      </c>
      <c r="B2916" s="9" t="str">
        <f>HYPERLINK("https://www.lazada.vn/products/ruou-sake-nhat-daishichi-junmai-kimoto-15-u-theo-phuong-phap-kimoto-truyen-thong-i3009428383.html", "https://www.lazada.vn/products/ruou-sake-nhat-daishichi-junmai-kimoto-15-u-theo-phuong-phap-kimoto-truyen-thong-i3009428383.html")</f>
        <v>https://www.lazada.vn/products/ruou-sake-nhat-daishichi-junmai-kimoto-15-u-theo-phuong-phap-kimoto-truyen-thong-i3009428383.html</v>
      </c>
      <c r="C2916" s="10" t="s">
        <v>2916</v>
      </c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8">
        <v>7771.0</v>
      </c>
      <c r="B2917" s="9" t="str">
        <f>HYPERLINK("https://www.lazada.vn/products/ruou-sake-nhat-ban-nishino-seki-junmaishu-15-i3009417461.html", "https://www.lazada.vn/products/ruou-sake-nhat-ban-nishino-seki-junmaishu-15-i3009417461.html")</f>
        <v>https://www.lazada.vn/products/ruou-sake-nhat-ban-nishino-seki-junmaishu-15-i3009417461.html</v>
      </c>
      <c r="C2917" s="10" t="s">
        <v>2917</v>
      </c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8">
        <v>7772.0</v>
      </c>
      <c r="B2918" s="9" t="str">
        <f>HYPERLINK("https://www.lazada.vn/products/ruou-mo-nhat-ban-nakano-umeshu-yuzu-vi-chanh-720ml-12-i3009411477.html", "https://www.lazada.vn/products/ruou-mo-nhat-ban-nakano-umeshu-yuzu-vi-chanh-720ml-12-i3009411477.html")</f>
        <v>https://www.lazada.vn/products/ruou-mo-nhat-ban-nakano-umeshu-yuzu-vi-chanh-720ml-12-i3009411477.html</v>
      </c>
      <c r="C2918" s="10" t="s">
        <v>2918</v>
      </c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8">
        <v>7773.0</v>
      </c>
      <c r="B2919" s="9" t="str">
        <f>HYPERLINK("https://www.lazada.vn/products/ca-phe-hoa-tan-nescafe-cafe-viet-den-da-tui-35-goi-x-16g-i2733143265.html", "https://www.lazada.vn/products/ca-phe-hoa-tan-nescafe-cafe-viet-den-da-tui-35-goi-x-16g-i2733143265.html")</f>
        <v>https://www.lazada.vn/products/ca-phe-hoa-tan-nescafe-cafe-viet-den-da-tui-35-goi-x-16g-i2733143265.html</v>
      </c>
      <c r="C2919" s="10" t="s">
        <v>2919</v>
      </c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8">
        <v>7774.0</v>
      </c>
      <c r="B2920" s="9" t="str">
        <f>HYPERLINK("https://www.lazada.vn/products/tui-500g-keo-thach-zaizai-duc-hanh-mau-moi-goi-dai-do-an-vat-i2575854480.html", "https://www.lazada.vn/products/tui-500g-keo-thach-zaizai-duc-hanh-mau-moi-goi-dai-do-an-vat-i2575854480.html")</f>
        <v>https://www.lazada.vn/products/tui-500g-keo-thach-zaizai-duc-hanh-mau-moi-goi-dai-do-an-vat-i2575854480.html</v>
      </c>
      <c r="C2920" s="10" t="s">
        <v>2920</v>
      </c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8">
        <v>7775.0</v>
      </c>
      <c r="B2921" s="9" t="str">
        <f>HYPERLINK("https://www.lazada.vn/products/heineken-silver-250ml-i2999445798.html", "https://www.lazada.vn/products/heineken-silver-250ml-i2999445798.html")</f>
        <v>https://www.lazada.vn/products/heineken-silver-250ml-i2999445798.html</v>
      </c>
      <c r="C2921" s="10" t="s">
        <v>2921</v>
      </c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8">
        <v>7776.0</v>
      </c>
      <c r="B2922" s="9" t="str">
        <f>HYPERLINK("https://www.lazada.vn/products/loai-thuong-hang-socola-tuoi-nama-bibizan-chinh-hang-i2946291009.html", "https://www.lazada.vn/products/loai-thuong-hang-socola-tuoi-nama-bibizan-chinh-hang-i2946291009.html")</f>
        <v>https://www.lazada.vn/products/loai-thuong-hang-socola-tuoi-nama-bibizan-chinh-hang-i2946291009.html</v>
      </c>
      <c r="C2922" s="10" t="s">
        <v>2922</v>
      </c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8">
        <v>7777.0</v>
      </c>
      <c r="B2923" s="9" t="str">
        <f>HYPERLINK("https://www.lazada.vn/products/strawberry-dried-whole-particle-fruit-snack-snowflake-crisp-biscuit-office-leisure-pregnant-women-snacks-dried-fruit-i2923805869.html", "https://www.lazada.vn/products/strawberry-dried-whole-particle-fruit-snack-snowflake-crisp-biscuit-office-leisure-pregnant-women-snacks-dried-fruit-i2923805869.html")</f>
        <v>https://www.lazada.vn/products/strawberry-dried-whole-particle-fruit-snack-snowflake-crisp-biscuit-office-leisure-pregnant-women-snacks-dried-fruit-i2923805869.html</v>
      </c>
      <c r="C2923" s="10" t="s">
        <v>2923</v>
      </c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8">
        <v>7778.0</v>
      </c>
      <c r="B2924" s="9" t="str">
        <f>HYPERLINK("https://www.lazada.vn/products/keo-socola-dua-unreal-dark-chocolate-coconut-minis-435gr-my-i2944777364.html", "https://www.lazada.vn/products/keo-socola-dua-unreal-dark-chocolate-coconut-minis-435gr-my-i2944777364.html")</f>
        <v>https://www.lazada.vn/products/keo-socola-dua-unreal-dark-chocolate-coconut-minis-435gr-my-i2944777364.html</v>
      </c>
      <c r="C2924" s="10" t="s">
        <v>2924</v>
      </c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8">
        <v>7779.0</v>
      </c>
      <c r="B2925" s="9" t="str">
        <f>HYPERLINK("https://www.lazada.vn/products/tran-chau-konjac-vi-xoi-dua-thai-longbeach-konjac-pearls-thai-sticky-rice-with-coconut-milk-800g-i2640590941.html", "https://www.lazada.vn/products/tran-chau-konjac-vi-xoi-dua-thai-longbeach-konjac-pearls-thai-sticky-rice-with-coconut-milk-800g-i2640590941.html")</f>
        <v>https://www.lazada.vn/products/tran-chau-konjac-vi-xoi-dua-thai-longbeach-konjac-pearls-thai-sticky-rice-with-coconut-milk-800g-i2640590941.html</v>
      </c>
      <c r="C2925" s="10" t="s">
        <v>2925</v>
      </c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8">
        <v>7780.0</v>
      </c>
      <c r="B2926" s="9" t="str">
        <f>HYPERLINK("https://www.lazada.vn/products/10-hu-yen-sao-sunny-yen-sao-khanh-hoa-25-yen-nguyen-chat-chung-san-i2745954174.html", "https://www.lazada.vn/products/10-hu-yen-sao-sunny-yen-sao-khanh-hoa-25-yen-nguyen-chat-chung-san-i2745954174.html")</f>
        <v>https://www.lazada.vn/products/10-hu-yen-sao-sunny-yen-sao-khanh-hoa-25-yen-nguyen-chat-chung-san-i2745954174.html</v>
      </c>
      <c r="C2926" s="10" t="s">
        <v>2926</v>
      </c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8">
        <v>7781.0</v>
      </c>
      <c r="B2927" s="9" t="str">
        <f>HYPERLINK("https://www.lazada.vn/products/banh-my-hoa-cuc-2-vi-thom-ngon-i2695583295.html", "https://www.lazada.vn/products/banh-my-hoa-cuc-2-vi-thom-ngon-i2695583295.html")</f>
        <v>https://www.lazada.vn/products/banh-my-hoa-cuc-2-vi-thom-ngon-i2695583295.html</v>
      </c>
      <c r="C2927" s="10" t="s">
        <v>2927</v>
      </c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8">
        <v>7782.0</v>
      </c>
      <c r="B2928" s="9" t="str">
        <f>HYPERLINK("https://www.lazada.vn/products/mi-rau-cu-safoco-goi-500g-soi-nho-soi-dep-mi-chay-i343880085.html", "https://www.lazada.vn/products/mi-rau-cu-safoco-goi-500g-soi-nho-soi-dep-mi-chay-i343880085.html")</f>
        <v>https://www.lazada.vn/products/mi-rau-cu-safoco-goi-500g-soi-nho-soi-dep-mi-chay-i343880085.html</v>
      </c>
      <c r="C2928" s="10" t="s">
        <v>2928</v>
      </c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8">
        <v>7783.0</v>
      </c>
      <c r="B2929" s="9" t="str">
        <f>HYPERLINK("https://www.lazada.vn/products/20h-3-64-vc-18-cho-don-tu-199k-combo-8-mi-omachi-lau-cam-tay-huong-vi-3-tomyum-3-ngao-nam-rong-bien-2-tom-hum-pho-mai-i2897062261.html", "https://www.lazada.vn/products/20h-3-64-vc-18-cho-don-tu-199k-combo-8-mi-omachi-lau-cam-tay-huong-vi-3-tomyum-3-ngao-nam-rong-bien-2-tom-hum-pho-mai-i2897062261.html")</f>
        <v>https://www.lazada.vn/products/20h-3-64-vc-18-cho-don-tu-199k-combo-8-mi-omachi-lau-cam-tay-huong-vi-3-tomyum-3-ngao-nam-rong-bien-2-tom-hum-pho-mai-i2897062261.html</v>
      </c>
      <c r="C2929" s="10" t="s">
        <v>2929</v>
      </c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8">
        <v>7784.0</v>
      </c>
      <c r="B2930" s="9" t="str">
        <f>HYPERLINK("https://www.lazada.vn/products/da-bo-xao-cay-tu-xuyen-yuguan-an-vat-tieu-dong-i2802469397.html", "https://www.lazada.vn/products/da-bo-xao-cay-tu-xuyen-yuguan-an-vat-tieu-dong-i2802469397.html")</f>
        <v>https://www.lazada.vn/products/da-bo-xao-cay-tu-xuyen-yuguan-an-vat-tieu-dong-i2802469397.html</v>
      </c>
      <c r="C2930" s="10" t="s">
        <v>2930</v>
      </c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8">
        <v>7785.0</v>
      </c>
      <c r="B2931" s="9" t="str">
        <f>HYPERLINK("https://www.lazada.vn/products/khoai-mon-cong-vi-hanh-dac-san-chinh-da-lat-i2837750291.html", "https://www.lazada.vn/products/khoai-mon-cong-vi-hanh-dac-san-chinh-da-lat-i2837750291.html")</f>
        <v>https://www.lazada.vn/products/khoai-mon-cong-vi-hanh-dac-san-chinh-da-lat-i2837750291.html</v>
      </c>
      <c r="C2931" s="10" t="s">
        <v>2931</v>
      </c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8">
        <v>7786.0</v>
      </c>
      <c r="B2932" s="9" t="str">
        <f>HYPERLINK("https://www.lazada.vn/products/nuoc-uong-giam-hong-vi-luu-va-vi-mam-xoi-daesang-han-quoc-i2825575162.html", "https://www.lazada.vn/products/nuoc-uong-giam-hong-vi-luu-va-vi-mam-xoi-daesang-han-quoc-i2825575162.html")</f>
        <v>https://www.lazada.vn/products/nuoc-uong-giam-hong-vi-luu-va-vi-mam-xoi-daesang-han-quoc-i2825575162.html</v>
      </c>
      <c r="C2932" s="10" t="s">
        <v>2932</v>
      </c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8">
        <v>7787.0</v>
      </c>
      <c r="B2933" s="9" t="str">
        <f>HYPERLINK("https://www.lazada.vn/products/ca-moi-dong-hop-kobe-bussan-hop-100gr-i3044706628.html", "https://www.lazada.vn/products/ca-moi-dong-hop-kobe-bussan-hop-100gr-i3044706628.html")</f>
        <v>https://www.lazada.vn/products/ca-moi-dong-hop-kobe-bussan-hop-100gr-i3044706628.html</v>
      </c>
      <c r="C2933" s="10" t="s">
        <v>2933</v>
      </c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8">
        <v>7788.0</v>
      </c>
      <c r="B2934" s="9" t="str">
        <f>HYPERLINK("https://www.lazada.vn/products/banh-quy-soda-nho-goi-giai-khat-huong-hanh-tay-va-man-sua-do-an-nhe-giai-tri-banh-quy-soda-tau-hoa-dong-bac-bo-i2923586524.html", "https://www.lazada.vn/products/banh-quy-soda-nho-goi-giai-khat-huong-hanh-tay-va-man-sua-do-an-nhe-giai-tri-banh-quy-soda-tau-hoa-dong-bac-bo-i2923586524.html")</f>
        <v>https://www.lazada.vn/products/banh-quy-soda-nho-goi-giai-khat-huong-hanh-tay-va-man-sua-do-an-nhe-giai-tri-banh-quy-soda-tau-hoa-dong-bac-bo-i2923586524.html</v>
      </c>
      <c r="C2934" s="10" t="s">
        <v>2934</v>
      </c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8">
        <v>7789.0</v>
      </c>
      <c r="B2935" s="9" t="str">
        <f>HYPERLINK("https://www.lazada.vn/products/luong-kho-an-kieng-happy-life-tieu-duong-cao-huyet-ap-beo-phi-tim-mach-i1966809219.html", "https://www.lazada.vn/products/luong-kho-an-kieng-happy-life-tieu-duong-cao-huyet-ap-beo-phi-tim-mach-i1966809219.html")</f>
        <v>https://www.lazada.vn/products/luong-kho-an-kieng-happy-life-tieu-duong-cao-huyet-ap-beo-phi-tim-mach-i1966809219.html</v>
      </c>
      <c r="C2935" s="10" t="s">
        <v>2935</v>
      </c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8">
        <v>7790.0</v>
      </c>
      <c r="B2936" s="9" t="str">
        <f>HYPERLINK("https://www.lazada.vn/products/bot-soi-trai-cay-va-rau-baiyun-nui-acai-i2730179636.html", "https://www.lazada.vn/products/bot-soi-trai-cay-va-rau-baiyun-nui-acai-i2730179636.html")</f>
        <v>https://www.lazada.vn/products/bot-soi-trai-cay-va-rau-baiyun-nui-acai-i2730179636.html</v>
      </c>
      <c r="C2936" s="10" t="s">
        <v>2936</v>
      </c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8">
        <v>7791.0</v>
      </c>
      <c r="B2937" s="9" t="str">
        <f>HYPERLINK("https://www.lazada.vn/products/hoa-toc-hcm-loc-24-chai-nuoc-dien-giai-bu-khoang-the-thao-aquarius-390mlchai-sale-253-coca-cola-chinh-hang-i2580983398.html", "https://www.lazada.vn/products/hoa-toc-hcm-loc-24-chai-nuoc-dien-giai-bu-khoang-the-thao-aquarius-390mlchai-sale-253-coca-cola-chinh-hang-i2580983398.html")</f>
        <v>https://www.lazada.vn/products/hoa-toc-hcm-loc-24-chai-nuoc-dien-giai-bu-khoang-the-thao-aquarius-390mlchai-sale-253-coca-cola-chinh-hang-i2580983398.html</v>
      </c>
      <c r="C2937" s="10" t="s">
        <v>2937</v>
      </c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8">
        <v>7792.0</v>
      </c>
      <c r="B2938" s="9" t="str">
        <f>HYPERLINK("https://www.lazada.vn/products/ruou-vang-phap-malesan-vdp-i2682725145.html", "https://www.lazada.vn/products/ruou-vang-phap-malesan-vdp-i2682725145.html")</f>
        <v>https://www.lazada.vn/products/ruou-vang-phap-malesan-vdp-i2682725145.html</v>
      </c>
      <c r="C2938" s="10" t="s">
        <v>2938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8">
        <v>7793.0</v>
      </c>
      <c r="B2939" s="9" t="str">
        <f>HYPERLINK("https://www.lazada.vn/products/bot-pha-s-lim-uni-vi-cam-co-tach-le-r3-i2727945958.html", "https://www.lazada.vn/products/bot-pha-s-lim-uni-vi-cam-co-tach-le-r3-i2727945958.html")</f>
        <v>https://www.lazada.vn/products/bot-pha-s-lim-uni-vi-cam-co-tach-le-r3-i2727945958.html</v>
      </c>
      <c r="C2939" s="10" t="s">
        <v>2939</v>
      </c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8">
        <v>7794.0</v>
      </c>
      <c r="B2940" s="9" t="str">
        <f>HYPERLINK("https://www.lazada.vn/products/thach-zaizai-duc-hanh-1kg-mix-vi-pho-thao-moc-i2565850242.html", "https://www.lazada.vn/products/thach-zaizai-duc-hanh-1kg-mix-vi-pho-thao-moc-i2565850242.html")</f>
        <v>https://www.lazada.vn/products/thach-zaizai-duc-hanh-1kg-mix-vi-pho-thao-moc-i2565850242.html</v>
      </c>
      <c r="C2940" s="10" t="s">
        <v>2940</v>
      </c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8">
        <v>7795.0</v>
      </c>
      <c r="B2941" s="9" t="str">
        <f>HYPERLINK("https://www.lazada.vn/products/siro-mat-cay-thua-chelsea-agave-syrup-huu-co-organic-360g-i2638984043.html", "https://www.lazada.vn/products/siro-mat-cay-thua-chelsea-agave-syrup-huu-co-organic-360g-i2638984043.html")</f>
        <v>https://www.lazada.vn/products/siro-mat-cay-thua-chelsea-agave-syrup-huu-co-organic-360g-i2638984043.html</v>
      </c>
      <c r="C2941" s="10" t="s">
        <v>2941</v>
      </c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8">
        <v>7796.0</v>
      </c>
      <c r="B2942" s="9" t="str">
        <f>HYPERLINK("https://www.lazada.vn/products/xiaodage-1-thung-bia-corny-khoa-khilong-ngat-ket-noi-cho-bia-nha-kieu-cornelius-i2999051737.html", "https://www.lazada.vn/products/xiaodage-1-thung-bia-corny-khoa-khilong-ngat-ket-noi-cho-bia-nha-kieu-cornelius-i2999051737.html")</f>
        <v>https://www.lazada.vn/products/xiaodage-1-thung-bia-corny-khoa-khilong-ngat-ket-noi-cho-bia-nha-kieu-cornelius-i2999051737.html</v>
      </c>
      <c r="C2942" s="10" t="s">
        <v>2942</v>
      </c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8">
        <v>7797.0</v>
      </c>
      <c r="B2943" s="9" t="str">
        <f>HYPERLINK("https://www.lazada.vn/products/ruou-mo-nakano-umeshu-nhat-14-i3009379609.html", "https://www.lazada.vn/products/ruou-mo-nakano-umeshu-nhat-14-i3009379609.html")</f>
        <v>https://www.lazada.vn/products/ruou-mo-nakano-umeshu-nhat-14-i3009379609.html</v>
      </c>
      <c r="C2943" s="10" t="s">
        <v>2943</v>
      </c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8">
        <v>7798.0</v>
      </c>
      <c r="B2944" s="9" t="str">
        <f>HYPERLINK("https://www.lazada.vn/products/combo-2-bich-ca-phe-sua-kopiko-macchiato-thai-lan-bich-20-goi-x-24g-i2731599168.html", "https://www.lazada.vn/products/combo-2-bich-ca-phe-sua-kopiko-macchiato-thai-lan-bich-20-goi-x-24g-i2731599168.html")</f>
        <v>https://www.lazada.vn/products/combo-2-bich-ca-phe-sua-kopiko-macchiato-thai-lan-bich-20-goi-x-24g-i2731599168.html</v>
      </c>
      <c r="C2944" s="10" t="s">
        <v>2944</v>
      </c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8">
        <v>7799.0</v>
      </c>
      <c r="B2945" s="9" t="str">
        <f>HYPERLINK("https://www.lazada.vn/products/dragon-fruit-dried-red-heart-snack-crispy-blocks-office-children-leisure-food-non-fried-dry-fruits-vegetables-free-range-i2923805752.html", "https://www.lazada.vn/products/dragon-fruit-dried-red-heart-snack-crispy-blocks-office-children-leisure-food-non-fried-dry-fruits-vegetables-free-range-i2923805752.html")</f>
        <v>https://www.lazada.vn/products/dragon-fruit-dried-red-heart-snack-crispy-blocks-office-children-leisure-food-non-fried-dry-fruits-vegetables-free-range-i2923805752.html</v>
      </c>
      <c r="C2945" s="10" t="s">
        <v>2945</v>
      </c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8">
        <v>7800.0</v>
      </c>
      <c r="B2946" s="9" t="str">
        <f>HYPERLINK("https://www.lazada.vn/products/keo-socola-hanh-nhan-nga-krokaht-tim-goi-500g-banh-keo-tet-2025-i2944772174.html", "https://www.lazada.vn/products/keo-socola-hanh-nhan-nga-krokaht-tim-goi-500g-banh-keo-tet-2025-i2944772174.html")</f>
        <v>https://www.lazada.vn/products/keo-socola-hanh-nhan-nga-krokaht-tim-goi-500g-banh-keo-tet-2025-i2944772174.html</v>
      </c>
      <c r="C2946" s="10" t="s">
        <v>2946</v>
      </c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8">
        <v>7801.0</v>
      </c>
      <c r="B2947" s="9" t="str">
        <f>HYPERLINK("https://www.lazada.vn/products/kamizu-nuoc-uong-bo-sung-collagen-vitamin-c-e-loc-6-chai-i2745586313.html", "https://www.lazada.vn/products/kamizu-nuoc-uong-bo-sung-collagen-vitamin-c-e-loc-6-chai-i2745586313.html")</f>
        <v>https://www.lazada.vn/products/kamizu-nuoc-uong-bo-sung-collagen-vitamin-c-e-loc-6-chai-i2745586313.html</v>
      </c>
      <c r="C2947" s="10" t="s">
        <v>2947</v>
      </c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8">
        <v>7802.0</v>
      </c>
      <c r="B2948" s="9" t="str">
        <f>HYPERLINK("https://www.lazada.vn/products/bot-cacao-bungo-3-in-1-i2374417057.html", "https://www.lazada.vn/products/bot-cacao-bungo-3-in-1-i2374417057.html")</f>
        <v>https://www.lazada.vn/products/bot-cacao-bungo-3-in-1-i2374417057.html</v>
      </c>
      <c r="C2948" s="10" t="s">
        <v>2948</v>
      </c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8">
        <v>7803.0</v>
      </c>
      <c r="B2949" s="9" t="str">
        <f>HYPERLINK("https://www.lazada.vn/products/thung-2kg-banh-sua-chua-mix-vi-ngon-hot-nhat-hien-nay-i2695430984.html", "https://www.lazada.vn/products/thung-2kg-banh-sua-chua-mix-vi-ngon-hot-nhat-hien-nay-i2695430984.html")</f>
        <v>https://www.lazada.vn/products/thung-2kg-banh-sua-chua-mix-vi-ngon-hot-nhat-hien-nay-i2695430984.html</v>
      </c>
      <c r="C2949" s="10" t="s">
        <v>2949</v>
      </c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8">
        <v>7804.0</v>
      </c>
      <c r="B2950" s="9" t="str">
        <f>HYPERLINK("https://www.lazada.vn/products/thung-20-goi-mi-tron-tuong-den-koreno-goi-78g-i2893396578.html", "https://www.lazada.vn/products/thung-20-goi-mi-tron-tuong-den-koreno-goi-78g-i2893396578.html")</f>
        <v>https://www.lazada.vn/products/thung-20-goi-mi-tron-tuong-den-koreno-goi-78g-i2893396578.html</v>
      </c>
      <c r="C2950" s="10" t="s">
        <v>2950</v>
      </c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8">
        <v>7805.0</v>
      </c>
      <c r="B2951" s="9" t="str">
        <f>HYPERLINK("https://www.lazada.vn/products/mi-cay-samyang-han-quoc-6-goi-my-tron-kho-maximas-an-vat-han-quoc-mon-ngon-tai-nha-i274396989.html", "https://www.lazada.vn/products/mi-cay-samyang-han-quoc-6-goi-my-tron-kho-maximas-an-vat-han-quoc-mon-ngon-tai-nha-i274396989.html")</f>
        <v>https://www.lazada.vn/products/mi-cay-samyang-han-quoc-6-goi-my-tron-kho-maximas-an-vat-han-quoc-mon-ngon-tai-nha-i274396989.html</v>
      </c>
      <c r="C2951" s="10" t="s">
        <v>2951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8">
        <v>7806.0</v>
      </c>
      <c r="B2952" s="9" t="str">
        <f>HYPERLINK("https://www.lazada.vn/products/qua-mo-chin-de-ngam-duong-ngam-r-uou-1kg-i3044570884.html", "https://www.lazada.vn/products/qua-mo-chin-de-ngam-duong-ngam-r-uou-1kg-i3044570884.html")</f>
        <v>https://www.lazada.vn/products/qua-mo-chin-de-ngam-duong-ngam-r-uou-1kg-i3044570884.html</v>
      </c>
      <c r="C2952" s="10" t="s">
        <v>2952</v>
      </c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8">
        <v>7807.0</v>
      </c>
      <c r="B2953" s="9" t="str">
        <f>HYPERLINK("https://www.lazada.vn/products/khakhra-jainex-200g-jain-i2589678559.html", "https://www.lazada.vn/products/khakhra-jainex-200g-jain-i2589678559.html")</f>
        <v>https://www.lazada.vn/products/khakhra-jainex-200g-jain-i2589678559.html</v>
      </c>
      <c r="C2953" s="10" t="s">
        <v>2953</v>
      </c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8">
        <v>7808.0</v>
      </c>
      <c r="B2954" s="9" t="str">
        <f>HYPERLINK("https://www.lazada.vn/products/hop-qua-hoa-anh-dao-ruou-sake-nhat-ban-nishino-seki-hana-720ml-i3009345649.html", "https://www.lazada.vn/products/hop-qua-hoa-anh-dao-ruou-sake-nhat-ban-nishino-seki-hana-720ml-i3009345649.html")</f>
        <v>https://www.lazada.vn/products/hop-qua-hoa-anh-dao-ruou-sake-nhat-ban-nishino-seki-hana-720ml-i3009345649.html</v>
      </c>
      <c r="C2954" s="10" t="s">
        <v>2954</v>
      </c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8">
        <v>7809.0</v>
      </c>
      <c r="B2955" s="9" t="str">
        <f>HYPERLINK("https://www.lazada.vn/products/pho-mai-tron-nhat-ban-10-goi-100g-banh-quy-nuong-mong-ngot-ngon-huong-vi-trai-cay-va-hoa-snack-dac-san-duong-pho-i2923563589.html", "https://www.lazada.vn/products/pho-mai-tron-nhat-ban-10-goi-100g-banh-quy-nuong-mong-ngot-ngon-huong-vi-trai-cay-va-hoa-snack-dac-san-duong-pho-i2923563589.html")</f>
        <v>https://www.lazada.vn/products/pho-mai-tron-nhat-ban-10-goi-100g-banh-quy-nuong-mong-ngot-ngon-huong-vi-trai-cay-va-hoa-snack-dac-san-duong-pho-i2923563589.html</v>
      </c>
      <c r="C2955" s="10" t="s">
        <v>2955</v>
      </c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8">
        <v>7810.0</v>
      </c>
      <c r="B2956" s="9" t="str">
        <f>HYPERLINK("https://www.lazada.vn/products/banh-quy-duong-coconut-cracker-banh-bac-vuong-jessica-178g-do-an-vat-gia-re-i1966775163.html", "https://www.lazada.vn/products/banh-quy-duong-coconut-cracker-banh-bac-vuong-jessica-178g-do-an-vat-gia-re-i1966775163.html")</f>
        <v>https://www.lazada.vn/products/banh-quy-duong-coconut-cracker-banh-bac-vuong-jessica-178g-do-an-vat-gia-re-i1966775163.html</v>
      </c>
      <c r="C2956" s="10" t="s">
        <v>2956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8">
        <v>7811.0</v>
      </c>
      <c r="B2957" s="9" t="str">
        <f>HYPERLINK("https://www.lazada.vn/products/hoa-toc-hcm-hop-6-lon-nuoc-tang-luc-giai-khat-monster-mix-3-vi-monster-energy-monster-ultra-paradise-monster-mango-loco-355mllon-sale-253-coca-cola-chinh-hang-i2580946467.html", "https://www.lazada.vn/products/hoa-toc-hcm-hop-6-lon-nuoc-tang-luc-giai-khat-monster-mix-3-vi-monster-energy-monster-ultra-paradise-monster-mango-loco-355mllon-sale-253-coca-cola-chinh-hang-i2580946467.html")</f>
        <v>https://www.lazada.vn/products/hoa-toc-hcm-hop-6-lon-nuoc-tang-luc-giai-khat-monster-mix-3-vi-monster-energy-monster-ultra-paradise-monster-mango-loco-355mllon-sale-253-coca-cola-chinh-hang-i2580946467.html</v>
      </c>
      <c r="C2957" s="10" t="s">
        <v>2957</v>
      </c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8">
        <v>7812.0</v>
      </c>
      <c r="B2958" s="9" t="str">
        <f>HYPERLINK("https://www.lazada.vn/products/siro-la-phong-queen-maple-syrup-flavored-vi-nguyen-ban-original-vanilla-khong-duong-sugar-free-355ml-i2638544597.html", "https://www.lazada.vn/products/siro-la-phong-queen-maple-syrup-flavored-vi-nguyen-ban-original-vanilla-khong-duong-sugar-free-355ml-i2638544597.html")</f>
        <v>https://www.lazada.vn/products/siro-la-phong-queen-maple-syrup-flavored-vi-nguyen-ban-original-vanilla-khong-duong-sugar-free-355ml-i2638544597.html</v>
      </c>
      <c r="C2958" s="10" t="s">
        <v>2958</v>
      </c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8">
        <v>7813.0</v>
      </c>
      <c r="B2959" s="9" t="str">
        <f>HYPERLINK("https://www.lazada.vn/products/ca-phe-sau-rieng-rockcafe-tui-30-goi-x-20-g-rock-cafe-vi-sau-rieng-white-coffee-durian-i2730903655.html", "https://www.lazada.vn/products/ca-phe-sau-rieng-rockcafe-tui-30-goi-x-20-g-rock-cafe-vi-sau-rieng-white-coffee-durian-i2730903655.html")</f>
        <v>https://www.lazada.vn/products/ca-phe-sau-rieng-rockcafe-tui-30-goi-x-20-g-rock-cafe-vi-sau-rieng-white-coffee-durian-i2730903655.html</v>
      </c>
      <c r="C2959" s="10" t="s">
        <v>2959</v>
      </c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8">
        <v>7814.0</v>
      </c>
      <c r="B2960" s="9" t="str">
        <f>HYPERLINK("https://www.lazada.vn/products/bot-pha-s-lim-uni-vi-cam-co-tach-le-f53-i2727906795.html", "https://www.lazada.vn/products/bot-pha-s-lim-uni-vi-cam-co-tach-le-f53-i2727906795.html")</f>
        <v>https://www.lazada.vn/products/bot-pha-s-lim-uni-vi-cam-co-tach-le-f53-i2727906795.html</v>
      </c>
      <c r="C2960" s="10" t="s">
        <v>2960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8">
        <v>7815.0</v>
      </c>
      <c r="B2961" s="9" t="str">
        <f>HYPERLINK("https://www.lazada.vn/products/blocs-sua-chua-dong-kho-dried-fruit-yogurt-blocks-dried-strawberry-mango-simple-meal-energy-snack-popular-online-snacks-i2923805679.html", "https://www.lazada.vn/products/blocs-sua-chua-dong-kho-dried-fruit-yogurt-blocks-dried-strawberry-mango-simple-meal-energy-snack-popular-online-snacks-i2923805679.html")</f>
        <v>https://www.lazada.vn/products/blocs-sua-chua-dong-kho-dried-fruit-yogurt-blocks-dried-strawberry-mango-simple-meal-energy-snack-popular-online-snacks-i2923805679.html</v>
      </c>
      <c r="C2961" s="10" t="s">
        <v>2961</v>
      </c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8">
        <v>7816.0</v>
      </c>
      <c r="B2962" s="9" t="str">
        <f>HYPERLINK("https://www.lazada.vn/products/keo-tet-2025-keo-mix-8-vi-nga-goi-450gr-i2944697436.html", "https://www.lazada.vn/products/keo-tet-2025-keo-mix-8-vi-nga-goi-450gr-i2944697436.html")</f>
        <v>https://www.lazada.vn/products/keo-tet-2025-keo-mix-8-vi-nga-goi-450gr-i2944697436.html</v>
      </c>
      <c r="C2962" s="10" t="s">
        <v>2962</v>
      </c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8">
        <v>7817.0</v>
      </c>
      <c r="B2963" s="9" t="str">
        <f>HYPERLINK("https://www.lazada.vn/products/bot-cacao-bungo-sua-dua-i2374315223.html", "https://www.lazada.vn/products/bot-cacao-bungo-sua-dua-i2374315223.html")</f>
        <v>https://www.lazada.vn/products/bot-cacao-bungo-sua-dua-i2374315223.html</v>
      </c>
      <c r="C2963" s="10" t="s">
        <v>2963</v>
      </c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8">
        <v>7818.0</v>
      </c>
      <c r="B2964" s="9" t="str">
        <f>HYPERLINK("https://www.lazada.vn/products/nuoc-uong-vi-luu-va-vi-mam-xoi-daesang-han-quoc-i2824645336.html", "https://www.lazada.vn/products/nuoc-uong-vi-luu-va-vi-mam-xoi-daesang-han-quoc-i2824645336.html")</f>
        <v>https://www.lazada.vn/products/nuoc-uong-vi-luu-va-vi-mam-xoi-daesang-han-quoc-i2824645336.html</v>
      </c>
      <c r="C2964" s="10" t="s">
        <v>2964</v>
      </c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8">
        <v>7819.0</v>
      </c>
      <c r="B2965" s="9" t="str">
        <f>HYPERLINK("https://www.lazada.vn/products/tui-500g-banh-snack-so-hanh-dac-biet-thom-ngon-i2837687598.html", "https://www.lazada.vn/products/tui-500g-banh-snack-so-hanh-dac-biet-thom-ngon-i2837687598.html")</f>
        <v>https://www.lazada.vn/products/tui-500g-banh-snack-so-hanh-dac-biet-thom-ngon-i2837687598.html</v>
      </c>
      <c r="C2965" s="10" t="s">
        <v>2965</v>
      </c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8">
        <v>7820.0</v>
      </c>
      <c r="B2966" s="9" t="str">
        <f>HYPERLINK("https://www.lazada.vn/products/ruou-vang-do-iris-gran-reserva-cabernet-sauvignon-750ml-i2682721126.html", "https://www.lazada.vn/products/ruou-vang-do-iris-gran-reserva-cabernet-sauvignon-750ml-i2682721126.html")</f>
        <v>https://www.lazada.vn/products/ruou-vang-do-iris-gran-reserva-cabernet-sauvignon-750ml-i2682721126.html</v>
      </c>
      <c r="C2966" s="10" t="s">
        <v>2966</v>
      </c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8">
        <v>7821.0</v>
      </c>
      <c r="B2967" s="9" t="str">
        <f>HYPERLINK("https://www.lazada.vn/products/kamizu-nuoc-uong-bo-sung-collagen-vitamin-c-e-thung-24-chai-i2745499901.html", "https://www.lazada.vn/products/kamizu-nuoc-uong-bo-sung-collagen-vitamin-c-e-thung-24-chai-i2745499901.html")</f>
        <v>https://www.lazada.vn/products/kamizu-nuoc-uong-bo-sung-collagen-vitamin-c-e-thung-24-chai-i2745499901.html</v>
      </c>
      <c r="C2967" s="10" t="s">
        <v>2967</v>
      </c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8">
        <v>7822.0</v>
      </c>
      <c r="B2968" s="9" t="str">
        <f>HYPERLINK("https://www.lazada.vn/products/2025-nam-moi-giang-sinh-uong-bia-do-la-thoi-diem-tuyet-voi-de-uong-bia-le-hoi-mua-xuan-nam-moi-trung-quoc-i2998757805.html", "https://www.lazada.vn/products/2025-nam-moi-giang-sinh-uong-bia-do-la-thoi-diem-tuyet-voi-de-uong-bia-le-hoi-mua-xuan-nam-moi-trung-quoc-i2998757805.html")</f>
        <v>https://www.lazada.vn/products/2025-nam-moi-giang-sinh-uong-bia-do-la-thoi-diem-tuyet-voi-de-uong-bia-le-hoi-mua-xuan-nam-moi-trung-quoc-i2998757805.html</v>
      </c>
      <c r="C2968" s="10" t="s">
        <v>2968</v>
      </c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8">
        <v>7823.0</v>
      </c>
      <c r="B2969" s="9" t="str">
        <f>HYPERLINK("https://www.lazada.vn/products/thach-zaizai-duc-hanh-1kg-mix-vi-thenewlife0909-i2565684636.html", "https://www.lazada.vn/products/thach-zaizai-duc-hanh-1kg-mix-vi-thenewlife0909-i2565684636.html")</f>
        <v>https://www.lazada.vn/products/thach-zaizai-duc-hanh-1kg-mix-vi-thenewlife0909-i2565684636.html</v>
      </c>
      <c r="C2969" s="10" t="s">
        <v>2969</v>
      </c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8">
        <v>7824.0</v>
      </c>
      <c r="B2970" s="9" t="str">
        <f>HYPERLINK("https://www.lazada.vn/products/fujiya-socola-nhan-dau-phong-peanuts-150g-i2944682357.html", "https://www.lazada.vn/products/fujiya-socola-nhan-dau-phong-peanuts-150g-i2944682357.html")</f>
        <v>https://www.lazada.vn/products/fujiya-socola-nhan-dau-phong-peanuts-150g-i2944682357.html</v>
      </c>
      <c r="C2970" s="10" t="s">
        <v>2970</v>
      </c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8">
        <v>7825.0</v>
      </c>
      <c r="B2971" s="9" t="str">
        <f>HYPERLINK("https://www.lazada.vn/products/hoa-toc-hcm-thungloc-24-chai-nuoc-tang-luc-giai-khat-thums-up-huong-dau-rung-330ml-x-24-sale-253-coca-cola-chinh-hang-i2580927657.html", "https://www.lazada.vn/products/hoa-toc-hcm-thungloc-24-chai-nuoc-tang-luc-giai-khat-thums-up-huong-dau-rung-330ml-x-24-sale-253-coca-cola-chinh-hang-i2580927657.html")</f>
        <v>https://www.lazada.vn/products/hoa-toc-hcm-thungloc-24-chai-nuoc-tang-luc-giai-khat-thums-up-huong-dau-rung-330ml-x-24-sale-253-coca-cola-chinh-hang-i2580927657.html</v>
      </c>
      <c r="C2971" s="10" t="s">
        <v>2971</v>
      </c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8">
        <v>7826.0</v>
      </c>
      <c r="B2972" s="9" t="str">
        <f>HYPERLINK("https://www.lazada.vn/products/banh-bo-nuong-thot-not-i2684428860.html", "https://www.lazada.vn/products/banh-bo-nuong-thot-not-i2684428860.html")</f>
        <v>https://www.lazada.vn/products/banh-bo-nuong-thot-not-i2684428860.html</v>
      </c>
      <c r="C2972" s="10" t="s">
        <v>2972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8">
        <v>7827.0</v>
      </c>
      <c r="B2973" s="9" t="str">
        <f>HYPERLINK("https://www.lazada.vn/products/ca-moi-ngam-dau-dong-hop-kobe-bussan-hop-100gr-i3044532845.html", "https://www.lazada.vn/products/ca-moi-ngam-dau-dong-hop-kobe-bussan-hop-100gr-i3044532845.html")</f>
        <v>https://www.lazada.vn/products/ca-moi-ngam-dau-dong-hop-kobe-bussan-hop-100gr-i3044532845.html</v>
      </c>
      <c r="C2973" s="10" t="s">
        <v>2973</v>
      </c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8">
        <v>7828.0</v>
      </c>
      <c r="B2974" s="9" t="str">
        <f>HYPERLINK("https://www.lazada.vn/products/cay-mam-xoi-kho-baking-special-snowflake-crackers-snack-qua-mam-xoi-kho-qua-mam-xoi-kho-dung-de-lam-banh-quy-va-keo-i2923805563.html", "https://www.lazada.vn/products/cay-mam-xoi-kho-baking-special-snowflake-crackers-snack-qua-mam-xoi-kho-qua-mam-xoi-kho-dung-de-lam-banh-quy-va-keo-i2923805563.html")</f>
        <v>https://www.lazada.vn/products/cay-mam-xoi-kho-baking-special-snowflake-crackers-snack-qua-mam-xoi-kho-qua-mam-xoi-kho-dung-de-lam-banh-quy-va-keo-i2923805563.html</v>
      </c>
      <c r="C2974" s="10" t="s">
        <v>2974</v>
      </c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8">
        <v>7829.0</v>
      </c>
      <c r="B2975" s="9" t="str">
        <f>HYPERLINK("https://www.lazada.vn/products/ca-phe-sau-rieng-rockcafe-tui-30-goi-x-20-g-rock-cafe-vi-sau-rieng-white-coffee-durian-i2730884713.html", "https://www.lazada.vn/products/ca-phe-sau-rieng-rockcafe-tui-30-goi-x-20-g-rock-cafe-vi-sau-rieng-white-coffee-durian-i2730884713.html")</f>
        <v>https://www.lazada.vn/products/ca-phe-sau-rieng-rockcafe-tui-30-goi-x-20-g-rock-cafe-vi-sau-rieng-white-coffee-durian-i2730884713.html</v>
      </c>
      <c r="C2975" s="10" t="s">
        <v>2975</v>
      </c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8">
        <v>7830.0</v>
      </c>
      <c r="B2976" s="9" t="str">
        <f>HYPERLINK("https://www.lazada.vn/products/luong-kho-huong-que-vi-muoi-vung-cong-ty-22-700ghop-i1966724725.html", "https://www.lazada.vn/products/luong-kho-huong-que-vi-muoi-vung-cong-ty-22-700ghop-i1966724725.html")</f>
        <v>https://www.lazada.vn/products/luong-kho-huong-que-vi-muoi-vung-cong-ty-22-700ghop-i1966724725.html</v>
      </c>
      <c r="C2976" s="10" t="s">
        <v>2976</v>
      </c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8">
        <v>7831.0</v>
      </c>
      <c r="B2977" s="9" t="str">
        <f>HYPERLINK("https://www.lazada.vn/products/siro-syrup-urban-barman-xuong-thach-1747-chai-730ml-i2624409619.html", "https://www.lazada.vn/products/siro-syrup-urban-barman-xuong-thach-1747-chai-730ml-i2624409619.html")</f>
        <v>https://www.lazada.vn/products/siro-syrup-urban-barman-xuong-thach-1747-chai-730ml-i2624409619.html</v>
      </c>
      <c r="C2977" s="10" t="s">
        <v>2977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8">
        <v>7832.0</v>
      </c>
      <c r="B2978" s="9" t="str">
        <f>HYPERLINK("https://www.lazada.vn/products/set-5-goi-mi-udon-tuoi-khong-goi-gia-vi-bongojang-hanil-han-quoc-200ggoi-i143984450.html", "https://www.lazada.vn/products/set-5-goi-mi-udon-tuoi-khong-goi-gia-vi-bongojang-hanil-han-quoc-200ggoi-i143984450.html")</f>
        <v>https://www.lazada.vn/products/set-5-goi-mi-udon-tuoi-khong-goi-gia-vi-bongojang-hanil-han-quoc-200ggoi-i143984450.html</v>
      </c>
      <c r="C2978" s="10" t="s">
        <v>2978</v>
      </c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8">
        <v>7833.0</v>
      </c>
      <c r="B2979" s="9" t="str">
        <f>HYPERLINK("https://www.lazada.vn/products/bot-pha-s-lim-uni-vi-cam-co-tach-le-q1-i2727406677.html", "https://www.lazada.vn/products/bot-pha-s-lim-uni-vi-cam-co-tach-le-q1-i2727406677.html")</f>
        <v>https://www.lazada.vn/products/bot-pha-s-lim-uni-vi-cam-co-tach-le-q1-i2727406677.html</v>
      </c>
      <c r="C2979" s="10" t="s">
        <v>2979</v>
      </c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8">
        <v>7834.0</v>
      </c>
      <c r="B2980" s="9" t="str">
        <f>HYPERLINK("https://www.lazada.vn/products/hop-qua-do-tet-bat-ngo-socola-nhieu-vi-thap-cam-banh-keo-tet-300g-dk23-beegin-mart-i2944573525.html", "https://www.lazada.vn/products/hop-qua-do-tet-bat-ngo-socola-nhieu-vi-thap-cam-banh-keo-tet-300g-dk23-beegin-mart-i2944573525.html")</f>
        <v>https://www.lazada.vn/products/hop-qua-do-tet-bat-ngo-socola-nhieu-vi-thap-cam-banh-keo-tet-300g-dk23-beegin-mart-i2944573525.html</v>
      </c>
      <c r="C2980" s="10" t="s">
        <v>2980</v>
      </c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8">
        <v>7835.0</v>
      </c>
      <c r="B2981" s="9" t="str">
        <f>HYPERLINK("https://www.lazada.vn/products/hoa-toc-hcm-loc-24-lon-nuoc-tang-luc-giai-khat-tang-luc-monster-energy-ultra-zero-355mllon-sale-253-coca-cola-chinh-hang-i2580913179.html", "https://www.lazada.vn/products/hoa-toc-hcm-loc-24-lon-nuoc-tang-luc-giai-khat-tang-luc-monster-energy-ultra-zero-355mllon-sale-253-coca-cola-chinh-hang-i2580913179.html")</f>
        <v>https://www.lazada.vn/products/hoa-toc-hcm-loc-24-lon-nuoc-tang-luc-giai-khat-tang-luc-monster-energy-ultra-zero-355mllon-sale-253-coca-cola-chinh-hang-i2580913179.html</v>
      </c>
      <c r="C2981" s="10" t="s">
        <v>2981</v>
      </c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8">
        <v>7836.0</v>
      </c>
      <c r="B2982" s="9" t="str">
        <f>HYPERLINK("https://www.lazada.vn/products/hoan-tien-max-10-banh-kitkat-chocolate-nhat-ban-du-vi-i1965650876.html", "https://www.lazada.vn/products/hoan-tien-max-10-banh-kitkat-chocolate-nhat-ban-du-vi-i1965650876.html")</f>
        <v>https://www.lazada.vn/products/hoan-tien-max-10-banh-kitkat-chocolate-nhat-ban-du-vi-i1965650876.html</v>
      </c>
      <c r="C2982" s="10" t="s">
        <v>2982</v>
      </c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8">
        <v>7837.0</v>
      </c>
      <c r="B2983" s="9" t="str">
        <f>HYPERLINK("https://www.lazada.vn/products/hoa-toc-hcm-loc-6-lon-nuoc-tang-luc-giai-khat-monster-energy-mango-loco-vi-xoai-lon-355mllon-sale-253-coca-cola-chinh-hang-i2580827717.html", "https://www.lazada.vn/products/hoa-toc-hcm-loc-6-lon-nuoc-tang-luc-giai-khat-monster-energy-mango-loco-vi-xoai-lon-355mllon-sale-253-coca-cola-chinh-hang-i2580827717.html")</f>
        <v>https://www.lazada.vn/products/hoa-toc-hcm-loc-6-lon-nuoc-tang-luc-giai-khat-monster-energy-mango-loco-vi-xoai-lon-355mllon-sale-253-coca-cola-chinh-hang-i2580827717.html</v>
      </c>
      <c r="C2983" s="10" t="s">
        <v>2983</v>
      </c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8">
        <v>7838.0</v>
      </c>
      <c r="B2984" s="9" t="str">
        <f>HYPERLINK("https://www.lazada.vn/products/milo-thanh-thai-lan-i2944568808.html", "https://www.lazada.vn/products/milo-thanh-thai-lan-i2944568808.html")</f>
        <v>https://www.lazada.vn/products/milo-thanh-thai-lan-i2944568808.html</v>
      </c>
      <c r="C2984" s="10" t="s">
        <v>2984</v>
      </c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8">
        <v>7839.0</v>
      </c>
      <c r="B2985" s="9" t="str">
        <f>HYPERLINK("https://www.lazada.vn/products/thach-sua-lothamilk-hop-450g-mix-15x30g-i2556091941.html", "https://www.lazada.vn/products/thach-sua-lothamilk-hop-450g-mix-15x30g-i2556091941.html")</f>
        <v>https://www.lazada.vn/products/thach-sua-lothamilk-hop-450g-mix-15x30g-i2556091941.html</v>
      </c>
      <c r="C2985" s="10" t="s">
        <v>2985</v>
      </c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8">
        <v>7840.0</v>
      </c>
      <c r="B2986" s="9" t="str">
        <f>HYPERLINK("https://www.lazada.vn/products/snack-giai-tri-dried-yogurt-fruit-blocks-45g-cong-thuc-hon-hop-probiotics-sua-dong-kho-qua-tang-van-phong-qua-tang-kinh-doanh-i2923805353.html", "https://www.lazada.vn/products/snack-giai-tri-dried-yogurt-fruit-blocks-45g-cong-thuc-hon-hop-probiotics-sua-dong-kho-qua-tang-van-phong-qua-tang-kinh-doanh-i2923805353.html")</f>
        <v>https://www.lazada.vn/products/snack-giai-tri-dried-yogurt-fruit-blocks-45g-cong-thuc-hon-hop-probiotics-sua-dong-kho-qua-tang-van-phong-qua-tang-kinh-doanh-i2923805353.html</v>
      </c>
      <c r="C2986" s="10" t="s">
        <v>2986</v>
      </c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8">
        <v>7841.0</v>
      </c>
      <c r="B2987" s="9" t="str">
        <f>HYPERLINK("https://www.lazada.vn/products/ruou-vang-iris-reserva-chile-750ml-i2682556518.html", "https://www.lazada.vn/products/ruou-vang-iris-reserva-chile-750ml-i2682556518.html")</f>
        <v>https://www.lazada.vn/products/ruou-vang-iris-reserva-chile-750ml-i2682556518.html</v>
      </c>
      <c r="C2987" s="10" t="s">
        <v>2987</v>
      </c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8">
        <v>7842.0</v>
      </c>
      <c r="B2988" s="9" t="str">
        <f>HYPERLINK("https://www.lazada.vn/products/hop-qua-ruou-mo-nhat-ban-nakano-umeshu-yuzu-720ml-12-vi-chanh-i3009340797.html", "https://www.lazada.vn/products/hop-qua-ruou-mo-nhat-ban-nakano-umeshu-yuzu-720ml-12-vi-chanh-i3009340797.html")</f>
        <v>https://www.lazada.vn/products/hop-qua-ruou-mo-nhat-ban-nakano-umeshu-yuzu-720ml-12-vi-chanh-i3009340797.html</v>
      </c>
      <c r="C2988" s="10" t="s">
        <v>2988</v>
      </c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8">
        <v>7843.0</v>
      </c>
      <c r="B2989" s="9" t="str">
        <f>HYPERLINK("https://www.lazada.vn/products/combo-10-banh-mi-teppanyaki-phu-cha-bong-luck-family-b133-chuyen-si-tpnk-i2682823892.html", "https://www.lazada.vn/products/combo-10-banh-mi-teppanyaki-phu-cha-bong-luck-family-b133-chuyen-si-tpnk-i2682823892.html")</f>
        <v>https://www.lazada.vn/products/combo-10-banh-mi-teppanyaki-phu-cha-bong-luck-family-b133-chuyen-si-tpnk-i2682823892.html</v>
      </c>
      <c r="C2989" s="10" t="s">
        <v>2989</v>
      </c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8">
        <v>7844.0</v>
      </c>
      <c r="B2990" s="9" t="str">
        <f>HYPERLINK("https://www.lazada.vn/products/nuoc-ep-trai-cay-va-rau-cu-qua-unif-1l-date-07052025-i2824598489.html", "https://www.lazada.vn/products/nuoc-ep-trai-cay-va-rau-cu-qua-unif-1l-date-07052025-i2824598489.html")</f>
        <v>https://www.lazada.vn/products/nuoc-ep-trai-cay-va-rau-cu-qua-unif-1l-date-07052025-i2824598489.html</v>
      </c>
      <c r="C2990" s="10" t="s">
        <v>2990</v>
      </c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8">
        <v>7845.0</v>
      </c>
      <c r="B2991" s="9" t="str">
        <f>HYPERLINK("https://www.lazada.vn/products/do-an-vat-banh-quy-hinh-tron-truyen-thong-thu-cong-ngot-ngao-huong-vi-maltose-dac-san-cua-tinh-ho-bac-trung-quoc-i2923547699.html", "https://www.lazada.vn/products/do-an-vat-banh-quy-hinh-tron-truyen-thong-thu-cong-ngot-ngao-huong-vi-maltose-dac-san-cua-tinh-ho-bac-trung-quoc-i2923547699.html")</f>
        <v>https://www.lazada.vn/products/do-an-vat-banh-quy-hinh-tron-truyen-thong-thu-cong-ngot-ngao-huong-vi-maltose-dac-san-cua-tinh-ho-bac-trung-quoc-i2923547699.html</v>
      </c>
      <c r="C2991" s="10" t="s">
        <v>2991</v>
      </c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8">
        <v>7846.0</v>
      </c>
      <c r="B2992" s="9" t="str">
        <f>HYPERLINK("https://www.lazada.vn/products/khakhra-talod-brand-200g-i2589672603.html", "https://www.lazada.vn/products/khakhra-talod-brand-200g-i2589672603.html")</f>
        <v>https://www.lazada.vn/products/khakhra-talod-brand-200g-i2589672603.html</v>
      </c>
      <c r="C2992" s="10" t="s">
        <v>2992</v>
      </c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8">
        <v>7847.0</v>
      </c>
      <c r="B2993" s="9" t="str">
        <f>HYPERLINK("https://www.lazada.vn/products/mi-tron-fun-zhajiang-coc-huong-vi-han-quoc-thu-nho-i2893343507.html", "https://www.lazada.vn/products/mi-tron-fun-zhajiang-coc-huong-vi-han-quoc-thu-nho-i2893343507.html")</f>
        <v>https://www.lazada.vn/products/mi-tron-fun-zhajiang-coc-huong-vi-han-quoc-thu-nho-i2893343507.html</v>
      </c>
      <c r="C2993" s="10" t="s">
        <v>2993</v>
      </c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8">
        <v>7848.0</v>
      </c>
      <c r="B2994" s="9" t="str">
        <f>HYPERLINK("https://www.lazada.vn/products/bot-milo-1kg-i2373919377.html", "https://www.lazada.vn/products/bot-milo-1kg-i2373919377.html")</f>
        <v>https://www.lazada.vn/products/bot-milo-1kg-i2373919377.html</v>
      </c>
      <c r="C2994" s="10" t="s">
        <v>2994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8">
        <v>7849.0</v>
      </c>
      <c r="B2995" s="9" t="str">
        <f>HYPERLINK("https://www.lazada.vn/products/mam-ruoc-nguyen-chat-xu-nau-thom-ngon-bao-an-hu-500gr-i3044430905.html", "https://www.lazada.vn/products/mam-ruoc-nguyen-chat-xu-nau-thom-ngon-bao-an-hu-500gr-i3044430905.html")</f>
        <v>https://www.lazada.vn/products/mam-ruoc-nguyen-chat-xu-nau-thom-ngon-bao-an-hu-500gr-i3044430905.html</v>
      </c>
      <c r="C2995" s="10" t="s">
        <v>2995</v>
      </c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8">
        <v>7850.0</v>
      </c>
      <c r="B2996" s="9" t="str">
        <f>HYPERLINK("https://www.lazada.vn/products/cafe-g7-hoa-tan-den-bich-100-goi-2g-cua-trung-nguyen-i2729236780.html", "https://www.lazada.vn/products/cafe-g7-hoa-tan-den-bich-100-goi-2g-cua-trung-nguyen-i2729236780.html")</f>
        <v>https://www.lazada.vn/products/cafe-g7-hoa-tan-den-bich-100-goi-2g-cua-trung-nguyen-i2729236780.html</v>
      </c>
      <c r="C2996" s="10" t="s">
        <v>2996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8">
        <v>7851.0</v>
      </c>
      <c r="B2997" s="9" t="str">
        <f>HYPERLINK("https://www.lazada.vn/products/luong-kho-an-kieng-happy-life-tieu-duong-cao-huyet-ap-beo-phi-tim-mach-i1965567029.html", "https://www.lazada.vn/products/luong-kho-an-kieng-happy-life-tieu-duong-cao-huyet-ap-beo-phi-tim-mach-i1965567029.html")</f>
        <v>https://www.lazada.vn/products/luong-kho-an-kieng-happy-life-tieu-duong-cao-huyet-ap-beo-phi-tim-mach-i1965567029.html</v>
      </c>
      <c r="C2997" s="10" t="s">
        <v>2997</v>
      </c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8">
        <v>7852.0</v>
      </c>
      <c r="B2998" s="9" t="str">
        <f>HYPERLINK("https://www.lazada.vn/products/siro-casablanca-chai-750ml-dao-i2623310135.html", "https://www.lazada.vn/products/siro-casablanca-chai-750ml-dao-i2623310135.html")</f>
        <v>https://www.lazada.vn/products/siro-casablanca-chai-750ml-dao-i2623310135.html</v>
      </c>
      <c r="C2998" s="10" t="s">
        <v>2998</v>
      </c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8">
        <v>7853.0</v>
      </c>
      <c r="B2999" s="9" t="str">
        <f>HYPERLINK("https://www.lazada.vn/products/deal-hoi-bot-gao-lut-hat-sen-me-den-ananfood-tot-cho-suc-khoe-xuong-khop-va-giac-ngu-huu-co-tu-nhien-san-pham-ocop-i2726418580.html", "https://www.lazada.vn/products/deal-hoi-bot-gao-lut-hat-sen-me-den-ananfood-tot-cho-suc-khoe-xuong-khop-va-giac-ngu-huu-co-tu-nhien-san-pham-ocop-i2726418580.html")</f>
        <v>https://www.lazada.vn/products/deal-hoi-bot-gao-lut-hat-sen-me-den-ananfood-tot-cho-suc-khoe-xuong-khop-va-giac-ngu-huu-co-tu-nhien-san-pham-ocop-i2726418580.html</v>
      </c>
      <c r="C2999" s="10" t="s">
        <v>2999</v>
      </c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8">
        <v>7854.0</v>
      </c>
      <c r="B3000" s="9" t="str">
        <f>HYPERLINK("https://www.lazada.vn/products/loc-5-goi-mi-tron-tuong-tau-samyang-140ggoi-i102225806.html", "https://www.lazada.vn/products/loc-5-goi-mi-tron-tuong-tau-samyang-140ggoi-i102225806.html")</f>
        <v>https://www.lazada.vn/products/loc-5-goi-mi-tron-tuong-tau-samyang-140ggoi-i102225806.html</v>
      </c>
      <c r="C3000" s="10" t="s">
        <v>3000</v>
      </c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8">
        <v>7855.0</v>
      </c>
      <c r="B3001" s="9" t="str">
        <f>HYPERLINK("https://www.lazada.vn/products/hoa-toc-hcm-loc-6-lon-nuoc-tang-luc-giai-khat-monster-energy-ultra-zero-355mllon-sale-253-coca-cola-chinh-hang-i2580814718.html", "https://www.lazada.vn/products/hoa-toc-hcm-loc-6-lon-nuoc-tang-luc-giai-khat-monster-energy-ultra-zero-355mllon-sale-253-coca-cola-chinh-hang-i2580814718.html")</f>
        <v>https://www.lazada.vn/products/hoa-toc-hcm-loc-6-lon-nuoc-tang-luc-giai-khat-monster-energy-ultra-zero-355mllon-sale-253-coca-cola-chinh-hang-i2580814718.html</v>
      </c>
      <c r="C3001" s="10" t="s">
        <v>3001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8">
        <v>7856.0</v>
      </c>
      <c r="B3002" s="9" t="str">
        <f>HYPERLINK("https://www.lazada.vn/products/hop-qua-do-tet-bat-ngo-socola-nhieu-vi-thap-cam-banh-keo-tet-300g-dk23-gia-ngan-food-i2944546780.html", "https://www.lazada.vn/products/hop-qua-do-tet-bat-ngo-socola-nhieu-vi-thap-cam-banh-keo-tet-300g-dk23-gia-ngan-food-i2944546780.html")</f>
        <v>https://www.lazada.vn/products/hop-qua-do-tet-bat-ngo-socola-nhieu-vi-thap-cam-banh-keo-tet-300g-dk23-gia-ngan-food-i2944546780.html</v>
      </c>
      <c r="C3002" s="10" t="s">
        <v>3002</v>
      </c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8">
        <v>7857.0</v>
      </c>
      <c r="B3003" s="9" t="str">
        <f>HYPERLINK("https://www.lazada.vn/products/healthy-snack-dried-iron-rod-yam-cane-sugar-coated-no-added-ingredients-frozen-dry-fruit-mixed-dried-food-processed-in-shanxi-i2923805296.html", "https://www.lazada.vn/products/healthy-snack-dried-iron-rod-yam-cane-sugar-coated-no-added-ingredients-frozen-dry-fruit-mixed-dried-food-processed-in-shanxi-i2923805296.html")</f>
        <v>https://www.lazada.vn/products/healthy-snack-dried-iron-rod-yam-cane-sugar-coated-no-added-ingredients-frozen-dry-fruit-mixed-dried-food-processed-in-shanxi-i2923805296.html</v>
      </c>
      <c r="C3003" s="10" t="s">
        <v>3003</v>
      </c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8">
        <v>7858.0</v>
      </c>
      <c r="B3004" s="9" t="str">
        <f>HYPERLINK("https://www.lazada.vn/products/1kg-thach-trai-cay-tam-giac-mh-nhieu-vi-trai-cay-thom-ngon-i2550712125.html", "https://www.lazada.vn/products/1kg-thach-trai-cay-tam-giac-mh-nhieu-vi-trai-cay-thom-ngon-i2550712125.html")</f>
        <v>https://www.lazada.vn/products/1kg-thach-trai-cay-tam-giac-mh-nhieu-vi-trai-cay-thom-ngon-i2550712125.html</v>
      </c>
      <c r="C3004" s="10" t="s">
        <v>3004</v>
      </c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8">
        <v>7859.0</v>
      </c>
      <c r="B3005" s="9" t="str">
        <f>HYPERLINK("https://www.lazada.vn/products/combo-an-sang-mix-3-vi-banh-karo-soi-ga-banh-karo-hoang-kim-pho-mai-mix-banh-mi-hoa-cuc-tuoi-ngan-lop-festa-richy-hsd-35-45-ngay-kh-can-nhac-khi-mua-sl-lon-i2680236529.html", "https://www.lazada.vn/products/combo-an-sang-mix-3-vi-banh-karo-soi-ga-banh-karo-hoang-kim-pho-mai-mix-banh-mi-hoa-cuc-tuoi-ngan-lop-festa-richy-hsd-35-45-ngay-kh-can-nhac-khi-mua-sl-lon-i2680236529.html")</f>
        <v>https://www.lazada.vn/products/combo-an-sang-mix-3-vi-banh-karo-soi-ga-banh-karo-hoang-kim-pho-mai-mix-banh-mi-hoa-cuc-tuoi-ngan-lop-festa-richy-hsd-35-45-ngay-kh-can-nhac-khi-mua-sl-lon-i2680236529.html</v>
      </c>
      <c r="C3005" s="10" t="s">
        <v>3005</v>
      </c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8">
        <v>7860.0</v>
      </c>
      <c r="B3006" s="9" t="str">
        <f>HYPERLINK("https://www.lazada.vn/products/banh-ngoi-hanh-nhan-eat-clean-healthy-by-tuna-i1958915515.html", "https://www.lazada.vn/products/banh-ngoi-hanh-nhan-eat-clean-healthy-by-tuna-i1958915515.html")</f>
        <v>https://www.lazada.vn/products/banh-ngoi-hanh-nhan-eat-clean-healthy-by-tuna-i1958915515.html</v>
      </c>
      <c r="C3006" s="10" t="s">
        <v>3006</v>
      </c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8">
        <v>7861.0</v>
      </c>
      <c r="B3007" s="9" t="str">
        <f>HYPERLINK("https://www.lazada.vn/products/dao-cat-lat-ngam-duong-del-monte-680g-thuong-hieu-my-i3043919365.html", "https://www.lazada.vn/products/dao-cat-lat-ngam-duong-del-monte-680g-thuong-hieu-my-i3043919365.html")</f>
        <v>https://www.lazada.vn/products/dao-cat-lat-ngam-duong-del-monte-680g-thuong-hieu-my-i3043919365.html</v>
      </c>
      <c r="C3007" s="10" t="s">
        <v>3007</v>
      </c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8">
        <v>7862.0</v>
      </c>
      <c r="B3008" s="9" t="str">
        <f>HYPERLINK("https://www.lazada.vn/products/nuoc-ep-trai-cay-co-ga-burst-sparkling-juice-750ml-i2824540207.html", "https://www.lazada.vn/products/nuoc-ep-trai-cay-co-ga-burst-sparkling-juice-750ml-i2824540207.html")</f>
        <v>https://www.lazada.vn/products/nuoc-ep-trai-cay-co-ga-burst-sparkling-juice-750ml-i2824540207.html</v>
      </c>
      <c r="C3008" s="10" t="s">
        <v>3008</v>
      </c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8">
        <v>7863.0</v>
      </c>
      <c r="B3009" s="9" t="str">
        <f>HYPERLINK("https://www.lazada.vn/products/ruou-sake-nishino-seki-hannary-u-3-nam-720ml-16-i3009336510.html", "https://www.lazada.vn/products/ruou-sake-nishino-seki-hannary-u-3-nam-720ml-16-i3009336510.html")</f>
        <v>https://www.lazada.vn/products/ruou-sake-nishino-seki-hannary-u-3-nam-720ml-16-i3009336510.html</v>
      </c>
      <c r="C3009" s="10" t="s">
        <v>3009</v>
      </c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8">
        <v>7864.0</v>
      </c>
      <c r="B3010" s="9" t="str">
        <f>HYPERLINK("https://www.lazada.vn/products/bia-baltika-so-9-500mllon-i2997500563.html", "https://www.lazada.vn/products/bia-baltika-so-9-500mllon-i2997500563.html")</f>
        <v>https://www.lazada.vn/products/bia-baltika-so-9-500mllon-i2997500563.html</v>
      </c>
      <c r="C3010" s="10" t="s">
        <v>3010</v>
      </c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8">
        <v>7865.0</v>
      </c>
      <c r="B3011" s="9" t="str">
        <f>HYPERLINK("https://www.lazada.vn/products/ruou-vang-chile-iris-750ml-i2680996127.html", "https://www.lazada.vn/products/ruou-vang-chile-iris-750ml-i2680996127.html")</f>
        <v>https://www.lazada.vn/products/ruou-vang-chile-iris-750ml-i2680996127.html</v>
      </c>
      <c r="C3011" s="10" t="s">
        <v>3011</v>
      </c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8">
        <v>7866.0</v>
      </c>
      <c r="B3012" s="9" t="str">
        <f>HYPERLINK("https://www.lazada.vn/products/vang-ngot-y-marco-chiesa-nhap-khau-co-the-mua-them-hop-dung-i2743141922.html", "https://www.lazada.vn/products/vang-ngot-y-marco-chiesa-nhap-khau-co-the-mua-them-hop-dung-i2743141922.html")</f>
        <v>https://www.lazada.vn/products/vang-ngot-y-marco-chiesa-nhap-khau-co-the-mua-them-hop-dung-i2743141922.html</v>
      </c>
      <c r="C3012" s="10" t="s">
        <v>3012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8">
        <v>7867.0</v>
      </c>
      <c r="B3013" s="9" t="str">
        <f>HYPERLINK("https://www.lazada.vn/products/siro-casablanca-chai-750ml-nhan-i2623277519.html", "https://www.lazada.vn/products/siro-casablanca-chai-750ml-nhan-i2623277519.html")</f>
        <v>https://www.lazada.vn/products/siro-casablanca-chai-750ml-nhan-i2623277519.html</v>
      </c>
      <c r="C3013" s="10" t="s">
        <v>3013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8">
        <v>7868.0</v>
      </c>
      <c r="B3014" s="9" t="str">
        <f>HYPERLINK("https://www.lazada.vn/products/hoa-toc-hcm-hop-6-lon-nuoc-tang-luc-giai-khat-monster-energy-355mllon-sale-253-coca-cola-chinh-hang-i2580802560.html", "https://www.lazada.vn/products/hoa-toc-hcm-hop-6-lon-nuoc-tang-luc-giai-khat-monster-energy-355mllon-sale-253-coca-cola-chinh-hang-i2580802560.html")</f>
        <v>https://www.lazada.vn/products/hoa-toc-hcm-hop-6-lon-nuoc-tang-luc-giai-khat-monster-energy-355mllon-sale-253-coca-cola-chinh-hang-i2580802560.html</v>
      </c>
      <c r="C3014" s="10" t="s">
        <v>3014</v>
      </c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8">
        <v>7869.0</v>
      </c>
      <c r="B3015" s="9" t="str">
        <f>HYPERLINK("https://www.lazada.vn/products/khoai-mon-vi-trung-cua-dac-san-chinh-da-lat-i2837649838.html", "https://www.lazada.vn/products/khoai-mon-vi-trung-cua-dac-san-chinh-da-lat-i2837649838.html")</f>
        <v>https://www.lazada.vn/products/khoai-mon-vi-trung-cua-dac-san-chinh-da-lat-i2837649838.html</v>
      </c>
      <c r="C3015" s="10" t="s">
        <v>3015</v>
      </c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8">
        <v>7870.0</v>
      </c>
      <c r="B3016" s="9" t="str">
        <f>HYPERLINK("https://www.lazada.vn/products/hang-moi-combo-20-goi-socola-thanh-jinon-nhieu-vi-huong-hoa-hong-matcha-socola-dau-tay-socola-den-thom-ngon-an-da-nghien-i2944543120.html", "https://www.lazada.vn/products/hang-moi-combo-20-goi-socola-thanh-jinon-nhieu-vi-huong-hoa-hong-matcha-socola-dau-tay-socola-den-thom-ngon-an-da-nghien-i2944543120.html")</f>
        <v>https://www.lazada.vn/products/hang-moi-combo-20-goi-socola-thanh-jinon-nhieu-vi-huong-hoa-hong-matcha-socola-dau-tay-socola-den-thom-ngon-an-da-nghien-i2944543120.html</v>
      </c>
      <c r="C3016" s="10" t="s">
        <v>3016</v>
      </c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8">
        <v>7871.0</v>
      </c>
      <c r="B3017" s="9" t="str">
        <f>HYPERLINK("https://www.lazada.vn/products/strawberry-dried-freeze-snack-baking-candy-making-raw-material-dried-strawberry-crumble-snowflake-crackers-diy-baking-i2923802606.html", "https://www.lazada.vn/products/strawberry-dried-freeze-snack-baking-candy-making-raw-material-dried-strawberry-crumble-snowflake-crackers-diy-baking-i2923802606.html")</f>
        <v>https://www.lazada.vn/products/strawberry-dried-freeze-snack-baking-candy-making-raw-material-dried-strawberry-crumble-snowflake-crackers-diy-baking-i2923802606.html</v>
      </c>
      <c r="C3017" s="10" t="s">
        <v>3017</v>
      </c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8">
        <v>7872.0</v>
      </c>
      <c r="B3018" s="9" t="str">
        <f>HYPERLINK("https://www.lazada.vn/products/1kg-keo-thach-trai-cay-tam-giac-nhieu-vi-mh-do-an-vat-hot-i2550692222.html", "https://www.lazada.vn/products/1kg-keo-thach-trai-cay-tam-giac-nhieu-vi-mh-do-an-vat-hot-i2550692222.html")</f>
        <v>https://www.lazada.vn/products/1kg-keo-thach-trai-cay-tam-giac-nhieu-vi-mh-do-an-vat-hot-i2550692222.html</v>
      </c>
      <c r="C3018" s="10" t="s">
        <v>3018</v>
      </c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8">
        <v>7873.0</v>
      </c>
      <c r="B3019" s="9" t="str">
        <f>HYPERLINK("https://www.lazada.vn/products/combo-6-tui-banh-mi-hoa-cuc-banh-mi-tuoi-ngan-lop-festa-richy-banh-an-sang-hsd-35-ngay-tu-ngay-nsx-kh-can-nhac-khi-mua-sl-lon-i2680179096.html", "https://www.lazada.vn/products/combo-6-tui-banh-mi-hoa-cuc-banh-mi-tuoi-ngan-lop-festa-richy-banh-an-sang-hsd-35-ngay-tu-ngay-nsx-kh-can-nhac-khi-mua-sl-lon-i2680179096.html")</f>
        <v>https://www.lazada.vn/products/combo-6-tui-banh-mi-hoa-cuc-banh-mi-tuoi-ngan-lop-festa-richy-banh-an-sang-hsd-35-ngay-tu-ngay-nsx-kh-can-nhac-khi-mua-sl-lon-i2680179096.html</v>
      </c>
      <c r="C3019" s="10" t="s">
        <v>3019</v>
      </c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8">
        <v>7874.0</v>
      </c>
      <c r="B3020" s="9" t="str">
        <f>HYPERLINK("https://www.lazada.vn/products/banh-quy-kami-tao-bien-seaweed-crackers-hop-230g-i1958482035.html", "https://www.lazada.vn/products/banh-quy-kami-tao-bien-seaweed-crackers-hop-230g-i1958482035.html")</f>
        <v>https://www.lazada.vn/products/banh-quy-kami-tao-bien-seaweed-crackers-hop-230g-i1958482035.html</v>
      </c>
      <c r="C3020" s="10" t="s">
        <v>3020</v>
      </c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8">
        <v>7875.0</v>
      </c>
      <c r="B3021" s="9" t="str">
        <f>HYPERLINK("https://www.lazada.vn/products/hop-qua-ruou-mo-nakano-bc-umeshu-nhat-vi-tac-citrus-720ml-i3009334850.html", "https://www.lazada.vn/products/hop-qua-ruou-mo-nakano-bc-umeshu-nhat-vi-tac-citrus-720ml-i3009334850.html")</f>
        <v>https://www.lazada.vn/products/hop-qua-ruou-mo-nakano-bc-umeshu-nhat-vi-tac-citrus-720ml-i3009334850.html</v>
      </c>
      <c r="C3021" s="10" t="s">
        <v>3021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8">
        <v>7876.0</v>
      </c>
      <c r="B3022" s="9" t="str">
        <f>HYPERLINK("https://www.lazada.vn/products/han-mig_thuy-sinh_bao-quan-bia-binh-khi-co2-10lit-nap-7kg-i2823604168.html", "https://www.lazada.vn/products/han-mig_thuy-sinh_bao-quan-bia-binh-khi-co2-10lit-nap-7kg-i2823604168.html")</f>
        <v>https://www.lazada.vn/products/han-mig_thuy-sinh_bao-quan-bia-binh-khi-co2-10lit-nap-7kg-i2823604168.html</v>
      </c>
      <c r="C3022" s="10" t="s">
        <v>3022</v>
      </c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8">
        <v>7877.0</v>
      </c>
      <c r="B3023" s="9" t="str">
        <f>HYPERLINK("https://www.lazada.vn/products/vang-binh-3-lit-huso-chileno-i2680804734.html", "https://www.lazada.vn/products/vang-binh-3-lit-huso-chileno-i2680804734.html")</f>
        <v>https://www.lazada.vn/products/vang-binh-3-lit-huso-chileno-i2680804734.html</v>
      </c>
      <c r="C3023" s="10" t="s">
        <v>3023</v>
      </c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8">
        <v>7878.0</v>
      </c>
      <c r="B3024" s="9" t="str">
        <f>HYPERLINK("https://www.lazada.vn/products/trai-cay-hon-hop-ngam-duong-del-monte-680g-thuong-hieu-my-i3043875377.html", "https://www.lazada.vn/products/trai-cay-hon-hop-ngam-duong-del-monte-680g-thuong-hieu-my-i3043875377.html")</f>
        <v>https://www.lazada.vn/products/trai-cay-hon-hop-ngam-duong-del-monte-680g-thuong-hieu-my-i3043875377.html</v>
      </c>
      <c r="C3024" s="10" t="s">
        <v>3024</v>
      </c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8">
        <v>7879.0</v>
      </c>
      <c r="B3025" s="9" t="str">
        <f>HYPERLINK("https://www.lazada.vn/products/pho-kho-cuon-tay-phoi-tu-nhien-nha-trang-soi-dai-ngon-dam-da-huong-vi-que-nha-i3064507016.html", "https://www.lazada.vn/products/pho-kho-cuon-tay-phoi-tu-nhien-nha-trang-soi-dai-ngon-dam-da-huong-vi-que-nha-i3064507016.html")</f>
        <v>https://www.lazada.vn/products/pho-kho-cuon-tay-phoi-tu-nhien-nha-trang-soi-dai-ngon-dam-da-huong-vi-que-nha-i3064507016.html</v>
      </c>
      <c r="C3025" s="10" t="s">
        <v>3025</v>
      </c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8">
        <v>7880.0</v>
      </c>
      <c r="B3026" s="9" t="str">
        <f>HYPERLINK("https://www.lazada.vn/products/hoa-toc-hcm-loc-24-lon-nuoc-tang-luc-giai-khat-monster-energy-355mllon-sale-253-coca-cola-chinh-hang-i2580795629.html", "https://www.lazada.vn/products/hoa-toc-hcm-loc-24-lon-nuoc-tang-luc-giai-khat-monster-energy-355mllon-sale-253-coca-cola-chinh-hang-i2580795629.html")</f>
        <v>https://www.lazada.vn/products/hoa-toc-hcm-loc-24-lon-nuoc-tang-luc-giai-khat-monster-energy-355mllon-sale-253-coca-cola-chinh-hang-i2580795629.html</v>
      </c>
      <c r="C3026" s="10" t="s">
        <v>3026</v>
      </c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8">
        <v>7881.0</v>
      </c>
      <c r="B3027" s="9" t="str">
        <f>HYPERLINK("https://www.lazada.vn/products/siro-casablanca-chai-750ml-mang-cau-i2623269704.html", "https://www.lazada.vn/products/siro-casablanca-chai-750ml-mang-cau-i2623269704.html")</f>
        <v>https://www.lazada.vn/products/siro-casablanca-chai-750ml-mang-cau-i2623269704.html</v>
      </c>
      <c r="C3027" s="10" t="s">
        <v>3027</v>
      </c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8">
        <v>7882.0</v>
      </c>
      <c r="B3028" s="9" t="str">
        <f>HYPERLINK("https://www.lazada.vn/products/kho-sua-chua-250g-kho-dau-tay-kho-trai-cay-giai-tri-cho-ba-bau-snack-giai-tri-van-phong-kho-sua-chua-kho-trai-cay-kho-hat-i2923800768.html", "https://www.lazada.vn/products/kho-sua-chua-250g-kho-dau-tay-kho-trai-cay-giai-tri-cho-ba-bau-snack-giai-tri-van-phong-kho-sua-chua-kho-trai-cay-kho-hat-i2923800768.html")</f>
        <v>https://www.lazada.vn/products/kho-sua-chua-250g-kho-dau-tay-kho-trai-cay-giai-tri-cho-ba-bau-snack-giai-tri-van-phong-kho-sua-chua-kho-trai-cay-kho-hat-i2923800768.html</v>
      </c>
      <c r="C3028" s="10" t="s">
        <v>3028</v>
      </c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8">
        <v>7883.0</v>
      </c>
      <c r="B3029" s="9" t="str">
        <f>HYPERLINK("https://www.lazada.vn/products/hang-moi-socola-thanh-jinon-nhieu-vi-huong-hoa-hong-matcha-socola-dau-tay-socola-den-thom-ngon-an-da-nghien-i2944528236.html", "https://www.lazada.vn/products/hang-moi-socola-thanh-jinon-nhieu-vi-huong-hoa-hong-matcha-socola-dau-tay-socola-den-thom-ngon-an-da-nghien-i2944528236.html")</f>
        <v>https://www.lazada.vn/products/hang-moi-socola-thanh-jinon-nhieu-vi-huong-hoa-hong-matcha-socola-dau-tay-socola-den-thom-ngon-an-da-nghien-i2944528236.html</v>
      </c>
      <c r="C3029" s="10" t="s">
        <v>3029</v>
      </c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8">
        <v>7884.0</v>
      </c>
      <c r="B3030" s="9" t="str">
        <f>HYPERLINK("https://www.lazada.vn/products/mu-trom-dac-san-ninh-thuan-do-tinh-khiet-99-da-duoc-xu-ly-sach-se-tap-chat-bui-ban-co-dang-vien-va-thanh-i2726354040.html", "https://www.lazada.vn/products/mu-trom-dac-san-ninh-thuan-do-tinh-khiet-99-da-duoc-xu-ly-sach-se-tap-chat-bui-ban-co-dang-vien-va-thanh-i2726354040.html")</f>
        <v>https://www.lazada.vn/products/mu-trom-dac-san-ninh-thuan-do-tinh-khiet-99-da-duoc-xu-ly-sach-se-tap-chat-bui-ban-co-dang-vien-va-thanh-i2726354040.html</v>
      </c>
      <c r="C3030" s="10" t="s">
        <v>3030</v>
      </c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8">
        <v>7885.0</v>
      </c>
      <c r="B3031" s="9" t="str">
        <f>HYPERLINK("https://www.lazada.vn/products/ca-phe-goi-nescafe-3-in-1-vi-nguyen-ban-16g100-goi-bich-i2729108479.html", "https://www.lazada.vn/products/ca-phe-goi-nescafe-3-in-1-vi-nguyen-ban-16g100-goi-bich-i2729108479.html")</f>
        <v>https://www.lazada.vn/products/ca-phe-goi-nescafe-3-in-1-vi-nguyen-ban-16g100-goi-bich-i2729108479.html</v>
      </c>
      <c r="C3031" s="10" t="s">
        <v>3031</v>
      </c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8">
        <v>7886.0</v>
      </c>
      <c r="B3032" s="9" t="str">
        <f>HYPERLINK("https://www.lazada.vn/products/tui-nuoc-yen-sao-cho-be-i2742995905.html", "https://www.lazada.vn/products/tui-nuoc-yen-sao-cho-be-i2742995905.html")</f>
        <v>https://www.lazada.vn/products/tui-nuoc-yen-sao-cho-be-i2742995905.html</v>
      </c>
      <c r="C3032" s="10" t="s">
        <v>3032</v>
      </c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8">
        <v>7887.0</v>
      </c>
      <c r="B3033" s="9" t="str">
        <f>HYPERLINK("https://www.lazada.vn/products/banh-quy-tron-nho-phong-cach-nhat-ban-banh-quy-mong-gion-nhieu-huong-vi-banh-quy-nhe-banh-quy-ngot-banh-quy-trang-men-banh-quy-gion-i2923543803.html", "https://www.lazada.vn/products/banh-quy-tron-nho-phong-cach-nhat-ban-banh-quy-mong-gion-nhieu-huong-vi-banh-quy-nhe-banh-quy-ngot-banh-quy-trang-men-banh-quy-gion-i2923543803.html")</f>
        <v>https://www.lazada.vn/products/banh-quy-tron-nho-phong-cach-nhat-ban-banh-quy-mong-gion-nhieu-huong-vi-banh-quy-nhe-banh-quy-ngot-banh-quy-trang-men-banh-quy-gion-i2923543803.html</v>
      </c>
      <c r="C3033" s="10" t="s">
        <v>3033</v>
      </c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8">
        <v>7888.0</v>
      </c>
      <c r="B3034" s="9" t="str">
        <f>HYPERLINK("https://www.lazada.vn/products/khakhra-naturals-brand-180g-i2589662654.html", "https://www.lazada.vn/products/khakhra-naturals-brand-180g-i2589662654.html")</f>
        <v>https://www.lazada.vn/products/khakhra-naturals-brand-180g-i2589662654.html</v>
      </c>
      <c r="C3034" s="10" t="s">
        <v>3034</v>
      </c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8">
        <v>7889.0</v>
      </c>
      <c r="B3035" s="9" t="str">
        <f>HYPERLINK("https://www.lazada.vn/products/mi-ba-mien-gold-thung-30goi-x-75g-i2893341210.html", "https://www.lazada.vn/products/mi-ba-mien-gold-thung-30goi-x-75g-i2893341210.html")</f>
        <v>https://www.lazada.vn/products/mi-ba-mien-gold-thung-30goi-x-75g-i2893341210.html</v>
      </c>
      <c r="C3035" s="10" t="s">
        <v>3035</v>
      </c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8">
        <v>7890.0</v>
      </c>
      <c r="B3036" s="9" t="str">
        <f>HYPERLINK("https://www.lazada.vn/products/bot-cacao-luave-500g-i2373896422.html", "https://www.lazada.vn/products/bot-cacao-luave-500g-i2373896422.html")</f>
        <v>https://www.lazada.vn/products/bot-cacao-luave-500g-i2373896422.html</v>
      </c>
      <c r="C3036" s="10" t="s">
        <v>3036</v>
      </c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8">
        <v>7891.0</v>
      </c>
      <c r="B3037" s="9" t="str">
        <f>HYPERLINK("https://www.lazada.vn/products/banh-yen-mach-trai-cay-mix-vi-han-quoc-goi-400g-i1955633505.html", "https://www.lazada.vn/products/banh-yen-mach-trai-cay-mix-vi-han-quoc-goi-400g-i1955633505.html")</f>
        <v>https://www.lazada.vn/products/banh-yen-mach-trai-cay-mix-vi-han-quoc-goi-400g-i1955633505.html</v>
      </c>
      <c r="C3037" s="10" t="s">
        <v>3037</v>
      </c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8">
        <v>7892.0</v>
      </c>
      <c r="B3038" s="9" t="str">
        <f>HYPERLINK("https://www.lazada.vn/products/tui-1kg-keo-thach-trai-cay-tam-giac-nhieu-vi-mh-do-an-vat-hot-i2550691247.html", "https://www.lazada.vn/products/tui-1kg-keo-thach-trai-cay-tam-giac-nhieu-vi-mh-do-an-vat-hot-i2550691247.html")</f>
        <v>https://www.lazada.vn/products/tui-1kg-keo-thach-trai-cay-tam-giac-nhieu-vi-mh-do-an-vat-hot-i2550691247.html</v>
      </c>
      <c r="C3038" s="10" t="s">
        <v>3038</v>
      </c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8">
        <v>7893.0</v>
      </c>
      <c r="B3039" s="9" t="str">
        <f>HYPERLINK("https://www.lazada.vn/products/nuoc-uong-giam-mam-xoi-giam-luu-daesang-han-quoc-chai-500ml-900ml-i2822413397.html", "https://www.lazada.vn/products/nuoc-uong-giam-mam-xoi-giam-luu-daesang-han-quoc-chai-500ml-900ml-i2822413397.html")</f>
        <v>https://www.lazada.vn/products/nuoc-uong-giam-mam-xoi-giam-luu-daesang-han-quoc-chai-500ml-900ml-i2822413397.html</v>
      </c>
      <c r="C3039" s="10" t="s">
        <v>3039</v>
      </c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8">
        <v>7894.0</v>
      </c>
      <c r="B3040" s="9" t="str">
        <f>HYPERLINK("https://www.lazada.vn/products/ruou-mo-nhat-vi-viet-quat-umeshu-nakano-blueberry-720ml-12-i3009317926.html", "https://www.lazada.vn/products/ruou-mo-nhat-vi-viet-quat-umeshu-nakano-blueberry-720ml-12-i3009317926.html")</f>
        <v>https://www.lazada.vn/products/ruou-mo-nhat-vi-viet-quat-umeshu-nakano-blueberry-720ml-12-i3009317926.html</v>
      </c>
      <c r="C3040" s="10" t="s">
        <v>3040</v>
      </c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8">
        <v>7895.0</v>
      </c>
      <c r="B3041" s="9" t="str">
        <f>HYPERLINK("https://www.lazada.vn/products/hang-moi-combo-10-goi-socola-thanh-jinon-nhieu-vi-huong-hoa-hong-matcha-socola-dau-tay-socola-den-thom-ngon-an-da-nghien-i2944481036.html", "https://www.lazada.vn/products/hang-moi-combo-10-goi-socola-thanh-jinon-nhieu-vi-huong-hoa-hong-matcha-socola-dau-tay-socola-den-thom-ngon-an-da-nghien-i2944481036.html")</f>
        <v>https://www.lazada.vn/products/hang-moi-combo-10-goi-socola-thanh-jinon-nhieu-vi-huong-hoa-hong-matcha-socola-dau-tay-socola-den-thom-ngon-an-da-nghien-i2944481036.html</v>
      </c>
      <c r="C3041" s="10" t="s">
        <v>3041</v>
      </c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8">
        <v>7896.0</v>
      </c>
      <c r="B3042" s="9" t="str">
        <f>HYPERLINK("https://www.lazada.vn/products/cheese-crisp-chocolate-dried-strawberry-baked-yogurt-block-fruit-dry-snack-yalang-bell-brand-an-guo-city-hebei-province-china-i2923799799.html", "https://www.lazada.vn/products/cheese-crisp-chocolate-dried-strawberry-baked-yogurt-block-fruit-dry-snack-yalang-bell-brand-an-guo-city-hebei-province-china-i2923799799.html")</f>
        <v>https://www.lazada.vn/products/cheese-crisp-chocolate-dried-strawberry-baked-yogurt-block-fruit-dry-snack-yalang-bell-brand-an-guo-city-hebei-province-china-i2923799799.html</v>
      </c>
      <c r="C3042" s="10" t="s">
        <v>3042</v>
      </c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8">
        <v>7897.0</v>
      </c>
      <c r="B3043" s="9" t="str">
        <f>HYPERLINK("https://www.lazada.vn/products/bun-gao-lut-ho-tro-giam-can-tot-cho-suc-khoe-i3064454080.html", "https://www.lazada.vn/products/bun-gao-lut-ho-tro-giam-can-tot-cho-suc-khoe-i3064454080.html")</f>
        <v>https://www.lazada.vn/products/bun-gao-lut-ho-tro-giam-can-tot-cho-suc-khoe-i3064454080.html</v>
      </c>
      <c r="C3043" s="10" t="s">
        <v>3043</v>
      </c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8">
        <v>7898.0</v>
      </c>
      <c r="B3044" s="9" t="str">
        <f>HYPERLINK("https://www.lazada.vn/products/banh-gau-nhan-kem-sua-thom-ngon-beo-ngay-do-an-vat-nang-kho-i1952161342.html", "https://www.lazada.vn/products/banh-gau-nhan-kem-sua-thom-ngon-beo-ngay-do-an-vat-nang-kho-i1952161342.html")</f>
        <v>https://www.lazada.vn/products/banh-gau-nhan-kem-sua-thom-ngon-beo-ngay-do-an-vat-nang-kho-i1952161342.html</v>
      </c>
      <c r="C3044" s="10" t="s">
        <v>3044</v>
      </c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8">
        <v>7899.0</v>
      </c>
      <c r="B3045" s="9" t="str">
        <f>HYPERLINK("https://www.lazada.vn/products/banh-an-sang-cest-bon-orion-soi-thit-ga-5-goi-x-17g-i2678583311.html", "https://www.lazada.vn/products/banh-an-sang-cest-bon-orion-soi-thit-ga-5-goi-x-17g-i2678583311.html")</f>
        <v>https://www.lazada.vn/products/banh-an-sang-cest-bon-orion-soi-thit-ga-5-goi-x-17g-i2678583311.html</v>
      </c>
      <c r="C3045" s="10" t="s">
        <v>3045</v>
      </c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8">
        <v>7900.0</v>
      </c>
      <c r="B3046" s="9" t="str">
        <f>HYPERLINK("https://www.lazada.vn/products/hang-moi-combo-5-goi-socola-thanh-jinon-nhieu-vi-huong-hoa-hong-matcha-socola-dau-tay-socola-den-thom-ngon-an-da-nghien-i2944457677.html", "https://www.lazada.vn/products/hang-moi-combo-5-goi-socola-thanh-jinon-nhieu-vi-huong-hoa-hong-matcha-socola-dau-tay-socola-den-thom-ngon-an-da-nghien-i2944457677.html")</f>
        <v>https://www.lazada.vn/products/hang-moi-combo-5-goi-socola-thanh-jinon-nhieu-vi-huong-hoa-hong-matcha-socola-dau-tay-socola-den-thom-ngon-an-da-nghien-i2944457677.html</v>
      </c>
      <c r="C3046" s="10" t="s">
        <v>3046</v>
      </c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8">
        <v>7901.0</v>
      </c>
      <c r="B3047" s="9" t="str">
        <f>HYPERLINK("https://www.lazada.vn/products/ruou-vang-huso-chileno-750ml-i2680781577.html", "https://www.lazada.vn/products/ruou-vang-huso-chileno-750ml-i2680781577.html")</f>
        <v>https://www.lazada.vn/products/ruou-vang-huso-chileno-750ml-i2680781577.html</v>
      </c>
      <c r="C3047" s="10" t="s">
        <v>3047</v>
      </c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8">
        <v>7902.0</v>
      </c>
      <c r="B3048" s="9" t="str">
        <f>HYPERLINK("https://www.lazada.vn/products/bot-thay-the-bua-an-dan-ngo-bac-kinh-tongrentang-yam-kudzu-600g-600g-i2725946568.html", "https://www.lazada.vn/products/bot-thay-the-bua-an-dan-ngo-bac-kinh-tongrentang-yam-kudzu-600g-600g-i2725946568.html")</f>
        <v>https://www.lazada.vn/products/bot-thay-the-bua-an-dan-ngo-bac-kinh-tongrentang-yam-kudzu-600g-600g-i2725946568.html</v>
      </c>
      <c r="C3048" s="10" t="s">
        <v>3048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8">
        <v>7903.0</v>
      </c>
      <c r="B3049" s="9" t="str">
        <f>HYPERLINK("https://www.lazada.vn/products/nescafe-sua-da-3in1-hop-10-goi-x-24gr-i2728098167.html", "https://www.lazada.vn/products/nescafe-sua-da-3in1-hop-10-goi-x-24gr-i2728098167.html")</f>
        <v>https://www.lazada.vn/products/nescafe-sua-da-3in1-hop-10-goi-x-24gr-i2728098167.html</v>
      </c>
      <c r="C3049" s="10" t="s">
        <v>3049</v>
      </c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8">
        <v>7904.0</v>
      </c>
      <c r="B3050" s="9" t="str">
        <f>HYPERLINK("https://www.lazada.vn/products/siro-casablanca-chai-750ml-dau-i2623228888.html", "https://www.lazada.vn/products/siro-casablanca-chai-750ml-dau-i2623228888.html")</f>
        <v>https://www.lazada.vn/products/siro-casablanca-chai-750ml-dau-i2623228888.html</v>
      </c>
      <c r="C3050" s="10" t="s">
        <v>3050</v>
      </c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8">
        <v>7905.0</v>
      </c>
      <c r="B3051" s="9" t="str">
        <f>HYPERLINK("https://www.lazada.vn/products/chom-chom-thai-con-voi-lon-560g-i3043593269.html", "https://www.lazada.vn/products/chom-chom-thai-con-voi-lon-560g-i3043593269.html")</f>
        <v>https://www.lazada.vn/products/chom-chom-thai-con-voi-lon-560g-i3043593269.html</v>
      </c>
      <c r="C3051" s="10" t="s">
        <v>3051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8">
        <v>7906.0</v>
      </c>
      <c r="B3052" s="9" t="str">
        <f>HYPERLINK("https://www.lazada.vn/products/munznie-snack-cho-que-gam-thit-300-500g-ma-bp-i2833226261.html", "https://www.lazada.vn/products/munznie-snack-cho-que-gam-thit-300-500g-ma-bp-i2833226261.html")</f>
        <v>https://www.lazada.vn/products/munznie-snack-cho-que-gam-thit-300-500g-ma-bp-i2833226261.html</v>
      </c>
      <c r="C3052" s="10" t="s">
        <v>3052</v>
      </c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8">
        <v>7907.0</v>
      </c>
      <c r="B3053" s="9" t="str">
        <f>HYPERLINK("https://www.lazada.vn/products/nuoc-uong-giam-luu-giam-mam-xoi-daesang-han-quoc-giup-dep-da-i2822401386.html", "https://www.lazada.vn/products/nuoc-uong-giam-luu-giam-mam-xoi-daesang-han-quoc-giup-dep-da-i2822401386.html")</f>
        <v>https://www.lazada.vn/products/nuoc-uong-giam-luu-giam-mam-xoi-daesang-han-quoc-giup-dep-da-i2822401386.html</v>
      </c>
      <c r="C3053" s="10" t="s">
        <v>3053</v>
      </c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8">
        <v>7908.0</v>
      </c>
      <c r="B3054" s="9" t="str">
        <f>HYPERLINK("https://www.lazada.vn/products/tui-1kg-thach-trai-cay-tam-giac-mh-nhieu-vi-trai-cay-thom-ngon-i2550686268.html", "https://www.lazada.vn/products/tui-1kg-thach-trai-cay-tam-giac-mh-nhieu-vi-trai-cay-thom-ngon-i2550686268.html")</f>
        <v>https://www.lazada.vn/products/tui-1kg-thach-trai-cay-tam-giac-mh-nhieu-vi-trai-cay-thom-ngon-i2550686268.html</v>
      </c>
      <c r="C3054" s="10" t="s">
        <v>3054</v>
      </c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8">
        <v>7909.0</v>
      </c>
      <c r="B3055" s="9" t="str">
        <f>HYPERLINK("https://www.lazada.vn/products/dau-xanh-dong-kho-lop-vo-cung-do-an-nhe-dried-fruit-snack-big-grain-crispy-ready-to-eat-yogurt-oats-milk-snack-bag-50g-i2923799780.html", "https://www.lazada.vn/products/dau-xanh-dong-kho-lop-vo-cung-do-an-nhe-dried-fruit-snack-big-grain-crispy-ready-to-eat-yogurt-oats-milk-snack-bag-50g-i2923799780.html")</f>
        <v>https://www.lazada.vn/products/dau-xanh-dong-kho-lop-vo-cung-do-an-nhe-dried-fruit-snack-big-grain-crispy-ready-to-eat-yogurt-oats-milk-snack-bag-50g-i2923799780.html</v>
      </c>
      <c r="C3055" s="10" t="s">
        <v>3055</v>
      </c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8">
        <v>7910.0</v>
      </c>
      <c r="B3056" s="9" t="str">
        <f>HYPERLINK("https://www.lazada.vn/products/ruou-sake-nhat-bannishino-seki-gold-leaf-1800ml-155-i3009315931.html", "https://www.lazada.vn/products/ruou-sake-nhat-bannishino-seki-gold-leaf-1800ml-155-i3009315931.html")</f>
        <v>https://www.lazada.vn/products/ruou-sake-nhat-bannishino-seki-gold-leaf-1800ml-155-i3009315931.html</v>
      </c>
      <c r="C3056" s="10" t="s">
        <v>3056</v>
      </c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8">
        <v>7911.0</v>
      </c>
      <c r="B3057" s="9" t="str">
        <f>HYPERLINK("https://www.lazada.vn/products/mien-dong-den-lao-soi-trongdai-ngon-thom-tu-nhien-i3064395207.html", "https://www.lazada.vn/products/mien-dong-den-lao-soi-trongdai-ngon-thom-tu-nhien-i3064395207.html")</f>
        <v>https://www.lazada.vn/products/mien-dong-den-lao-soi-trongdai-ngon-thom-tu-nhien-i3064395207.html</v>
      </c>
      <c r="C3057" s="10" t="s">
        <v>3057</v>
      </c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8">
        <v>7912.0</v>
      </c>
      <c r="B3058" s="9" t="str">
        <f>HYPERLINK("https://www.lazada.vn/products/sua-nuoc-beo-carnation-sua-ba-bong-sua-beo-thai-lan-thai-lan-385gr-i2740593162.html", "https://www.lazada.vn/products/sua-nuoc-beo-carnation-sua-ba-bong-sua-beo-thai-lan-thai-lan-385gr-i2740593162.html")</f>
        <v>https://www.lazada.vn/products/sua-nuoc-beo-carnation-sua-ba-bong-sua-beo-thai-lan-thai-lan-385gr-i2740593162.html</v>
      </c>
      <c r="C3058" s="10" t="s">
        <v>3058</v>
      </c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8">
        <v>7913.0</v>
      </c>
      <c r="B3059" s="9" t="str">
        <f>HYPERLINK("https://www.lazada.vn/products/banh-quy-tron-nho-nhat-ban-banh-quy-mem-gion-banh-quy-hat-muoi-bien-do-an-nhe-do-an-giai-tri-hop-dung-500g-thuong-hieu-banh-quy-tron-nho-i2923542695.html", "https://www.lazada.vn/products/banh-quy-tron-nho-nhat-ban-banh-quy-mem-gion-banh-quy-hat-muoi-bien-do-an-nhe-do-an-giai-tri-hop-dung-500g-thuong-hieu-banh-quy-tron-nho-i2923542695.html")</f>
        <v>https://www.lazada.vn/products/banh-quy-tron-nho-nhat-ban-banh-quy-mem-gion-banh-quy-hat-muoi-bien-do-an-nhe-do-an-giai-tri-hop-dung-500g-thuong-hieu-banh-quy-tron-nho-i2923542695.html</v>
      </c>
      <c r="C3059" s="10" t="s">
        <v>3059</v>
      </c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8">
        <v>7914.0</v>
      </c>
      <c r="B3060" s="9" t="str">
        <f>HYPERLINK("https://www.lazada.vn/products/combo-20-goi-mien-tau-bun-tau-dung-de-che-bien-cac-mon-an-i2893311709.html", "https://www.lazada.vn/products/combo-20-goi-mien-tau-bun-tau-dung-de-che-bien-cac-mon-an-i2893311709.html")</f>
        <v>https://www.lazada.vn/products/combo-20-goi-mien-tau-bun-tau-dung-de-che-bien-cac-mon-an-i2893311709.html</v>
      </c>
      <c r="C3060" s="10" t="s">
        <v>3060</v>
      </c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8">
        <v>7915.0</v>
      </c>
      <c r="B3061" s="9" t="str">
        <f>HYPERLINK("https://www.lazada.vn/products/hsd-022026-nestle-milo-activ-go-malaysia-bich-900gram-i2372972435.html", "https://www.lazada.vn/products/hsd-022026-nestle-milo-activ-go-malaysia-bich-900gram-i2372972435.html")</f>
        <v>https://www.lazada.vn/products/hsd-022026-nestle-milo-activ-go-malaysia-bich-900gram-i2372972435.html</v>
      </c>
      <c r="C3061" s="10" t="s">
        <v>3061</v>
      </c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8">
        <v>7916.0</v>
      </c>
      <c r="B3062" s="9" t="str">
        <f>HYPERLINK("https://www.lazada.vn/products/haldirams-golkachori-150g-i2524354207.html", "https://www.lazada.vn/products/haldirams-golkachori-150g-i2524354207.html")</f>
        <v>https://www.lazada.vn/products/haldirams-golkachori-150g-i2524354207.html</v>
      </c>
      <c r="C3062" s="10" t="s">
        <v>3062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8">
        <v>7917.0</v>
      </c>
      <c r="B3063" s="9" t="str">
        <f>HYPERLINK("https://www.lazada.vn/products/banh-trang-xi-ke-muoi-nhuyen-tay-ninh-bich-lon-60g-i2652859938.html", "https://www.lazada.vn/products/banh-trang-xi-ke-muoi-nhuyen-tay-ninh-bich-lon-60g-i2652859938.html")</f>
        <v>https://www.lazada.vn/products/banh-trang-xi-ke-muoi-nhuyen-tay-ninh-bich-lon-60g-i2652859938.html</v>
      </c>
      <c r="C3063" s="10" t="s">
        <v>3063</v>
      </c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8">
        <v>7918.0</v>
      </c>
      <c r="B3064" s="9" t="str">
        <f>HYPERLINK("https://www.lazada.vn/products/thung-bia-tap-thung-bia-voi-keg-khong-chua-bpa-cho-nha-san-xuat-bia-cho-nha-hang-cho-thanh-i2996568162.html", "https://www.lazada.vn/products/thung-bia-tap-thung-bia-voi-keg-khong-chua-bpa-cho-nha-san-xuat-bia-cho-nha-hang-cho-thanh-i2996568162.html")</f>
        <v>https://www.lazada.vn/products/thung-bia-tap-thung-bia-voi-keg-khong-chua-bpa-cho-nha-san-xuat-bia-cho-nha-hang-cho-thanh-i2996568162.html</v>
      </c>
      <c r="C3064" s="10" t="s">
        <v>3064</v>
      </c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8">
        <v>7919.0</v>
      </c>
      <c r="B3065" s="9" t="str">
        <f>HYPERLINK("https://www.lazada.vn/products/banh-gau-nhan-kem-sua-thom-ngon-beo-ngay-yotafood-i1951850558.html", "https://www.lazada.vn/products/banh-gau-nhan-kem-sua-thom-ngon-beo-ngay-yotafood-i1951850558.html")</f>
        <v>https://www.lazada.vn/products/banh-gau-nhan-kem-sua-thom-ngon-beo-ngay-yotafood-i1951850558.html</v>
      </c>
      <c r="C3065" s="10" t="s">
        <v>3065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8">
        <v>7920.0</v>
      </c>
      <c r="B3066" s="9" t="str">
        <f>HYPERLINK("https://www.lazada.vn/products/thanh-socola-banh-com-nhat-ban-i2944348855.html", "https://www.lazada.vn/products/thanh-socola-banh-com-nhat-ban-i2944348855.html")</f>
        <v>https://www.lazada.vn/products/thanh-socola-banh-com-nhat-ban-i2944348855.html</v>
      </c>
      <c r="C3066" s="10" t="s">
        <v>3066</v>
      </c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8">
        <v>7921.0</v>
      </c>
      <c r="B3067" s="9" t="str">
        <f>HYPERLINK("https://www.lazada.vn/products/combo-3-banh-sandwich-tam-giac-lua-mach-cha-bong-khoai-mon-phomai-bo-b103-beegin-food-store-i2677607239.html", "https://www.lazada.vn/products/combo-3-banh-sandwich-tam-giac-lua-mach-cha-bong-khoai-mon-phomai-bo-b103-beegin-food-store-i2677607239.html")</f>
        <v>https://www.lazada.vn/products/combo-3-banh-sandwich-tam-giac-lua-mach-cha-bong-khoai-mon-phomai-bo-b103-beegin-food-store-i2677607239.html</v>
      </c>
      <c r="C3067" s="10" t="s">
        <v>3067</v>
      </c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8">
        <v>7922.0</v>
      </c>
      <c r="B3068" s="9" t="str">
        <f>HYPERLINK("https://www.lazada.vn/products/hoa-toc-hcm-loc-6-lon-nuoc-tang-luc-giai-khat-monster-energy-ultra-paradise-355mllon-sale-253-coca-cola-chinh-hang-i2580784676.html", "https://www.lazada.vn/products/hoa-toc-hcm-loc-6-lon-nuoc-tang-luc-giai-khat-monster-energy-ultra-paradise-355mllon-sale-253-coca-cola-chinh-hang-i2580784676.html")</f>
        <v>https://www.lazada.vn/products/hoa-toc-hcm-loc-6-lon-nuoc-tang-luc-giai-khat-monster-energy-ultra-paradise-355mllon-sale-253-coca-cola-chinh-hang-i2580784676.html</v>
      </c>
      <c r="C3068" s="10" t="s">
        <v>3068</v>
      </c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8">
        <v>7923.0</v>
      </c>
      <c r="B3069" s="9" t="str">
        <f>HYPERLINK("https://www.lazada.vn/products/banh-ngu-coc-gao-lut-cha-bong-cereal-brown-rice-meat-kapok-150g-goi-10-thanh-i1943037795.html", "https://www.lazada.vn/products/banh-ngu-coc-gao-lut-cha-bong-cereal-brown-rice-meat-kapok-150g-goi-10-thanh-i1943037795.html")</f>
        <v>https://www.lazada.vn/products/banh-ngu-coc-gao-lut-cha-bong-cereal-brown-rice-meat-kapok-150g-goi-10-thanh-i1943037795.html</v>
      </c>
      <c r="C3069" s="10" t="s">
        <v>3069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8">
        <v>7924.0</v>
      </c>
      <c r="B3070" s="9" t="str">
        <f>HYPERLINK("https://www.lazada.vn/products/socola-nama-noi-dia-trung-hop-400g-i2944057419.html", "https://www.lazada.vn/products/socola-nama-noi-dia-trung-hop-400g-i2944057419.html")</f>
        <v>https://www.lazada.vn/products/socola-nama-noi-dia-trung-hop-400g-i2944057419.html</v>
      </c>
      <c r="C3070" s="10" t="s">
        <v>3070</v>
      </c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8">
        <v>7925.0</v>
      </c>
      <c r="B3071" s="9" t="str">
        <f>HYPERLINK("https://www.lazada.vn/products/4-vi-banh-quy-xo-no-brand-vi-phomai-socola-chip-dua-bo-dau-phong-400g-sieu-to-sieu-khong-lo-i1942245016.html", "https://www.lazada.vn/products/4-vi-banh-quy-xo-no-brand-vi-phomai-socola-chip-dua-bo-dau-phong-400g-sieu-to-sieu-khong-lo-i1942245016.html")</f>
        <v>https://www.lazada.vn/products/4-vi-banh-quy-xo-no-brand-vi-phomai-socola-chip-dua-bo-dau-phong-400g-sieu-to-sieu-khong-lo-i1942245016.html</v>
      </c>
      <c r="C3071" s="10" t="s">
        <v>3071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8">
        <v>7926.0</v>
      </c>
      <c r="B3072" s="9" t="str">
        <f>HYPERLINK("https://www.lazada.vn/products/thanh-socola-sua-den-dang-whittakers-chocolate-hazella-salted-caramel-peanut-milk-33-dark-62-i2943966062.html", "https://www.lazada.vn/products/thanh-socola-sua-den-dang-whittakers-chocolate-hazella-salted-caramel-peanut-milk-33-dark-62-i2943966062.html")</f>
        <v>https://www.lazada.vn/products/thanh-socola-sua-den-dang-whittakers-chocolate-hazella-salted-caramel-peanut-milk-33-dark-62-i2943966062.html</v>
      </c>
      <c r="C3072" s="10" t="s">
        <v>3072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8">
        <v>7927.0</v>
      </c>
      <c r="B3073" s="9" t="str">
        <f>HYPERLINK("https://www.lazada.vn/products/thung-24-lon-bia-anchor-campuchia-330ml-nong-do-5-i2995558415.html", "https://www.lazada.vn/products/thung-24-lon-bia-anchor-campuchia-330ml-nong-do-5-i2995558415.html")</f>
        <v>https://www.lazada.vn/products/thung-24-lon-bia-anchor-campuchia-330ml-nong-do-5-i2995558415.html</v>
      </c>
      <c r="C3073" s="10" t="s">
        <v>3073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8">
        <v>7928.0</v>
      </c>
      <c r="B3074" s="9" t="str">
        <f>HYPERLINK("https://www.lazada.vn/products/mien-dong-soi-rut-dac-san-dien-bien-i3064193993.html", "https://www.lazada.vn/products/mien-dong-soi-rut-dac-san-dien-bien-i3064193993.html")</f>
        <v>https://www.lazada.vn/products/mien-dong-soi-rut-dac-san-dien-bien-i3064193993.html</v>
      </c>
      <c r="C3074" s="10" t="s">
        <v>3074</v>
      </c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8">
        <v>7929.0</v>
      </c>
      <c r="B3075" s="9" t="str">
        <f>HYPERLINK("https://www.lazada.vn/products/banh-magic-cracker-sieu-gion-hai-lop-kem-socola-hop-20-goi-i1939259485.html", "https://www.lazada.vn/products/banh-magic-cracker-sieu-gion-hai-lop-kem-socola-hop-20-goi-i1939259485.html")</f>
        <v>https://www.lazada.vn/products/banh-magic-cracker-sieu-gion-hai-lop-kem-socola-hop-20-goi-i1939259485.html</v>
      </c>
      <c r="C3075" s="10" t="s">
        <v>3075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8">
        <v>7930.0</v>
      </c>
      <c r="B3076" s="9" t="str">
        <f>HYPERLINK("https://www.lazada.vn/products/thung-tra-sam-tra-thao-moc-wanglaoji-lon-310ml_-24-lon-i2739279620.html", "https://www.lazada.vn/products/thung-tra-sam-tra-thao-moc-wanglaoji-lon-310ml_-24-lon-i2739279620.html")</f>
        <v>https://www.lazada.vn/products/thung-tra-sam-tra-thao-moc-wanglaoji-lon-310ml_-24-lon-i2739279620.html</v>
      </c>
      <c r="C3076" s="10" t="s">
        <v>3076</v>
      </c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8">
        <v>7931.0</v>
      </c>
      <c r="B3077" s="9" t="str">
        <f>HYPERLINK("https://www.lazada.vn/products/dried-strawberries-mango-purple-sweet-potato-fig-fruit-bits-baking-cake-milk-tea-shop-snowflake-snack-dry-coconut-flakes-i2923799557.html", "https://www.lazada.vn/products/dried-strawberries-mango-purple-sweet-potato-fig-fruit-bits-baking-cake-milk-tea-shop-snowflake-snack-dry-coconut-flakes-i2923799557.html")</f>
        <v>https://www.lazada.vn/products/dried-strawberries-mango-purple-sweet-potato-fig-fruit-bits-baking-cake-milk-tea-shop-snowflake-snack-dry-coconut-flakes-i2923799557.html</v>
      </c>
      <c r="C3077" s="10" t="s">
        <v>3077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8">
        <v>7932.0</v>
      </c>
      <c r="B3078" s="9" t="str">
        <f>HYPERLINK("https://www.lazada.vn/products/coop-online-chocolate-snickers-51g-i2943925952.html", "https://www.lazada.vn/products/coop-online-chocolate-snickers-51g-i2943925952.html")</f>
        <v>https://www.lazada.vn/products/coop-online-chocolate-snickers-51g-i2943925952.html</v>
      </c>
      <c r="C3078" s="10" t="s">
        <v>3078</v>
      </c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8">
        <v>7933.0</v>
      </c>
      <c r="B3079" s="9" t="str">
        <f>HYPERLINK("https://www.lazada.vn/products/hop-qua-anh-dao-sake-nishino-seki-junmaishu-300ml-i3009314954.html", "https://www.lazada.vn/products/hop-qua-anh-dao-sake-nishino-seki-junmaishu-300ml-i3009314954.html")</f>
        <v>https://www.lazada.vn/products/hop-qua-anh-dao-sake-nishino-seki-junmaishu-300ml-i3009314954.html</v>
      </c>
      <c r="C3079" s="10" t="s">
        <v>3079</v>
      </c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8">
        <v>7934.0</v>
      </c>
      <c r="B3080" s="9" t="str">
        <f>HYPERLINK("https://www.lazada.vn/products/top-ly-mini-ly-min-nhu-nhung-tunail-i3055471764.html", "https://www.lazada.vn/products/top-ly-mini-ly-min-nhu-nhung-tunail-i3055471764.html")</f>
        <v>https://www.lazada.vn/products/top-ly-mini-ly-min-nhu-nhung-tunail-i3055471764.html</v>
      </c>
      <c r="C3080" s="10" t="s">
        <v>3080</v>
      </c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8">
        <v>7935.0</v>
      </c>
      <c r="B3081" s="9" t="str">
        <f>HYPERLINK("https://www.lazada.vn/products/cha-gio-xop-chay-i3043552430.html", "https://www.lazada.vn/products/cha-gio-xop-chay-i3043552430.html")</f>
        <v>https://www.lazada.vn/products/cha-gio-xop-chay-i3043552430.html</v>
      </c>
      <c r="C3081" s="10" t="s">
        <v>3081</v>
      </c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8">
        <v>7936.0</v>
      </c>
      <c r="B3082" s="9" t="str">
        <f>HYPERLINK("https://www.lazada.vn/products/tra-sua-tui-loc-315pm-dai-loan-15-goitui-i2738203536.html", "https://www.lazada.vn/products/tra-sua-tui-loc-315pm-dai-loan-15-goitui-i2738203536.html")</f>
        <v>https://www.lazada.vn/products/tra-sua-tui-loc-315pm-dai-loan-15-goitui-i2738203536.html</v>
      </c>
      <c r="C3082" s="10" t="s">
        <v>3082</v>
      </c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8">
        <v>7937.0</v>
      </c>
      <c r="B3083" s="9" t="str">
        <f>HYPERLINK("https://www.lazada.vn/products/banh-quy-bo-sua-danisa-908gr-100-hang-chinh-hang-i1934913357.html", "https://www.lazada.vn/products/banh-quy-bo-sua-danisa-908gr-100-hang-chinh-hang-i1934913357.html")</f>
        <v>https://www.lazada.vn/products/banh-quy-bo-sua-danisa-908gr-100-hang-chinh-hang-i1934913357.html</v>
      </c>
      <c r="C3083" s="10" t="s">
        <v>3083</v>
      </c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8">
        <v>7938.0</v>
      </c>
      <c r="B3084" s="9" t="str">
        <f>HYPERLINK("https://www.lazada.vn/products/tui-le-17-goi-x-2g-nescafe-red-cup-ca-phe-hoa-tan-khong-hop-i2728080284.html", "https://www.lazada.vn/products/tui-le-17-goi-x-2g-nescafe-red-cup-ca-phe-hoa-tan-khong-hop-i2728080284.html")</f>
        <v>https://www.lazada.vn/products/tui-le-17-goi-x-2g-nescafe-red-cup-ca-phe-hoa-tan-khong-hop-i2728080284.html</v>
      </c>
      <c r="C3084" s="10" t="s">
        <v>3084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8">
        <v>7939.0</v>
      </c>
      <c r="B3085" s="9" t="str">
        <f>HYPERLINK("https://www.lazada.vn/products/keo-chocolat-mon-cheri-duc-i2943255153.html", "https://www.lazada.vn/products/keo-chocolat-mon-cheri-duc-i2943255153.html")</f>
        <v>https://www.lazada.vn/products/keo-chocolat-mon-cheri-duc-i2943255153.html</v>
      </c>
      <c r="C3085" s="10" t="s">
        <v>3085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8">
        <v>7940.0</v>
      </c>
      <c r="B3086" s="9" t="str">
        <f>HYPERLINK("https://www.lazada.vn/products/banh-bong-lan-pizza-ruoc-man-3-vi-thom-ngontieu-denca-chuahanh-la-dingpan-i2675522447.html", "https://www.lazada.vn/products/banh-bong-lan-pizza-ruoc-man-3-vi-thom-ngontieu-denca-chuahanh-la-dingpan-i2675522447.html")</f>
        <v>https://www.lazada.vn/products/banh-bong-lan-pizza-ruoc-man-3-vi-thom-ngontieu-denca-chuahanh-la-dingpan-i2675522447.html</v>
      </c>
      <c r="C3086" s="10" t="s">
        <v>3086</v>
      </c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8">
        <v>7941.0</v>
      </c>
      <c r="B3087" s="9" t="str">
        <f>HYPERLINK("https://www.lazada.vn/products/haldiram-dry-fruit-mixture-150g-i2524253358.html", "https://www.lazada.vn/products/haldiram-dry-fruit-mixture-150g-i2524253358.html")</f>
        <v>https://www.lazada.vn/products/haldiram-dry-fruit-mixture-150g-i2524253358.html</v>
      </c>
      <c r="C3087" s="10" t="s">
        <v>3087</v>
      </c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8">
        <v>7942.0</v>
      </c>
      <c r="B3088" s="9" t="str">
        <f>HYPERLINK("https://www.lazada.vn/products/snack-khoai-tay-giau-dam-atkins-protein-chips-1-goi-le-i2831873472.html", "https://www.lazada.vn/products/snack-khoai-tay-giau-dam-atkins-protein-chips-1-goi-le-i2831873472.html")</f>
        <v>https://www.lazada.vn/products/snack-khoai-tay-giau-dam-atkins-protein-chips-1-goi-le-i2831873472.html</v>
      </c>
      <c r="C3088" s="10" t="s">
        <v>3088</v>
      </c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8">
        <v>7943.0</v>
      </c>
      <c r="B3089" s="9" t="str">
        <f>HYPERLINK("https://www.lazada.vn/products/5-goi-banh-soda-nuong-green-tree-snack-banh-quy-soda-nuong-huong-vi-trai-cay-man-nhap-khau-thai-lan-200g-banh-quy-nuong-i2923541940.html", "https://www.lazada.vn/products/5-goi-banh-soda-nuong-green-tree-snack-banh-quy-soda-nuong-huong-vi-trai-cay-man-nhap-khau-thai-lan-200g-banh-quy-nuong-i2923541940.html")</f>
        <v>https://www.lazada.vn/products/5-goi-banh-soda-nuong-green-tree-snack-banh-quy-soda-nuong-huong-vi-trai-cay-man-nhap-khau-thai-lan-200g-banh-quy-nuong-i2923541940.html</v>
      </c>
      <c r="C3089" s="10" t="s">
        <v>3089</v>
      </c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8">
        <v>7944.0</v>
      </c>
      <c r="B3090" s="9" t="str">
        <f>HYPERLINK("https://www.lazada.vn/products/thung-24-lon-bia-angkor-sky-campuchia-330ml-nong-do-4-i2995535615.html", "https://www.lazada.vn/products/thung-24-lon-bia-angkor-sky-campuchia-330ml-nong-do-4-i2995535615.html")</f>
        <v>https://www.lazada.vn/products/thung-24-lon-bia-angkor-sky-campuchia-330ml-nong-do-4-i2995535615.html</v>
      </c>
      <c r="C3090" s="10" t="s">
        <v>3090</v>
      </c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8">
        <v>7945.0</v>
      </c>
      <c r="B3091" s="9" t="str">
        <f>HYPERLINK("https://www.lazada.vn/products/tui-500g-thach-trai-cay-tam-giac-mh-nhieu-vi-trai-cay-thom-ngon-i2550677300.html", "https://www.lazada.vn/products/tui-500g-thach-trai-cay-tam-giac-mh-nhieu-vi-trai-cay-thom-ngon-i2550677300.html")</f>
        <v>https://www.lazada.vn/products/tui-500g-thach-trai-cay-tam-giac-mh-nhieu-vi-trai-cay-thom-ngon-i2550677300.html</v>
      </c>
      <c r="C3091" s="10" t="s">
        <v>3091</v>
      </c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8">
        <v>7946.0</v>
      </c>
      <c r="B3092" s="9" t="str">
        <f>HYPERLINK("https://www.lazada.vn/products/1000ml-nuoc-cot-trai-nhau-nguyen-chat-vina-noni-duoc-ngam-u-trong-3-nam-dam-bao-chat-luong-i2822397737.html", "https://www.lazada.vn/products/1000ml-nuoc-cot-trai-nhau-nguyen-chat-vina-noni-duoc-ngam-u-trong-3-nam-dam-bao-chat-luong-i2822397737.html")</f>
        <v>https://www.lazada.vn/products/1000ml-nuoc-cot-trai-nhau-nguyen-chat-vina-noni-duoc-ngam-u-trong-3-nam-dam-bao-chat-luong-i2822397737.html</v>
      </c>
      <c r="C3092" s="10" t="s">
        <v>3092</v>
      </c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8">
        <v>7947.0</v>
      </c>
      <c r="B3093" s="9" t="str">
        <f>HYPERLINK("https://www.lazada.vn/products/date-2026-bot-cacao-hersheys-cocoa-nguyen-chat-226g-usa-i2371588161.html", "https://www.lazada.vn/products/date-2026-bot-cacao-hersheys-cocoa-nguyen-chat-226g-usa-i2371588161.html")</f>
        <v>https://www.lazada.vn/products/date-2026-bot-cacao-hersheys-cocoa-nguyen-chat-226g-usa-i2371588161.html</v>
      </c>
      <c r="C3093" s="10" t="s">
        <v>3093</v>
      </c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8">
        <v>7948.0</v>
      </c>
      <c r="B3094" s="9" t="str">
        <f>HYPERLINK("https://www.lazada.vn/products/mi-tron-fun-zhajiang-huong-vi-dam-da-cua-trung-quoc-i2893270815.html", "https://www.lazada.vn/products/mi-tron-fun-zhajiang-huong-vi-dam-da-cua-trung-quoc-i2893270815.html")</f>
        <v>https://www.lazada.vn/products/mi-tron-fun-zhajiang-huong-vi-dam-da-cua-trung-quoc-i2893270815.html</v>
      </c>
      <c r="C3094" s="10" t="s">
        <v>3094</v>
      </c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8">
        <v>7949.0</v>
      </c>
      <c r="B3095" s="9" t="str">
        <f>HYPERLINK("https://www.lazada.vn/products/hoa-toc-hcm-loc-24-lon-nuoc-tang-luc-giai-khat-monster-energy-mango-loco-vi-xoai-355mllon-sale-253-coca-cola-chinh-hang-i2580779308.html", "https://www.lazada.vn/products/hoa-toc-hcm-loc-24-lon-nuoc-tang-luc-giai-khat-monster-energy-mango-loco-vi-xoai-355mllon-sale-253-coca-cola-chinh-hang-i2580779308.html")</f>
        <v>https://www.lazada.vn/products/hoa-toc-hcm-loc-24-lon-nuoc-tang-luc-giai-khat-monster-energy-mango-loco-vi-xoai-355mllon-sale-253-coca-cola-chinh-hang-i2580779308.html</v>
      </c>
      <c r="C3095" s="10" t="s">
        <v>3095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8">
        <v>7950.0</v>
      </c>
      <c r="B3096" s="9" t="str">
        <f>HYPERLINK("https://www.lazada.vn/products/vang-do-chateau-bechereau-lalande-de-pomerol-i2280261645.html", "https://www.lazada.vn/products/vang-do-chateau-bechereau-lalande-de-pomerol-i2280261645.html")</f>
        <v>https://www.lazada.vn/products/vang-do-chateau-bechereau-lalande-de-pomerol-i2280261645.html</v>
      </c>
      <c r="C3096" s="10" t="s">
        <v>3096</v>
      </c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8">
        <v>7951.0</v>
      </c>
      <c r="B3097" s="9" t="str">
        <f>HYPERLINK("https://www.lazada.vn/products/sabava-dried-strawberry-yogurt-blocks-38g-snack-dried-fruit-milk-block-dry-fruit-candy-milk-candy-dried-fruit-milk-snack-i2923798603.html", "https://www.lazada.vn/products/sabava-dried-strawberry-yogurt-blocks-38g-snack-dried-fruit-milk-block-dry-fruit-candy-milk-candy-dried-fruit-milk-snack-i2923798603.html")</f>
        <v>https://www.lazada.vn/products/sabava-dried-strawberry-yogurt-blocks-38g-snack-dried-fruit-milk-block-dry-fruit-candy-milk-candy-dried-fruit-milk-snack-i2923798603.html</v>
      </c>
      <c r="C3097" s="10" t="s">
        <v>3097</v>
      </c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8">
        <v>7952.0</v>
      </c>
      <c r="B3098" s="9" t="str">
        <f>HYPERLINK("https://www.lazada.vn/products/ruou-mo-nhat-nakano-bc-umeshu-vi-tra-xanh-720ml-12-i3009308838.html", "https://www.lazada.vn/products/ruou-mo-nhat-nakano-bc-umeshu-vi-tra-xanh-720ml-12-i3009308838.html")</f>
        <v>https://www.lazada.vn/products/ruou-mo-nhat-nakano-bc-umeshu-vi-tra-xanh-720ml-12-i3009308838.html</v>
      </c>
      <c r="C3098" s="10" t="s">
        <v>3098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8">
        <v>7953.0</v>
      </c>
      <c r="B3099" s="9" t="str">
        <f>HYPERLINK("https://www.lazada.vn/products/gia-si-tu-1-bichset-500gr-che-duong-nhan-13-vi-tang-kem-1-tui-tao-do-nhieu-nhu-hinh-i2738188238.html", "https://www.lazada.vn/products/gia-si-tu-1-bichset-500gr-che-duong-nhan-13-vi-tang-kem-1-tui-tao-do-nhieu-nhu-hinh-i2738188238.html")</f>
        <v>https://www.lazada.vn/products/gia-si-tu-1-bichset-500gr-che-duong-nhan-13-vi-tang-kem-1-tui-tao-do-nhieu-nhu-hinh-i2738188238.html</v>
      </c>
      <c r="C3099" s="10" t="s">
        <v>3099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8">
        <v>7954.0</v>
      </c>
      <c r="B3100" s="9" t="str">
        <f>HYPERLINK("https://www.lazada.vn/products/siro-casablanca-chai-750ml-dau-i2623158220.html", "https://www.lazada.vn/products/siro-casablanca-chai-750ml-dau-i2623158220.html")</f>
        <v>https://www.lazada.vn/products/siro-casablanca-chai-750ml-dau-i2623158220.html</v>
      </c>
      <c r="C3100" s="10" t="s">
        <v>3100</v>
      </c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8">
        <v>7955.0</v>
      </c>
      <c r="B3101" s="9" t="str">
        <f>HYPERLINK("https://www.lazada.vn/products/heinz-lon-beanz-415g-dau-sot-ca-chua-beanz-in-a-rich-tomato-sauce-i3043361913.html", "https://www.lazada.vn/products/heinz-lon-beanz-415g-dau-sot-ca-chua-beanz-in-a-rich-tomato-sauce-i3043361913.html")</f>
        <v>https://www.lazada.vn/products/heinz-lon-beanz-415g-dau-sot-ca-chua-beanz-in-a-rich-tomato-sauce-i3043361913.html</v>
      </c>
      <c r="C3101" s="10" t="s">
        <v>3101</v>
      </c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8">
        <v>7956.0</v>
      </c>
      <c r="B3102" s="9" t="str">
        <f>HYPERLINK("https://www.lazada.vn/products/500g-bim-bim-que-dau-ha-lan-an-vat-ut-nhi-i2651878201.html", "https://www.lazada.vn/products/500g-bim-bim-que-dau-ha-lan-an-vat-ut-nhi-i2651878201.html")</f>
        <v>https://www.lazada.vn/products/500g-bim-bim-que-dau-ha-lan-an-vat-ut-nhi-i2651878201.html</v>
      </c>
      <c r="C3102" s="10" t="s">
        <v>3102</v>
      </c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8">
        <v>7957.0</v>
      </c>
      <c r="B3103" s="9" t="str">
        <f>HYPERLINK("https://www.lazada.vn/products/bot-gao-lut_hat-sen_me-den-ananfood-huu-co-tu-nhien-san-pham-ocop-thay-the-bua-an-cham-soc-suc-khoe-i2725889201.html", "https://www.lazada.vn/products/bot-gao-lut_hat-sen_me-den-ananfood-huu-co-tu-nhien-san-pham-ocop-thay-the-bua-an-cham-soc-suc-khoe-i2725889201.html")</f>
        <v>https://www.lazada.vn/products/bot-gao-lut_hat-sen_me-den-ananfood-huu-co-tu-nhien-san-pham-ocop-thay-the-bua-an-cham-soc-suc-khoe-i2725889201.html</v>
      </c>
      <c r="C3103" s="10" t="s">
        <v>3103</v>
      </c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8">
        <v>7958.0</v>
      </c>
      <c r="B3104" s="9" t="str">
        <f>HYPERLINK("https://www.lazada.vn/products/mien-khoai-lang-han-quoc-yongsoo-goi-1kg-mien-kho-han-quoc-so-1-ha-anh-2k-i3045150001.html", "https://www.lazada.vn/products/mien-khoai-lang-han-quoc-yongsoo-goi-1kg-mien-kho-han-quoc-so-1-ha-anh-2k-i3045150001.html")</f>
        <v>https://www.lazada.vn/products/mien-khoai-lang-han-quoc-yongsoo-goi-1kg-mien-kho-han-quoc-so-1-ha-anh-2k-i3045150001.html</v>
      </c>
      <c r="C3104" s="10" t="s">
        <v>3104</v>
      </c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8">
        <v>7959.0</v>
      </c>
      <c r="B3105" s="9" t="str">
        <f>HYPERLINK("https://www.lazada.vn/products/vang-do-boccantino-nero-davola-i2280261604.html", "https://www.lazada.vn/products/vang-do-boccantino-nero-davola-i2280261604.html")</f>
        <v>https://www.lazada.vn/products/vang-do-boccantino-nero-davola-i2280261604.html</v>
      </c>
      <c r="C3105" s="10" t="s">
        <v>3105</v>
      </c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8">
        <v>7960.0</v>
      </c>
      <c r="B3106" s="9" t="str">
        <f>HYPERLINK("https://www.lazada.vn/products/banh-nep-hotteok-nhan-pho-mai-han-quoc-banh-xep-pho-mai-cuc-ngon-thucphamnuongfood-i2675359729.html", "https://www.lazada.vn/products/banh-nep-hotteok-nhan-pho-mai-han-quoc-banh-xep-pho-mai-cuc-ngon-thucphamnuongfood-i2675359729.html")</f>
        <v>https://www.lazada.vn/products/banh-nep-hotteok-nhan-pho-mai-han-quoc-banh-xep-pho-mai-cuc-ngon-thucphamnuongfood-i2675359729.html</v>
      </c>
      <c r="C3106" s="10" t="s">
        <v>3106</v>
      </c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8">
        <v>7961.0</v>
      </c>
      <c r="B3107" s="9" t="str">
        <f>HYPERLINK("https://www.lazada.vn/products/haldirams-chana-jor-garam-200g-i2524244438.html", "https://www.lazada.vn/products/haldirams-chana-jor-garam-200g-i2524244438.html")</f>
        <v>https://www.lazada.vn/products/haldirams-chana-jor-garam-200g-i2524244438.html</v>
      </c>
      <c r="C3107" s="10" t="s">
        <v>3107</v>
      </c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8">
        <v>7962.0</v>
      </c>
      <c r="B3108" s="9" t="str">
        <f>HYPERLINK("https://www.lazada.vn/products/snack-khoai-tay-giau-dam-atkins-protein-chips-fullbox-8-goi-du-vi-i2831827867.html", "https://www.lazada.vn/products/snack-khoai-tay-giau-dam-atkins-protein-chips-fullbox-8-goi-du-vi-i2831827867.html")</f>
        <v>https://www.lazada.vn/products/snack-khoai-tay-giau-dam-atkins-protein-chips-fullbox-8-goi-du-vi-i2831827867.html</v>
      </c>
      <c r="C3108" s="10" t="s">
        <v>3108</v>
      </c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8">
        <v>7963.0</v>
      </c>
      <c r="B3109" s="9" t="str">
        <f>HYPERLINK("https://www.lazada.vn/products/beauty-1-thung-bia-corny-khoa-khilong-ngat-ket-noi-cho-bia-nha-kieu-cornelius-i2995529207.html", "https://www.lazada.vn/products/beauty-1-thung-bia-corny-khoa-khilong-ngat-ket-noi-cho-bia-nha-kieu-cornelius-i2995529207.html")</f>
        <v>https://www.lazada.vn/products/beauty-1-thung-bia-corny-khoa-khilong-ngat-ket-noi-cho-bia-nha-kieu-cornelius-i2995529207.html</v>
      </c>
      <c r="C3109" s="10" t="s">
        <v>3109</v>
      </c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8">
        <v>7964.0</v>
      </c>
      <c r="B3110" s="9" t="str">
        <f>HYPERLINK("https://www.lazada.vn/products/tui-500g-keo-thach-trai-cay-tam-giac-mh-an-vat-do-an-vat-hot-i2550672297.html", "https://www.lazada.vn/products/tui-500g-keo-thach-trai-cay-tam-giac-mh-an-vat-do-an-vat-hot-i2550672297.html")</f>
        <v>https://www.lazada.vn/products/tui-500g-keo-thach-trai-cay-tam-giac-mh-an-vat-do-an-vat-hot-i2550672297.html</v>
      </c>
      <c r="C3110" s="10" t="s">
        <v>3110</v>
      </c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8">
        <v>7965.0</v>
      </c>
      <c r="B3111" s="9" t="str">
        <f>HYPERLINK("https://www.lazada.vn/products/thung-mi-chua-cay-kokomi-dai-30-goi-x-90g-i2893242741.html", "https://www.lazada.vn/products/thung-mi-chua-cay-kokomi-dai-30-goi-x-90g-i2893242741.html")</f>
        <v>https://www.lazada.vn/products/thung-mi-chua-cay-kokomi-dai-30-goi-x-90g-i2893242741.html</v>
      </c>
      <c r="C3111" s="10" t="s">
        <v>3111</v>
      </c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8">
        <v>7966.0</v>
      </c>
      <c r="B3112" s="9" t="str">
        <f>HYPERLINK("https://www.lazada.vn/products/bot-ca-cao-singviet-400g-i2367064971.html", "https://www.lazada.vn/products/bot-ca-cao-singviet-400g-i2367064971.html")</f>
        <v>https://www.lazada.vn/products/bot-ca-cao-singviet-400g-i2367064971.html</v>
      </c>
      <c r="C3112" s="10" t="s">
        <v>3112</v>
      </c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8">
        <v>7967.0</v>
      </c>
      <c r="B3113" s="9" t="str">
        <f>HYPERLINK("https://www.lazada.vn/products/hoa-toc-hcm-loc-24-lon-nuoc-tang-luc-giai-khat-monster-energy-ultra-paradise-355mllon-sale-253-coca-cola-chinh-hang-i2580777704.html", "https://www.lazada.vn/products/hoa-toc-hcm-loc-24-lon-nuoc-tang-luc-giai-khat-monster-energy-ultra-paradise-355mllon-sale-253-coca-cola-chinh-hang-i2580777704.html")</f>
        <v>https://www.lazada.vn/products/hoa-toc-hcm-loc-24-lon-nuoc-tang-luc-giai-khat-monster-energy-ultra-paradise-355mllon-sale-253-coca-cola-chinh-hang-i2580777704.html</v>
      </c>
      <c r="C3113" s="10" t="s">
        <v>3113</v>
      </c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8">
        <v>7968.0</v>
      </c>
      <c r="B3114" s="9" t="str">
        <f>HYPERLINK("https://www.lazada.vn/products/banh-quy-soda-black-truffle-ham-huong-vi-man-moi-banh-quy-giai-tri-banh-quy-nuong-banh-quy-khoai-tay-chien-banh-quy-nuong-huong-vi-man-i2923533906.html", "https://www.lazada.vn/products/banh-quy-soda-black-truffle-ham-huong-vi-man-moi-banh-quy-giai-tri-banh-quy-nuong-banh-quy-khoai-tay-chien-banh-quy-nuong-huong-vi-man-i2923533906.html")</f>
        <v>https://www.lazada.vn/products/banh-quy-soda-black-truffle-ham-huong-vi-man-moi-banh-quy-giai-tri-banh-quy-nuong-banh-quy-khoai-tay-chien-banh-quy-nuong-huong-vi-man-i2923533906.html</v>
      </c>
      <c r="C3114" s="10" t="s">
        <v>3114</v>
      </c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8">
        <v>7969.0</v>
      </c>
      <c r="B3115" s="9" t="str">
        <f>HYPERLINK("https://www.lazada.vn/products/ruou-vang-tay-ban-nha-raices-750ml-i2680585750.html", "https://www.lazada.vn/products/ruou-vang-tay-ban-nha-raices-750ml-i2680585750.html")</f>
        <v>https://www.lazada.vn/products/ruou-vang-tay-ban-nha-raices-750ml-i2680585750.html</v>
      </c>
      <c r="C3115" s="10" t="s">
        <v>3115</v>
      </c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8">
        <v>7970.0</v>
      </c>
      <c r="B3116" s="9" t="str">
        <f>HYPERLINK("https://www.lazada.vn/products/snack-dried-mango-almond-strawberries-yogurt-blocks-mixed-dried-fruits-popular-independent-packaging-dried-fruit-business-i2923798364.html", "https://www.lazada.vn/products/snack-dried-mango-almond-strawberries-yogurt-blocks-mixed-dried-fruits-popular-independent-packaging-dried-fruit-business-i2923798364.html")</f>
        <v>https://www.lazada.vn/products/snack-dried-mango-almond-strawberries-yogurt-blocks-mixed-dried-fruits-popular-independent-packaging-dried-fruit-business-i2923798364.html</v>
      </c>
      <c r="C3116" s="10" t="s">
        <v>3116</v>
      </c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8">
        <v>7971.0</v>
      </c>
      <c r="B3117" s="9" t="str">
        <f>HYPERLINK("https://www.lazada.vn/products/nuoc-uong-giam-luu-giam-mam-xoi-daesang-han-quoc-i2822361573.html", "https://www.lazada.vn/products/nuoc-uong-giam-luu-giam-mam-xoi-daesang-han-quoc-i2822361573.html")</f>
        <v>https://www.lazada.vn/products/nuoc-uong-giam-luu-giam-mam-xoi-daesang-han-quoc-i2822361573.html</v>
      </c>
      <c r="C3117" s="10" t="s">
        <v>3117</v>
      </c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8">
        <v>7972.0</v>
      </c>
      <c r="B3118" s="9" t="str">
        <f>HYPERLINK("https://www.lazada.vn/products/ruou-mo-vay-vang-nhat-ban-i2955960361.html", "https://www.lazada.vn/products/ruou-mo-vay-vang-nhat-ban-i2955960361.html")</f>
        <v>https://www.lazada.vn/products/ruou-mo-vay-vang-nhat-ban-i2955960361.html</v>
      </c>
      <c r="C3118" s="10" t="s">
        <v>3118</v>
      </c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8">
        <v>7973.0</v>
      </c>
      <c r="B3119" s="9" t="str">
        <f>HYPERLINK("https://www.lazada.vn/products/bot-tra-xanh-matcha-neicha-dai-loan-i2732590442.html", "https://www.lazada.vn/products/bot-tra-xanh-matcha-neicha-dai-loan-i2732590442.html")</f>
        <v>https://www.lazada.vn/products/bot-tra-xanh-matcha-neicha-dai-loan-i2732590442.html</v>
      </c>
      <c r="C3119" s="10" t="s">
        <v>3119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8">
        <v>7974.0</v>
      </c>
      <c r="B3120" s="9" t="str">
        <f>HYPERLINK("https://www.lazada.vn/products/vang-trang-la-vieille-eglise-100-sauvignon-i2280260720.html", "https://www.lazada.vn/products/vang-trang-la-vieille-eglise-100-sauvignon-i2280260720.html")</f>
        <v>https://www.lazada.vn/products/vang-trang-la-vieille-eglise-100-sauvignon-i2280260720.html</v>
      </c>
      <c r="C3120" s="10" t="s">
        <v>3120</v>
      </c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8">
        <v>7975.0</v>
      </c>
      <c r="B3121" s="9" t="str">
        <f>HYPERLINK("https://www.lazada.vn/products/dried-fig-100g-snack-baking-decoration-big-dried-fruit-crisp-frozen-dry-fig-from-weihai-shandong-china-dried-fruit-bag-packaging-i2923795526.html", "https://www.lazada.vn/products/dried-fig-100g-snack-baking-decoration-big-dried-fruit-crisp-frozen-dry-fig-from-weihai-shandong-china-dried-fruit-bag-packaging-i2923795526.html")</f>
        <v>https://www.lazada.vn/products/dried-fig-100g-snack-baking-decoration-big-dried-fruit-crisp-frozen-dry-fig-from-weihai-shandong-china-dried-fruit-bag-packaging-i2923795526.html</v>
      </c>
      <c r="C3121" s="10" t="s">
        <v>3121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8">
        <v>7976.0</v>
      </c>
      <c r="B3122" s="9" t="str">
        <f>HYPERLINK("https://www.lazada.vn/products/mien-khoai-lang-han-quoc-yongsoo-goi-1kg-mien-kho-han-quoc-so-1-thuc-pham-gia-dung-hung-phuc-i3044991859.html", "https://www.lazada.vn/products/mien-khoai-lang-han-quoc-yongsoo-goi-1kg-mien-kho-han-quoc-so-1-thuc-pham-gia-dung-hung-phuc-i3044991859.html")</f>
        <v>https://www.lazada.vn/products/mien-khoai-lang-han-quoc-yongsoo-goi-1kg-mien-kho-han-quoc-so-1-thuc-pham-gia-dung-hung-phuc-i3044991859.html</v>
      </c>
      <c r="C3122" s="10" t="s">
        <v>3122</v>
      </c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8">
        <v>7977.0</v>
      </c>
      <c r="B3123" s="9" t="str">
        <f>HYPERLINK("https://www.lazada.vn/products/kho-muc-vung-tau-loai-vua-40-50-con-day-minh-ngot-thit-hang-chat-luong-cao-hoa-toc-hang-san-tphcm-i3043310606.html", "https://www.lazada.vn/products/kho-muc-vung-tau-loai-vua-40-50-con-day-minh-ngot-thit-hang-chat-luong-cao-hoa-toc-hang-san-tphcm-i3043310606.html")</f>
        <v>https://www.lazada.vn/products/kho-muc-vung-tau-loai-vua-40-50-con-day-minh-ngot-thit-hang-chat-luong-cao-hoa-toc-hang-san-tphcm-i3043310606.html</v>
      </c>
      <c r="C3123" s="10" t="s">
        <v>3123</v>
      </c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8">
        <v>7978.0</v>
      </c>
      <c r="B3124" s="9" t="str">
        <f>HYPERLINK("https://www.lazada.vn/products/ruou-vang-do-huso-chileno-merlot-750ml-i2680557470.html", "https://www.lazada.vn/products/ruou-vang-do-huso-chileno-merlot-750ml-i2680557470.html")</f>
        <v>https://www.lazada.vn/products/ruou-vang-do-huso-chileno-merlot-750ml-i2680557470.html</v>
      </c>
      <c r="C3124" s="10" t="s">
        <v>3124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8">
        <v>7979.0</v>
      </c>
      <c r="B3125" s="9" t="str">
        <f>HYPERLINK("https://www.lazada.vn/products/combo-10-banh-khoai-lang-tim-bot-yen-mach-1-qua-tang-ngau-nhien-i2673461271.html", "https://www.lazada.vn/products/combo-10-banh-khoai-lang-tim-bot-yen-mach-1-qua-tang-ngau-nhien-i2673461271.html")</f>
        <v>https://www.lazada.vn/products/combo-10-banh-khoai-lang-tim-bot-yen-mach-1-qua-tang-ngau-nhien-i2673461271.html</v>
      </c>
      <c r="C3125" s="10" t="s">
        <v>3125</v>
      </c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8">
        <v>7980.0</v>
      </c>
      <c r="B3126" s="9" t="str">
        <f>HYPERLINK("https://www.lazada.vn/products/500g-thach-tam-giac-hm-hot-hit-mix-cac-vi-trai-cay-sieu-ngon-i2550614442.html", "https://www.lazada.vn/products/500g-thach-tam-giac-hm-hot-hit-mix-cac-vi-trai-cay-sieu-ngon-i2550614442.html")</f>
        <v>https://www.lazada.vn/products/500g-thach-tam-giac-hm-hot-hit-mix-cac-vi-trai-cay-sieu-ngon-i2550614442.html</v>
      </c>
      <c r="C3126" s="10" t="s">
        <v>3126</v>
      </c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8">
        <v>7981.0</v>
      </c>
      <c r="B3127" s="9" t="str">
        <f>HYPERLINK("https://www.lazada.vn/products/banh-bong-lan-cuon-kem-solite-vi-bo-sua-hop-20-goi-i1934839100.html", "https://www.lazada.vn/products/banh-bong-lan-cuon-kem-solite-vi-bo-sua-hop-20-goi-i1934839100.html")</f>
        <v>https://www.lazada.vn/products/banh-bong-lan-cuon-kem-solite-vi-bo-sua-hop-20-goi-i1934839100.html</v>
      </c>
      <c r="C3127" s="10" t="s">
        <v>3127</v>
      </c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8">
        <v>7982.0</v>
      </c>
      <c r="B3128" s="9" t="str">
        <f>HYPERLINK("https://www.lazada.vn/products/siro-casablanca-chai-750ml-blue-curacao-i2623139881.html", "https://www.lazada.vn/products/siro-casablanca-chai-750ml-blue-curacao-i2623139881.html")</f>
        <v>https://www.lazada.vn/products/siro-casablanca-chai-750ml-blue-curacao-i2623139881.html</v>
      </c>
      <c r="C3128" s="10" t="s">
        <v>3128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8">
        <v>7983.0</v>
      </c>
      <c r="B3129" s="9" t="str">
        <f>HYPERLINK("https://www.lazada.vn/products/bot-me-den-hat-sen-bich-chi-10-goi-x35g-co-i2725229406.html", "https://www.lazada.vn/products/bot-me-den-hat-sen-bich-chi-10-goi-x35g-co-i2725229406.html")</f>
        <v>https://www.lazada.vn/products/bot-me-den-hat-sen-bich-chi-10-goi-x35g-co-i2725229406.html</v>
      </c>
      <c r="C3129" s="10" t="s">
        <v>3129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8">
        <v>7984.0</v>
      </c>
      <c r="B3130" s="9" t="str">
        <f>HYPERLINK("https://www.lazada.vn/products/banh-gau-nhan-kem-mix-vi-loai-dac-biet-i2651838341.html", "https://www.lazada.vn/products/banh-gau-nhan-kem-mix-vi-loai-dac-biet-i2651838341.html")</f>
        <v>https://www.lazada.vn/products/banh-gau-nhan-kem-mix-vi-loai-dac-biet-i2651838341.html</v>
      </c>
      <c r="C3130" s="10" t="s">
        <v>3130</v>
      </c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8">
        <v>7985.0</v>
      </c>
      <c r="B3131" s="9" t="str">
        <f>HYPERLINK("https://www.lazada.vn/products/tang-kem-tui-gel-da-lanhcombo-2-thanh-x-35g-socola-sua-milk-chocolate-frestables-mr-beast-chuan-my-mrbeast-i2941913189.html", "https://www.lazada.vn/products/tang-kem-tui-gel-da-lanhcombo-2-thanh-x-35g-socola-sua-milk-chocolate-frestables-mr-beast-chuan-my-mrbeast-i2941913189.html")</f>
        <v>https://www.lazada.vn/products/tang-kem-tui-gel-da-lanhcombo-2-thanh-x-35g-socola-sua-milk-chocolate-frestables-mr-beast-chuan-my-mrbeast-i2941913189.html</v>
      </c>
      <c r="C3131" s="10" t="s">
        <v>3131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8">
        <v>7986.0</v>
      </c>
      <c r="B3132" s="9" t="str">
        <f>HYPERLINK("https://www.lazada.vn/products/hcm-combo-2-hop-18-goi_ca-phe-sua-dua-4in1-_tinh-tuy-ca-phe-viet_-dat-tieu-chuan-xuat-khau_-uong-la-ghien_-vi-ngon-kho-cuong-a-i2724816611.html", "https://www.lazada.vn/products/hcm-combo-2-hop-18-goi_ca-phe-sua-dua-4in1-_tinh-tuy-ca-phe-viet_-dat-tieu-chuan-xuat-khau_-uong-la-ghien_-vi-ngon-kho-cuong-a-i2724816611.html")</f>
        <v>https://www.lazada.vn/products/hcm-combo-2-hop-18-goi_ca-phe-sua-dua-4in1-_tinh-tuy-ca-phe-viet_-dat-tieu-chuan-xuat-khau_-uong-la-ghien_-vi-ngon-kho-cuong-a-i2724816611.html</v>
      </c>
      <c r="C3132" s="10" t="s">
        <v>3132</v>
      </c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8">
        <v>7987.0</v>
      </c>
      <c r="B3133" s="9" t="str">
        <f>HYPERLINK("https://www.lazada.vn/products/haldirams-roasted-chana-200g-i2524230473.html", "https://www.lazada.vn/products/haldirams-roasted-chana-200g-i2524230473.html")</f>
        <v>https://www.lazada.vn/products/haldirams-roasted-chana-200g-i2524230473.html</v>
      </c>
      <c r="C3133" s="10" t="s">
        <v>3133</v>
      </c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8">
        <v>7988.0</v>
      </c>
      <c r="B3134" s="9" t="str">
        <f>HYPERLINK("https://www.lazada.vn/products/thung-24-lon-bia-gold-crown-campuchia-330ml-nong-do-45-i2995503579.html", "https://www.lazada.vn/products/thung-24-lon-bia-gold-crown-campuchia-330ml-nong-do-45-i2995503579.html")</f>
        <v>https://www.lazada.vn/products/thung-24-lon-bia-gold-crown-campuchia-330ml-nong-do-45-i2995503579.html</v>
      </c>
      <c r="C3134" s="10" t="s">
        <v>3134</v>
      </c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8">
        <v>7989.0</v>
      </c>
      <c r="B3135" s="9" t="str">
        <f>HYPERLINK("https://www.lazada.vn/products/pizza-nhan-nhoi-chicago-vi-ga-cay-gap-3-lan-pho-mai-400gr-i2891972310.html", "https://www.lazada.vn/products/pizza-nhan-nhoi-chicago-vi-ga-cay-gap-3-lan-pho-mai-400gr-i2891972310.html")</f>
        <v>https://www.lazada.vn/products/pizza-nhan-nhoi-chicago-vi-ga-cay-gap-3-lan-pho-mai-400gr-i2891972310.html</v>
      </c>
      <c r="C3135" s="10" t="s">
        <v>3135</v>
      </c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8">
        <v>7990.0</v>
      </c>
      <c r="B3136" s="9" t="str">
        <f>HYPERLINK("https://www.lazada.vn/products/banh-quy-hat-tieu-nho-goi-rieng-biet-banh-quy-nuong-kho-hat-dieu-hat-dua-suc-khoe-va-thuc-pham-chuc-nang-banh-quy-nuts-fruits-i2923530942.html", "https://www.lazada.vn/products/banh-quy-hat-tieu-nho-goi-rieng-biet-banh-quy-nuong-kho-hat-dieu-hat-dua-suc-khoe-va-thuc-pham-chuc-nang-banh-quy-nuts-fruits-i2923530942.html")</f>
        <v>https://www.lazada.vn/products/banh-quy-hat-tieu-nho-goi-rieng-biet-banh-quy-nuong-kho-hat-dieu-hat-dua-suc-khoe-va-thuc-pham-chuc-nang-banh-quy-nuts-fruits-i2923530942.html</v>
      </c>
      <c r="C3136" s="10" t="s">
        <v>3136</v>
      </c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8">
        <v>7991.0</v>
      </c>
      <c r="B3137" s="9" t="str">
        <f>HYPERLINK("https://www.lazada.vn/products/1-hop-ca-cao-giam-can-himiko-slim-cam-ket-hang-chat-luong-i2365967385.html", "https://www.lazada.vn/products/1-hop-ca-cao-giam-can-himiko-slim-cam-ket-hang-chat-luong-i2365967385.html")</f>
        <v>https://www.lazada.vn/products/1-hop-ca-cao-giam-can-himiko-slim-cam-ket-hang-chat-luong-i2365967385.html</v>
      </c>
      <c r="C3137" s="10" t="s">
        <v>3137</v>
      </c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8">
        <v>7992.0</v>
      </c>
      <c r="B3138" s="9" t="str">
        <f>HYPERLINK("https://www.lazada.vn/products/hoa-toc-hcm-loc-24-lon-nuoc-giai-khat-schweppes-dry-ginger-ale-320mllon-sale-253-coca-cola-chinh-hang-i2580769860.html", "https://www.lazada.vn/products/hoa-toc-hcm-loc-24-lon-nuoc-giai-khat-schweppes-dry-ginger-ale-320mllon-sale-253-coca-cola-chinh-hang-i2580769860.html")</f>
        <v>https://www.lazada.vn/products/hoa-toc-hcm-loc-24-lon-nuoc-giai-khat-schweppes-dry-ginger-ale-320mllon-sale-253-coca-cola-chinh-hang-i2580769860.html</v>
      </c>
      <c r="C3138" s="10" t="s">
        <v>3138</v>
      </c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8">
        <v>7993.0</v>
      </c>
      <c r="B3139" s="9" t="str">
        <f>HYPERLINK("https://www.lazada.vn/products/snack-vo-so-snack-so-3-mau-250g-thom-ngon-snack-food-thuc-an-vat-thom-ngon-i2828200628.html", "https://www.lazada.vn/products/snack-vo-so-snack-so-3-mau-250g-thom-ngon-snack-food-thuc-an-vat-thom-ngon-i2828200628.html")</f>
        <v>https://www.lazada.vn/products/snack-vo-so-snack-so-3-mau-250g-thom-ngon-snack-food-thuc-an-vat-thom-ngon-i2828200628.html</v>
      </c>
      <c r="C3139" s="10" t="s">
        <v>3139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8">
        <v>7994.0</v>
      </c>
      <c r="B3140" s="9" t="str">
        <f>HYPERLINK("https://www.lazada.vn/products/trehold-one-village-dried-fruit-and-yogurt-blocks-in-canister-freeze-dried-strawberry-blueberry-peach-cheese-probiotic-snacks-i2923795376.html", "https://www.lazada.vn/products/trehold-one-village-dried-fruit-and-yogurt-blocks-in-canister-freeze-dried-strawberry-blueberry-peach-cheese-probiotic-snacks-i2923795376.html")</f>
        <v>https://www.lazada.vn/products/trehold-one-village-dried-fruit-and-yogurt-blocks-in-canister-freeze-dried-strawberry-blueberry-peach-cheese-probiotic-snacks-i2923795376.html</v>
      </c>
      <c r="C3140" s="10" t="s">
        <v>3140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8">
        <v>7995.0</v>
      </c>
      <c r="B3141" s="9" t="str">
        <f>HYPERLINK("https://www.lazada.vn/products/ca-na-ngam-chua-ngot-hu-500g-luon-nuoc-700gr-i3043224938.html", "https://www.lazada.vn/products/ca-na-ngam-chua-ngot-hu-500g-luon-nuoc-700gr-i3043224938.html")</f>
        <v>https://www.lazada.vn/products/ca-na-ngam-chua-ngot-hu-500g-luon-nuoc-700gr-i3043224938.html</v>
      </c>
      <c r="C3141" s="10" t="s">
        <v>3141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8">
        <v>7996.0</v>
      </c>
      <c r="B3142" s="9" t="str">
        <f>HYPERLINK("https://www.lazada.vn/products/co-san-anh-that-chinh-hang-set-ruou-3-ong-phuoc-loc-tho-750ml-binh-set-ruou-sake-thuong-hieu-nhat-hakushu-i2929751988.html", "https://www.lazada.vn/products/co-san-anh-that-chinh-hang-set-ruou-3-ong-phuoc-loc-tho-750ml-binh-set-ruou-sake-thuong-hieu-nhat-hakushu-i2929751988.html")</f>
        <v>https://www.lazada.vn/products/co-san-anh-that-chinh-hang-set-ruou-3-ong-phuoc-loc-tho-750ml-binh-set-ruou-sake-thuong-hieu-nhat-hakushu-i2929751988.html</v>
      </c>
      <c r="C3142" s="10" t="s">
        <v>3142</v>
      </c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8">
        <v>7997.0</v>
      </c>
      <c r="B3143" s="9" t="str">
        <f>HYPERLINK("https://www.lazada.vn/products/loc-12-banh-que-socola-ticky-thai-lan-12-hop-tang-1-banh-an-vat-i1933156906.html", "https://www.lazada.vn/products/loc-12-banh-que-socola-ticky-thai-lan-12-hop-tang-1-banh-an-vat-i1933156906.html")</f>
        <v>https://www.lazada.vn/products/loc-12-banh-que-socola-ticky-thai-lan-12-hop-tang-1-banh-an-vat-i1933156906.html</v>
      </c>
      <c r="C3143" s="10" t="s">
        <v>3143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8">
        <v>7998.0</v>
      </c>
      <c r="B3144" s="9" t="str">
        <f>HYPERLINK("https://www.lazada.vn/products/tui-1kg-thach-tam-giac-hm-hot-hit-mix-cac-vi-trai-cay-sieu-ngon-i2550587525.html", "https://www.lazada.vn/products/tui-1kg-thach-tam-giac-hm-hot-hit-mix-cac-vi-trai-cay-sieu-ngon-i2550587525.html")</f>
        <v>https://www.lazada.vn/products/tui-1kg-thach-tam-giac-hm-hot-hit-mix-cac-vi-trai-cay-sieu-ngon-i2550587525.html</v>
      </c>
      <c r="C3144" s="10" t="s">
        <v>3144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8">
        <v>7999.0</v>
      </c>
      <c r="B3145" s="9" t="str">
        <f>HYPERLINK("https://www.lazada.vn/products/vang-do-chateau-la-bessane-margaux-750ml-i2280257182.html", "https://www.lazada.vn/products/vang-do-chateau-la-bessane-margaux-750ml-i2280257182.html")</f>
        <v>https://www.lazada.vn/products/vang-do-chateau-la-bessane-margaux-750ml-i2280257182.html</v>
      </c>
      <c r="C3145" s="10" t="s">
        <v>3145</v>
      </c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8">
        <v>8000.0</v>
      </c>
      <c r="B3146" s="9" t="str">
        <f>HYPERLINK("https://www.lazada.vn/products/nuoc-tang-luc-nhat-ban-lipovitan-honey-lon-thung-250ml24-lon-i2732470655.html", "https://www.lazada.vn/products/nuoc-tang-luc-nhat-ban-lipovitan-honey-lon-thung-250ml24-lon-i2732470655.html")</f>
        <v>https://www.lazada.vn/products/nuoc-tang-luc-nhat-ban-lipovitan-honey-lon-thung-250ml24-lon-i2732470655.html</v>
      </c>
      <c r="C3146" s="10" t="s">
        <v>3146</v>
      </c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8">
        <v>8001.0</v>
      </c>
      <c r="B3147" s="9" t="str">
        <f>HYPERLINK("https://www.lazada.vn/products/han-su-dung-2832025-loc-3-ly-do-105gr-banh-gao-tokpokki-han-quoc-vi-truyen-thong-ofood-i3036173913.html", "https://www.lazada.vn/products/han-su-dung-2832025-loc-3-ly-do-105gr-banh-gao-tokpokki-han-quoc-vi-truyen-thong-ofood-i3036173913.html")</f>
        <v>https://www.lazada.vn/products/han-su-dung-2832025-loc-3-ly-do-105gr-banh-gao-tokpokki-han-quoc-vi-truyen-thong-ofood-i3036173913.html</v>
      </c>
      <c r="C3147" s="10" t="s">
        <v>3147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8">
        <v>8002.0</v>
      </c>
      <c r="B3148" s="9" t="str">
        <f>HYPERLINK("https://www.lazada.vn/products/combo-6-lon-nuoc-dua-tra-dao-cam-sa-vietcoco-240ml-i2820944140.html", "https://www.lazada.vn/products/combo-6-lon-nuoc-dua-tra-dao-cam-sa-vietcoco-240ml-i2820944140.html")</f>
        <v>https://www.lazada.vn/products/combo-6-lon-nuoc-dua-tra-dao-cam-sa-vietcoco-240ml-i2820944140.html</v>
      </c>
      <c r="C3148" s="10" t="s">
        <v>3148</v>
      </c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8">
        <v>8003.0</v>
      </c>
      <c r="B3149" s="9" t="str">
        <f>HYPERLINK("https://www.lazada.vn/products/bim-bim-khong-lo-chu-soc-goi-528g-sieu-hot-hit-i2651416431.html", "https://www.lazada.vn/products/bim-bim-khong-lo-chu-soc-goi-528g-sieu-hot-hit-i2651416431.html")</f>
        <v>https://www.lazada.vn/products/bim-bim-khong-lo-chu-soc-goi-528g-sieu-hot-hit-i2651416431.html</v>
      </c>
      <c r="C3149" s="10" t="s">
        <v>3149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8">
        <v>8004.0</v>
      </c>
      <c r="B3150" s="9" t="str">
        <f>HYPERLINK("https://www.lazada.vn/products/tet-socola-ailisha-tim-8-vien-len-gio-qua-tet-sang-trong-thap-le-oan-tai-loc-2025-i2940816042.html", "https://www.lazada.vn/products/tet-socola-ailisha-tim-8-vien-len-gio-qua-tet-sang-trong-thap-le-oan-tai-loc-2025-i2940816042.html")</f>
        <v>https://www.lazada.vn/products/tet-socola-ailisha-tim-8-vien-len-gio-qua-tet-sang-trong-thap-le-oan-tai-loc-2025-i2940816042.html</v>
      </c>
      <c r="C3150" s="10" t="s">
        <v>3150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8">
        <v>8005.0</v>
      </c>
      <c r="B3151" s="9" t="str">
        <f>HYPERLINK("https://www.lazada.vn/products/ruou-vang-do-huso-chileno-cabernet-sauvignon-750ml-i2680413764.html", "https://www.lazada.vn/products/ruou-vang-do-huso-chileno-cabernet-sauvignon-750ml-i2680413764.html")</f>
        <v>https://www.lazada.vn/products/ruou-vang-do-huso-chileno-cabernet-sauvignon-750ml-i2680413764.html</v>
      </c>
      <c r="C3151" s="10" t="s">
        <v>3151</v>
      </c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8">
        <v>8006.0</v>
      </c>
      <c r="B3152" s="9" t="str">
        <f>HYPERLINK("https://www.lazada.vn/products/combo-12-cai-banh-mi-ngan-lop-bo-sua-chunlian-thom-ngon-l-an-vat-nha-heo-i2670439341.html", "https://www.lazada.vn/products/combo-12-cai-banh-mi-ngan-lop-bo-sua-chunlian-thom-ngon-l-an-vat-nha-heo-i2670439341.html")</f>
        <v>https://www.lazada.vn/products/combo-12-cai-banh-mi-ngan-lop-bo-sua-chunlian-thom-ngon-l-an-vat-nha-heo-i2670439341.html</v>
      </c>
      <c r="C3152" s="10" t="s">
        <v>3152</v>
      </c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8">
        <v>8007.0</v>
      </c>
      <c r="B3153" s="9" t="str">
        <f>HYPERLINK("https://www.lazada.vn/products/1kg-thach-tam-giac-hm-hot-hit-mix-cac-vi-trai-cay-sieu-ngon-i2550541589.html", "https://www.lazada.vn/products/1kg-thach-tam-giac-hm-hot-hit-mix-cac-vi-trai-cay-sieu-ngon-i2550541589.html")</f>
        <v>https://www.lazada.vn/products/1kg-thach-tam-giac-hm-hot-hit-mix-cac-vi-trai-cay-sieu-ngon-i2550541589.html</v>
      </c>
      <c r="C3153" s="10" t="s">
        <v>3153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8">
        <v>8008.0</v>
      </c>
      <c r="B3154" s="9" t="str">
        <f>HYPERLINK("https://www.lazada.vn/products/hong-bang-dried-sand-fruit-500g-tui-dung-trai-cay-kho-tuy-chon-huong-vi-sua-chua-ngot-ngao-san-pham-dac-biet-cua-noi-mong-i2923795365.html", "https://www.lazada.vn/products/hong-bang-dried-sand-fruit-500g-tui-dung-trai-cay-kho-tuy-chon-huong-vi-sua-chua-ngot-ngao-san-pham-dac-biet-cua-noi-mong-i2923795365.html")</f>
        <v>https://www.lazada.vn/products/hong-bang-dried-sand-fruit-500g-tui-dung-trai-cay-kho-tuy-chon-huong-vi-sua-chua-ngot-ngao-san-pham-dac-biet-cua-noi-mong-i2923795365.html</v>
      </c>
      <c r="C3154" s="10" t="s">
        <v>3154</v>
      </c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8">
        <v>8009.0</v>
      </c>
      <c r="B3155" s="9" t="str">
        <f>HYPERLINK("https://www.lazada.vn/products/giam-can-vip-7s-yanhee-giam-ngay-3-5-kg-tuan-khong-tac-dung-phu-i3042293457.html", "https://www.lazada.vn/products/giam-can-vip-7s-yanhee-giam-ngay-3-5-kg-tuan-khong-tac-dung-phu-i3042293457.html")</f>
        <v>https://www.lazada.vn/products/giam-can-vip-7s-yanhee-giam-ngay-3-5-kg-tuan-khong-tac-dung-phu-i3042293457.html</v>
      </c>
      <c r="C3155" s="10" t="s">
        <v>3155</v>
      </c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8">
        <v>8010.0</v>
      </c>
      <c r="B3156" s="9" t="str">
        <f>HYPERLINK("https://www.lazada.vn/products/date-moi-072025-banh-lu-bo-sua-truyen-thong-veritable-petit-beurre-phap-200g-i2922892842.html", "https://www.lazada.vn/products/date-moi-072025-banh-lu-bo-sua-truyen-thong-veritable-petit-beurre-phap-200g-i2922892842.html")</f>
        <v>https://www.lazada.vn/products/date-moi-072025-banh-lu-bo-sua-truyen-thong-veritable-petit-beurre-phap-200g-i2922892842.html</v>
      </c>
      <c r="C3156" s="10" t="s">
        <v>3156</v>
      </c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8">
        <v>8011.0</v>
      </c>
      <c r="B3157" s="9" t="str">
        <f>HYPERLINK("https://www.lazada.vn/products/thung-30-goi-mi-hao-hao-acecook-big-100gr-new-i2885224178.html", "https://www.lazada.vn/products/thung-30-goi-mi-hao-hao-acecook-big-100gr-new-i2885224178.html")</f>
        <v>https://www.lazada.vn/products/thung-30-goi-mi-hao-hao-acecook-big-100gr-new-i2885224178.html</v>
      </c>
      <c r="C3157" s="10" t="s">
        <v>3157</v>
      </c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8">
        <v>8012.0</v>
      </c>
      <c r="B3158" s="9" t="str">
        <f>HYPERLINK("https://www.lazada.vn/products/thung-24-lon-bia-angkor-campuchia-330ml-nong-do-5-i2995494594.html", "https://www.lazada.vn/products/thung-24-lon-bia-angkor-campuchia-330ml-nong-do-5-i2995494594.html")</f>
        <v>https://www.lazada.vn/products/thung-24-lon-bia-angkor-campuchia-330ml-nong-do-5-i2995494594.html</v>
      </c>
      <c r="C3158" s="10" t="s">
        <v>3158</v>
      </c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8">
        <v>8013.0</v>
      </c>
      <c r="B3159" s="9" t="str">
        <f>HYPERLINK("https://www.lazada.vn/products/bakharwadi-250g-i2523336357.html", "https://www.lazada.vn/products/bakharwadi-250g-i2523336357.html")</f>
        <v>https://www.lazada.vn/products/bakharwadi-250g-i2523336357.html</v>
      </c>
      <c r="C3159" s="10" t="s">
        <v>3159</v>
      </c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8">
        <v>8014.0</v>
      </c>
      <c r="B3160" s="9" t="str">
        <f>HYPERLINK("https://www.lazada.vn/products/socola-nestle-milo-thanh-choco-bar-thanh-30g-i2365507557.html", "https://www.lazada.vn/products/socola-nestle-milo-thanh-choco-bar-thanh-30g-i2365507557.html")</f>
        <v>https://www.lazada.vn/products/socola-nestle-milo-thanh-choco-bar-thanh-30g-i2365507557.html</v>
      </c>
      <c r="C3160" s="10" t="s">
        <v>3160</v>
      </c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8">
        <v>8015.0</v>
      </c>
      <c r="B3161" s="9" t="str">
        <f>HYPERLINK("https://www.lazada.vn/products/bot-can-tay-giam-can-tinh-la-sen-tuoi-ob-nguyen-chat-50g-i2723911301.html", "https://www.lazada.vn/products/bot-can-tay-giam-can-tinh-la-sen-tuoi-ob-nguyen-chat-50g-i2723911301.html")</f>
        <v>https://www.lazada.vn/products/bot-can-tay-giam-can-tinh-la-sen-tuoi-ob-nguyen-chat-50g-i2723911301.html</v>
      </c>
      <c r="C3161" s="10" t="s">
        <v>3161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8">
        <v>8016.0</v>
      </c>
      <c r="B3162" s="9" t="str">
        <f>HYPERLINK("https://www.lazada.vn/products/date-8102025-banh-quy-gion-vi-rau-cu-va-pho-mai-288g-co-si-i1922006136.html", "https://www.lazada.vn/products/date-8102025-banh-quy-gion-vi-rau-cu-va-pho-mai-288g-co-si-i1922006136.html")</f>
        <v>https://www.lazada.vn/products/date-8102025-banh-quy-gion-vi-rau-cu-va-pho-mai-288g-co-si-i1922006136.html</v>
      </c>
      <c r="C3162" s="10" t="s">
        <v>3162</v>
      </c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8">
        <v>8017.0</v>
      </c>
      <c r="B3163" s="9" t="str">
        <f>HYPERLINK("https://www.lazada.vn/products/combo-5-hop-ragu-bo-chay-vissan-170g-date-2027-hsd-36-thang-i3043132366.html", "https://www.lazada.vn/products/combo-5-hop-ragu-bo-chay-vissan-170g-date-2027-hsd-36-thang-i3043132366.html")</f>
        <v>https://www.lazada.vn/products/combo-5-hop-ragu-bo-chay-vissan-170g-date-2027-hsd-36-thang-i3043132366.html</v>
      </c>
      <c r="C3163" s="10" t="s">
        <v>3163</v>
      </c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8">
        <v>8018.0</v>
      </c>
      <c r="B3164" s="9" t="str">
        <f>HYPERLINK("https://www.lazada.vn/products/ruou-vang-do-raices-tempranillo-750ml-i2680407693.html", "https://www.lazada.vn/products/ruou-vang-do-raices-tempranillo-750ml-i2680407693.html")</f>
        <v>https://www.lazada.vn/products/ruou-vang-do-raices-tempranillo-750ml-i2680407693.html</v>
      </c>
      <c r="C3164" s="10" t="s">
        <v>3164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8">
        <v>8019.0</v>
      </c>
      <c r="B3165" s="9" t="str">
        <f>HYPERLINK("https://www.lazada.vn/products/o-xin-lai-cai-xoan-bot-bot-thay-the-bua-an-i2721591057.html", "https://www.lazada.vn/products/o-xin-lai-cai-xoan-bot-bot-thay-the-bua-an-i2721591057.html")</f>
        <v>https://www.lazada.vn/products/o-xin-lai-cai-xoan-bot-bot-thay-the-bua-an-i2721591057.html</v>
      </c>
      <c r="C3165" s="10" t="s">
        <v>3165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8">
        <v>8020.0</v>
      </c>
      <c r="B3166" s="9" t="str">
        <f>HYPERLINK("https://www.lazada.vn/products/combo-5-goi-snack-mi-vien-an-lien-vi-ga-cay-thoi-lua-thai-lan-38g-m07-beegin-food-store-i2651411137.html", "https://www.lazada.vn/products/combo-5-goi-snack-mi-vien-an-lien-vi-ga-cay-thoi-lua-thai-lan-38g-m07-beegin-food-store-i2651411137.html")</f>
        <v>https://www.lazada.vn/products/combo-5-goi-snack-mi-vien-an-lien-vi-ga-cay-thoi-lua-thai-lan-38g-m07-beegin-food-store-i2651411137.html</v>
      </c>
      <c r="C3166" s="10" t="s">
        <v>3166</v>
      </c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8">
        <v>8021.0</v>
      </c>
      <c r="B3167" s="9" t="str">
        <f>HYPERLINK("https://www.lazada.vn/products/hang-moi-tetkeo-socola-nga-cten-do-so-co-la-hanh-nhan-nga-cten-goi-500gr-hang-nhap-khau-i2940680934.html", "https://www.lazada.vn/products/hang-moi-tetkeo-socola-nga-cten-do-so-co-la-hanh-nhan-nga-cten-goi-500gr-hang-nhap-khau-i2940680934.html")</f>
        <v>https://www.lazada.vn/products/hang-moi-tetkeo-socola-nga-cten-do-so-co-la-hanh-nhan-nga-cten-goi-500gr-hang-nhap-khau-i2940680934.html</v>
      </c>
      <c r="C3167" s="10" t="s">
        <v>3167</v>
      </c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8">
        <v>8022.0</v>
      </c>
      <c r="B3168" s="9" t="str">
        <f>HYPERLINK("https://www.lazada.vn/products/banh-gao-dinh-duong-kun-vi-tu-nhienvi-nuoc-tuong-moi-i2668828754.html", "https://www.lazada.vn/products/banh-gao-dinh-duong-kun-vi-tu-nhienvi-nuoc-tuong-moi-i2668828754.html")</f>
        <v>https://www.lazada.vn/products/banh-gao-dinh-duong-kun-vi-tu-nhienvi-nuoc-tuong-moi-i2668828754.html</v>
      </c>
      <c r="C3168" s="10" t="s">
        <v>3168</v>
      </c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8">
        <v>8023.0</v>
      </c>
      <c r="B3169" s="9" t="str">
        <f>HYPERLINK("https://www.lazada.vn/products/nhap-rs0822-giam-30k-cho-don-99kluong-kho-cacao-hop-700gr-luong-kho-quan-doi-huong-vi-cacao-bo-sung-chat-xo-i1921821977.html", "https://www.lazada.vn/products/nhap-rs0822-giam-30k-cho-don-99kluong-kho-cacao-hop-700gr-luong-kho-quan-doi-huong-vi-cacao-bo-sung-chat-xo-i1921821977.html")</f>
        <v>https://www.lazada.vn/products/nhap-rs0822-giam-30k-cho-don-99kluong-kho-cacao-hop-700gr-luong-kho-quan-doi-huong-vi-cacao-bo-sung-chat-xo-i1921821977.html</v>
      </c>
      <c r="C3169" s="10" t="s">
        <v>3169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8">
        <v>8024.0</v>
      </c>
      <c r="B3170" s="9" t="str">
        <f>HYPERLINK("https://www.lazada.vn/products/doi-vang-ifarm-240ml-i2621807213.html", "https://www.lazada.vn/products/doi-vang-ifarm-240ml-i2621807213.html")</f>
        <v>https://www.lazada.vn/products/doi-vang-ifarm-240ml-i2621807213.html</v>
      </c>
      <c r="C3170" s="10" t="s">
        <v>3170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8">
        <v>8025.0</v>
      </c>
      <c r="B3171" s="9" t="str">
        <f>HYPERLINK("https://www.lazada.vn/products/ca-phe-vinacafe-3in1-gold-orginal-tui-24goi-x-20g-i2724008031.html", "https://www.lazada.vn/products/ca-phe-vinacafe-3in1-gold-orginal-tui-24goi-x-20g-i2724008031.html")</f>
        <v>https://www.lazada.vn/products/ca-phe-vinacafe-3in1-gold-orginal-tui-24goi-x-20g-i2724008031.html</v>
      </c>
      <c r="C3171" s="10" t="s">
        <v>3171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8">
        <v>8026.0</v>
      </c>
      <c r="B3172" s="9" t="str">
        <f>HYPERLINK("https://www.lazada.vn/products/thung-24-lon-bia-anchor-white-campuchia-330ml-nong-do-45-anchor-bac-i2995275799.html", "https://www.lazada.vn/products/thung-24-lon-bia-anchor-white-campuchia-330ml-nong-do-45-anchor-bac-i2995275799.html")</f>
        <v>https://www.lazada.vn/products/thung-24-lon-bia-anchor-white-campuchia-330ml-nong-do-45-anchor-bac-i2995275799.html</v>
      </c>
      <c r="C3172" s="10" t="s">
        <v>3172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8">
        <v>8027.0</v>
      </c>
      <c r="B3173" s="9" t="str">
        <f>HYPERLINK("https://www.lazada.vn/products/freeship-mao-dai-quyen-quy-moutai-phien-ban-xanh-duong-sang-trong-i2899479693.html", "https://www.lazada.vn/products/freeship-mao-dai-quyen-quy-moutai-phien-ban-xanh-duong-sang-trong-i2899479693.html")</f>
        <v>https://www.lazada.vn/products/freeship-mao-dai-quyen-quy-moutai-phien-ban-xanh-duong-sang-trong-i2899479693.html</v>
      </c>
      <c r="C3173" s="10" t="s">
        <v>3173</v>
      </c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8">
        <v>8028.0</v>
      </c>
      <c r="B3174" s="9" t="str">
        <f>HYPERLINK("https://www.lazada.vn/products/siamnature-dried-lychee-no-added-sweet-and-sour-dry-fruit-snack-bangkok-chiang-mai-specialty-gift-packaged-in-a-bag-from-thailand-i2923794635.html", "https://www.lazada.vn/products/siamnature-dried-lychee-no-added-sweet-and-sour-dry-fruit-snack-bangkok-chiang-mai-specialty-gift-packaged-in-a-bag-from-thailand-i2923794635.html")</f>
        <v>https://www.lazada.vn/products/siamnature-dried-lychee-no-added-sweet-and-sour-dry-fruit-snack-bangkok-chiang-mai-specialty-gift-packaged-in-a-bag-from-thailand-i2923794635.html</v>
      </c>
      <c r="C3174" s="10" t="s">
        <v>3174</v>
      </c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8">
        <v>8029.0</v>
      </c>
      <c r="B3175" s="9" t="str">
        <f>HYPERLINK("https://www.lazada.vn/products/combo-5-hop-heo-ham-chayvissan-170g-date-2027-hsd-36-thang-i3043093496.html", "https://www.lazada.vn/products/combo-5-hop-heo-ham-chayvissan-170g-date-2027-hsd-36-thang-i3043093496.html")</f>
        <v>https://www.lazada.vn/products/combo-5-hop-heo-ham-chayvissan-170g-date-2027-hsd-36-thang-i3043093496.html</v>
      </c>
      <c r="C3175" s="10" t="s">
        <v>3175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8">
        <v>8030.0</v>
      </c>
      <c r="B3176" s="9" t="str">
        <f>HYPERLINK("https://www.lazada.vn/products/nuoc-tra-dai-loan-thao-moc-mat-ong-hoa-lai-xanh-chanh-day-o-long-tao-dao-trai-nghiem-huong-vi-diu-khat-thanh-mat-mua-he-i2731199774.html", "https://www.lazada.vn/products/nuoc-tra-dai-loan-thao-moc-mat-ong-hoa-lai-xanh-chanh-day-o-long-tao-dao-trai-nghiem-huong-vi-diu-khat-thanh-mat-mua-he-i2731199774.html")</f>
        <v>https://www.lazada.vn/products/nuoc-tra-dai-loan-thao-moc-mat-ong-hoa-lai-xanh-chanh-day-o-long-tao-dao-trai-nghiem-huong-vi-diu-khat-thanh-mat-mua-he-i2731199774.html</v>
      </c>
      <c r="C3176" s="10" t="s">
        <v>3176</v>
      </c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8">
        <v>8031.0</v>
      </c>
      <c r="B3177" s="9" t="str">
        <f>HYPERLINK("https://www.lazada.vn/products/mi-indomie-thung-40-goi-hoac-20-goi-theo-yeu-cau-i2567584057.html", "https://www.lazada.vn/products/mi-indomie-thung-40-goi-hoac-20-goi-theo-yeu-cau-i2567584057.html")</f>
        <v>https://www.lazada.vn/products/mi-indomie-thung-40-goi-hoac-20-goi-theo-yeu-cau-i2567584057.html</v>
      </c>
      <c r="C3177" s="10" t="s">
        <v>3177</v>
      </c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8">
        <v>8032.0</v>
      </c>
      <c r="B3178" s="9" t="str">
        <f>HYPERLINK("https://www.lazada.vn/products/500g-banh-quy-man-tuy-chon-banh-quy-dua-banh-quy-hinh-ca-banh-quy-tronbanh-quy-hat-ngoc-lien-hung-i2921710481.html", "https://www.lazada.vn/products/500g-banh-quy-man-tuy-chon-banh-quy-dua-banh-quy-hinh-ca-banh-quy-tronbanh-quy-hat-ngoc-lien-hung-i2921710481.html")</f>
        <v>https://www.lazada.vn/products/500g-banh-quy-man-tuy-chon-banh-quy-dua-banh-quy-hinh-ca-banh-quy-tronbanh-quy-hat-ngoc-lien-hung-i2921710481.html</v>
      </c>
      <c r="C3178" s="10" t="s">
        <v>3178</v>
      </c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8">
        <v>8033.0</v>
      </c>
      <c r="B3179" s="9" t="str">
        <f>HYPERLINK("https://www.lazada.vn/products/ruou-vang-do-1982-15-lit-co-ke-va-hop-i2679449490.html", "https://www.lazada.vn/products/ruou-vang-do-1982-15-lit-co-ke-va-hop-i2679449490.html")</f>
        <v>https://www.lazada.vn/products/ruou-vang-do-1982-15-lit-co-ke-va-hop-i2679449490.html</v>
      </c>
      <c r="C3179" s="10" t="s">
        <v>3179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8">
        <v>8034.0</v>
      </c>
      <c r="B3180" s="9" t="str">
        <f>HYPERLINK("https://www.lazada.vn/products/o-xin-lai-bot-thay-the-bua-an-yen-mach-i2721571198.html", "https://www.lazada.vn/products/o-xin-lai-bot-thay-the-bua-an-yen-mach-i2721571198.html")</f>
        <v>https://www.lazada.vn/products/o-xin-lai-bot-thay-the-bua-an-yen-mach-i2721571198.html</v>
      </c>
      <c r="C3180" s="10" t="s">
        <v>3180</v>
      </c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8">
        <v>8035.0</v>
      </c>
      <c r="B3181" s="9" t="str">
        <f>HYPERLINK("https://www.lazada.vn/products/siro-vani-longbeach-vanilla-740ml-i2619682397.html", "https://www.lazada.vn/products/siro-vani-longbeach-vanilla-740ml-i2619682397.html")</f>
        <v>https://www.lazada.vn/products/siro-vani-longbeach-vanilla-740ml-i2619682397.html</v>
      </c>
      <c r="C3181" s="10" t="s">
        <v>3181</v>
      </c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8">
        <v>8036.0</v>
      </c>
      <c r="B3182" s="9" t="str">
        <f>HYPERLINK("https://www.lazada.vn/products/khoai-tay-trung-muoi-lo-200-gram-i2822648754.html", "https://www.lazada.vn/products/khoai-tay-trung-muoi-lo-200-gram-i2822648754.html")</f>
        <v>https://www.lazada.vn/products/khoai-tay-trung-muoi-lo-200-gram-i2822648754.html</v>
      </c>
      <c r="C3182" s="10" t="s">
        <v>3182</v>
      </c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8">
        <v>8037.0</v>
      </c>
      <c r="B3183" s="9" t="str">
        <f>HYPERLINK("https://www.lazada.vn/products/1kg-thach-tam-giac-hm-hot-hit-mix-cac-vi-trai-cay-sieu-ngon-i2530252020.html", "https://www.lazada.vn/products/1kg-thach-tam-giac-hm-hot-hit-mix-cac-vi-trai-cay-sieu-ngon-i2530252020.html")</f>
        <v>https://www.lazada.vn/products/1kg-thach-tam-giac-hm-hot-hit-mix-cac-vi-trai-cay-sieu-ngon-i2530252020.html</v>
      </c>
      <c r="C3183" s="10" t="s">
        <v>3183</v>
      </c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8">
        <v>8038.0</v>
      </c>
      <c r="B3184" s="9" t="str">
        <f>HYPERLINK("https://www.lazada.vn/products/keo-socola-ruou-liquor-filled-chocolate-my-hop-go-36-chai-400gr-i2939976057.html", "https://www.lazada.vn/products/keo-socola-ruou-liquor-filled-chocolate-my-hop-go-36-chai-400gr-i2939976057.html")</f>
        <v>https://www.lazada.vn/products/keo-socola-ruou-liquor-filled-chocolate-my-hop-go-36-chai-400gr-i2939976057.html</v>
      </c>
      <c r="C3184" s="10" t="s">
        <v>3184</v>
      </c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8">
        <v>8039.0</v>
      </c>
      <c r="B3185" s="9" t="str">
        <f>HYPERLINK("https://www.lazada.vn/products/combo-10-banh-bong-lan-qua-trung-nhan-kem-pho-mai-nhieu-bieu-cam-xinh-xan-b169-beegin-food-store-i2668177012.html", "https://www.lazada.vn/products/combo-10-banh-bong-lan-qua-trung-nhan-kem-pho-mai-nhieu-bieu-cam-xinh-xan-b169-beegin-food-store-i2668177012.html")</f>
        <v>https://www.lazada.vn/products/combo-10-banh-bong-lan-qua-trung-nhan-kem-pho-mai-nhieu-bieu-cam-xinh-xan-b169-beegin-food-store-i2668177012.html</v>
      </c>
      <c r="C3185" s="10" t="s">
        <v>3185</v>
      </c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8">
        <v>8040.0</v>
      </c>
      <c r="B3186" s="9" t="str">
        <f>HYPERLINK("https://www.lazada.vn/products/hu-1kg-dac-rim-thom-sieu-ngon-i2606619417.html", "https://www.lazada.vn/products/hu-1kg-dac-rim-thom-sieu-ngon-i2606619417.html")</f>
        <v>https://www.lazada.vn/products/hu-1kg-dac-rim-thom-sieu-ngon-i2606619417.html</v>
      </c>
      <c r="C3186" s="10" t="s">
        <v>3186</v>
      </c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8">
        <v>8041.0</v>
      </c>
      <c r="B3187" s="9" t="str">
        <f>HYPERLINK("https://www.lazada.vn/products/nuoc-dua-tra-dao-cam-sa-vietcoco-240ml-i2820915125.html", "https://www.lazada.vn/products/nuoc-dua-tra-dao-cam-sa-vietcoco-240ml-i2820915125.html")</f>
        <v>https://www.lazada.vn/products/nuoc-dua-tra-dao-cam-sa-vietcoco-240ml-i2820915125.html</v>
      </c>
      <c r="C3187" s="10" t="s">
        <v>3187</v>
      </c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8">
        <v>8042.0</v>
      </c>
      <c r="B3188" s="9" t="str">
        <f>HYPERLINK("https://www.lazada.vn/products/combo-5-goi-snack-mi-vien-an-lien-vi-ga-cay-thoi-lua-thai-lan-38g-m07-beegin-mart-i2651386260.html", "https://www.lazada.vn/products/combo-5-goi-snack-mi-vien-an-lien-vi-ga-cay-thoi-lua-thai-lan-38g-m07-beegin-mart-i2651386260.html")</f>
        <v>https://www.lazada.vn/products/combo-5-goi-snack-mi-vien-an-lien-vi-ga-cay-thoi-lua-thai-lan-38g-m07-beegin-mart-i2651386260.html</v>
      </c>
      <c r="C3188" s="10" t="s">
        <v>3188</v>
      </c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8">
        <v>8043.0</v>
      </c>
      <c r="B3189" s="9" t="str">
        <f>HYPERLINK("https://www.lazada.vn/products/vang-trang-trenel-macon-bourgogne-chardonnay-i2280250710.html", "https://www.lazada.vn/products/vang-trang-trenel-macon-bourgogne-chardonnay-i2280250710.html")</f>
        <v>https://www.lazada.vn/products/vang-trang-trenel-macon-bourgogne-chardonnay-i2280250710.html</v>
      </c>
      <c r="C3189" s="10" t="s">
        <v>3189</v>
      </c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8">
        <v>8044.0</v>
      </c>
      <c r="B3190" s="9" t="str">
        <f>HYPERLINK("https://www.lazada.vn/products/pg-punjabi-papad-200g-i2521435615.html", "https://www.lazada.vn/products/pg-punjabi-papad-200g-i2521435615.html")</f>
        <v>https://www.lazada.vn/products/pg-punjabi-papad-200g-i2521435615.html</v>
      </c>
      <c r="C3190" s="10" t="s">
        <v>3190</v>
      </c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8">
        <v>8045.0</v>
      </c>
      <c r="B3191" s="9" t="str">
        <f>HYPERLINK("https://www.lazada.vn/products/sua-socola-lua-mach-ovaltine-3in1-cong-thuc-it-ngot-bich-17-goi-i2360059271.html", "https://www.lazada.vn/products/sua-socola-lua-mach-ovaltine-3in1-cong-thuc-it-ngot-bich-17-goi-i2360059271.html")</f>
        <v>https://www.lazada.vn/products/sua-socola-lua-mach-ovaltine-3in1-cong-thuc-it-ngot-bich-17-goi-i2360059271.html</v>
      </c>
      <c r="C3191" s="10" t="s">
        <v>3191</v>
      </c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8">
        <v>8046.0</v>
      </c>
      <c r="B3192" s="9" t="str">
        <f>HYPERLINK("https://www.lazada.vn/products/thung-mi-tom-cung-dinh-30-goi-x-80g-date-moi-i2880820030.html", "https://www.lazada.vn/products/thung-mi-tom-cung-dinh-30-goi-x-80g-date-moi-i2880820030.html")</f>
        <v>https://www.lazada.vn/products/thung-mi-tom-cung-dinh-30-goi-x-80g-date-moi-i2880820030.html</v>
      </c>
      <c r="C3192" s="10" t="s">
        <v>3192</v>
      </c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8">
        <v>8047.0</v>
      </c>
      <c r="B3193" s="9" t="str">
        <f>HYPERLINK("https://www.lazada.vn/products/hoa-toc-hcm-loc-24-lon-nuoc-giai-khat-schweppes-nuoc-soda-320mllon-sale-253-coca-cola-chinh-hang-i2580657973.html", "https://www.lazada.vn/products/hoa-toc-hcm-loc-24-lon-nuoc-giai-khat-schweppes-nuoc-soda-320mllon-sale-253-coca-cola-chinh-hang-i2580657973.html")</f>
        <v>https://www.lazada.vn/products/hoa-toc-hcm-loc-24-lon-nuoc-giai-khat-schweppes-nuoc-soda-320mllon-sale-253-coca-cola-chinh-hang-i2580657973.html</v>
      </c>
      <c r="C3193" s="10" t="s">
        <v>3193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8">
        <v>8048.0</v>
      </c>
      <c r="B3194" s="9" t="str">
        <f>HYPERLINK("https://www.lazada.vn/products/nuoc-sake-sayuri-jyunmai-nigori-125-300ml-i2799310320.html", "https://www.lazada.vn/products/nuoc-sake-sayuri-jyunmai-nigori-125-300ml-i2799310320.html")</f>
        <v>https://www.lazada.vn/products/nuoc-sake-sayuri-jyunmai-nigori-125-300ml-i2799310320.html</v>
      </c>
      <c r="C3194" s="10" t="s">
        <v>3194</v>
      </c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8">
        <v>8049.0</v>
      </c>
      <c r="B3195" s="9" t="str">
        <f>HYPERLINK("https://www.lazada.vn/products/ca-phe-chon-pha-phin-tay-nguyen-bit-500g-i2723855578.html", "https://www.lazada.vn/products/ca-phe-chon-pha-phin-tay-nguyen-bit-500g-i2723855578.html")</f>
        <v>https://www.lazada.vn/products/ca-phe-chon-pha-phin-tay-nguyen-bit-500g-i2723855578.html</v>
      </c>
      <c r="C3195" s="10" t="s">
        <v>3195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8">
        <v>8050.0</v>
      </c>
      <c r="B3196" s="9" t="str">
        <f>HYPERLINK("https://www.lazada.vn/products/bia-heineken-tet-2025-bia-ken-tet-i2982878809.html", "https://www.lazada.vn/products/bia-heineken-tet-2025-bia-ken-tet-i2982878809.html")</f>
        <v>https://www.lazada.vn/products/bia-heineken-tet-2025-bia-ken-tet-i2982878809.html</v>
      </c>
      <c r="C3196" s="10" t="s">
        <v>3196</v>
      </c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8">
        <v>8051.0</v>
      </c>
      <c r="B3197" s="9" t="str">
        <f>HYPERLINK("https://www.lazada.vn/products/snack-muc-tam-gia-vi-cuc-cay-bento-seafood-snack-angry-spicy-goi-18g-den-i1916763505.html", "https://www.lazada.vn/products/snack-muc-tam-gia-vi-cuc-cay-bento-seafood-snack-angry-spicy-goi-18g-den-i1916763505.html")</f>
        <v>https://www.lazada.vn/products/snack-muc-tam-gia-vi-cuc-cay-bento-seafood-snack-angry-spicy-goi-18g-den-i1916763505.html</v>
      </c>
      <c r="C3197" s="10" t="s">
        <v>3197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8">
        <v>8052.0</v>
      </c>
      <c r="B3198" s="9" t="str">
        <f>HYPERLINK("https://www.lazada.vn/products/banh-dau-xanh-hoa-an-200g-dac-san-hai-duong-i1915106612.html", "https://www.lazada.vn/products/banh-dau-xanh-hoa-an-200g-dac-san-hai-duong-i1915106612.html")</f>
        <v>https://www.lazada.vn/products/banh-dau-xanh-hoa-an-200g-dac-san-hai-duong-i1915106612.html</v>
      </c>
      <c r="C3198" s="10" t="s">
        <v>3198</v>
      </c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8">
        <v>8053.0</v>
      </c>
      <c r="B3199" s="9" t="str">
        <f>HYPERLINK("https://www.lazada.vn/products/loc-10-ly-banh-que-cham-socola-choco-galletin-thai-lan-150g-i1905493177.html", "https://www.lazada.vn/products/loc-10-ly-banh-que-cham-socola-choco-galletin-thai-lan-150g-i1905493177.html")</f>
        <v>https://www.lazada.vn/products/loc-10-ly-banh-que-cham-socola-choco-galletin-thai-lan-150g-i1905493177.html</v>
      </c>
      <c r="C3199" s="10" t="s">
        <v>3199</v>
      </c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8">
        <v>8054.0</v>
      </c>
      <c r="B3200" s="9" t="str">
        <f>HYPERLINK("https://www.lazada.vn/products/1kg-luong-kho-mini-lilla-thuong-hai-trung-quoc-i1903911992.html", "https://www.lazada.vn/products/1kg-luong-kho-mini-lilla-thuong-hai-trung-quoc-i1903911992.html")</f>
        <v>https://www.lazada.vn/products/1kg-luong-kho-mini-lilla-thuong-hai-trung-quoc-i1903911992.html</v>
      </c>
      <c r="C3200" s="10" t="s">
        <v>3200</v>
      </c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8">
        <v>8055.0</v>
      </c>
      <c r="B3201" s="9" t="str">
        <f>HYPERLINK("https://www.lazada.vn/products/banh-dui-ga-pho-mai-rong-bien-thom-ngon-kho-cuong-i2918930572.html", "https://www.lazada.vn/products/banh-dui-ga-pho-mai-rong-bien-thom-ngon-kho-cuong-i2918930572.html")</f>
        <v>https://www.lazada.vn/products/banh-dui-ga-pho-mai-rong-bien-thom-ngon-kho-cuong-i2918930572.html</v>
      </c>
      <c r="C3201" s="10" t="s">
        <v>3201</v>
      </c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8">
        <v>8056.0</v>
      </c>
      <c r="B3202" s="9" t="str">
        <f>HYPERLINK("https://www.lazada.vn/products/vang-do-alora-750-ml-co-the-mua-them-hop-dung-i2730611556.html", "https://www.lazada.vn/products/vang-do-alora-750-ml-co-the-mua-them-hop-dung-i2730611556.html")</f>
        <v>https://www.lazada.vn/products/vang-do-alora-750-ml-co-the-mua-them-hop-dung-i2730611556.html</v>
      </c>
      <c r="C3202" s="10" t="s">
        <v>3202</v>
      </c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8">
        <v>8057.0</v>
      </c>
      <c r="B3203" s="9" t="str">
        <f>HYPERLINK("https://www.lazada.vn/products/vai-xian-tao-kho-mo-lop-mong-mua-he-snack-de-thuong-1500g-tuong-lai-nguyen-chat-mua-he-kho-nuong-trung-quoc-dai-luc-tao-kho-da-nang-i2923794445.html", "https://www.lazada.vn/products/vai-xian-tao-kho-mo-lop-mong-mua-he-snack-de-thuong-1500g-tuong-lai-nguyen-chat-mua-he-kho-nuong-trung-quoc-dai-luc-tao-kho-da-nang-i2923794445.html")</f>
        <v>https://www.lazada.vn/products/vai-xian-tao-kho-mo-lop-mong-mua-he-snack-de-thuong-1500g-tuong-lai-nguyen-chat-mua-he-kho-nuong-trung-quoc-dai-luc-tao-kho-da-nang-i2923794445.html</v>
      </c>
      <c r="C3203" s="10" t="s">
        <v>3203</v>
      </c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8">
        <v>8058.0</v>
      </c>
      <c r="B3204" s="9" t="str">
        <f>HYPERLINK("https://www.lazada.vn/products/combo-5-hop-ca-xot-ca-vissan-hop-170g-date-2027-i3043035599.html", "https://www.lazada.vn/products/combo-5-hop-ca-xot-ca-vissan-hop-170g-date-2027-i3043035599.html")</f>
        <v>https://www.lazada.vn/products/combo-5-hop-ca-xot-ca-vissan-hop-170g-date-2027-i3043035599.html</v>
      </c>
      <c r="C3204" s="10" t="s">
        <v>3204</v>
      </c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8">
        <v>8059.0</v>
      </c>
      <c r="B3205" s="9" t="str">
        <f>HYPERLINK("https://www.lazada.vn/products/mi-ly-handy-hao-hao-tom-chua-cay-67g-i2495768710.html", "https://www.lazada.vn/products/mi-ly-handy-hao-hao-tom-chua-cay-67g-i2495768710.html")</f>
        <v>https://www.lazada.vn/products/mi-ly-handy-hao-hao-tom-chua-cay-67g-i2495768710.html</v>
      </c>
      <c r="C3205" s="10" t="s">
        <v>3205</v>
      </c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8">
        <v>8060.0</v>
      </c>
      <c r="B3206" s="9" t="str">
        <f>HYPERLINK("https://www.lazada.vn/products/ruou-vang-do-1982-aoc-bordeaux-750ml-i2679234156.html", "https://www.lazada.vn/products/ruou-vang-do-1982-aoc-bordeaux-750ml-i2679234156.html")</f>
        <v>https://www.lazada.vn/products/ruou-vang-do-1982-aoc-bordeaux-750ml-i2679234156.html</v>
      </c>
      <c r="C3206" s="10" t="s">
        <v>3206</v>
      </c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8">
        <v>8061.0</v>
      </c>
      <c r="B3207" s="9" t="str">
        <f>HYPERLINK("https://www.lazada.vn/products/o-xin-lai-bot-matcha-bot-thay-the-bua-an-i2721473933.html", "https://www.lazada.vn/products/o-xin-lai-bot-matcha-bot-thay-the-bua-an-i2721473933.html")</f>
        <v>https://www.lazada.vn/products/o-xin-lai-bot-matcha-bot-thay-the-bua-an-i2721473933.html</v>
      </c>
      <c r="C3207" s="10" t="s">
        <v>3207</v>
      </c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8">
        <v>8062.0</v>
      </c>
      <c r="B3208" s="9" t="str">
        <f>HYPERLINK("https://www.lazada.vn/products/coc-ngam-chua-ngot-hu-500g-i2820881283.html", "https://www.lazada.vn/products/coc-ngam-chua-ngot-hu-500g-i2820881283.html")</f>
        <v>https://www.lazada.vn/products/coc-ngam-chua-ngot-hu-500g-i2820881283.html</v>
      </c>
      <c r="C3208" s="10" t="s">
        <v>3208</v>
      </c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8">
        <v>8063.0</v>
      </c>
      <c r="B3209" s="9" t="str">
        <f>HYPERLINK("https://www.lazada.vn/products/combo-500g-14-15cbanh-bong-lan-qua-trung-nhan-kem-pho-mai-nhieu-bieu-cam-xinh-xan-b169-chuyen-si-tpnk-i2668099498.html", "https://www.lazada.vn/products/combo-500g-14-15cbanh-bong-lan-qua-trung-nhan-kem-pho-mai-nhieu-bieu-cam-xinh-xan-b169-chuyen-si-tpnk-i2668099498.html")</f>
        <v>https://www.lazada.vn/products/combo-500g-14-15cbanh-bong-lan-qua-trung-nhan-kem-pho-mai-nhieu-bieu-cam-xinh-xan-b169-chuyen-si-tpnk-i2668099498.html</v>
      </c>
      <c r="C3209" s="10" t="s">
        <v>3209</v>
      </c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8">
        <v>8064.0</v>
      </c>
      <c r="B3210" s="9" t="str">
        <f>HYPERLINK("https://www.lazada.vn/products/fujiya-heart-chocolate-nhan-com-va-dau-phong-15-cai-i2938770273.html", "https://www.lazada.vn/products/fujiya-heart-chocolate-nhan-com-va-dau-phong-15-cai-i2938770273.html")</f>
        <v>https://www.lazada.vn/products/fujiya-heart-chocolate-nhan-com-va-dau-phong-15-cai-i2938770273.html</v>
      </c>
      <c r="C3210" s="10" t="s">
        <v>3210</v>
      </c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8">
        <v>8065.0</v>
      </c>
      <c r="B3211" s="9" t="str">
        <f>HYPERLINK("https://www.lazada.vn/products/siro-caramel-i2616453884.html", "https://www.lazada.vn/products/siro-caramel-i2616453884.html")</f>
        <v>https://www.lazada.vn/products/siro-caramel-i2616453884.html</v>
      </c>
      <c r="C3211" s="10" t="s">
        <v>3211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8">
        <v>8066.0</v>
      </c>
      <c r="B3212" s="9" t="str">
        <f>HYPERLINK("https://www.lazada.vn/products/gia-dung-sika-ltf21-i2168777682.html", "https://www.lazada.vn/products/gia-dung-sika-ltf21-i2168777682.html")</f>
        <v>https://www.lazada.vn/products/gia-dung-sika-ltf21-i2168777682.html</v>
      </c>
      <c r="C3212" s="10" t="s">
        <v>3212</v>
      </c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8">
        <v>8067.0</v>
      </c>
      <c r="B3213" s="9" t="str">
        <f>HYPERLINK("https://www.lazada.vn/products/vang-hong-jardin-du-sud-cinsault-rose-pays-doc-i2280250308.html", "https://www.lazada.vn/products/vang-hong-jardin-du-sud-cinsault-rose-pays-doc-i2280250308.html")</f>
        <v>https://www.lazada.vn/products/vang-hong-jardin-du-sud-cinsault-rose-pays-doc-i2280250308.html</v>
      </c>
      <c r="C3213" s="10" t="s">
        <v>3213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8">
        <v>8068.0</v>
      </c>
      <c r="B3214" s="9" t="str">
        <f>HYPERLINK("https://www.lazada.vn/products/1kg-thach-tam-giac-hm-hot-hit-mix-cac-vi-trai-cay-an-vat-i2530121351.html", "https://www.lazada.vn/products/1kg-thach-tam-giac-hm-hot-hit-mix-cac-vi-trai-cay-an-vat-i2530121351.html")</f>
        <v>https://www.lazada.vn/products/1kg-thach-tam-giac-hm-hot-hit-mix-cac-vi-trai-cay-an-vat-i2530121351.html</v>
      </c>
      <c r="C3214" s="10" t="s">
        <v>3214</v>
      </c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8">
        <v>8069.0</v>
      </c>
      <c r="B3215" s="9" t="str">
        <f>HYPERLINK("https://www.lazada.vn/products/kerala-banana-chips-85g-i2513824241.html", "https://www.lazada.vn/products/kerala-banana-chips-85g-i2513824241.html")</f>
        <v>https://www.lazada.vn/products/kerala-banana-chips-85g-i2513824241.html</v>
      </c>
      <c r="C3215" s="10" t="s">
        <v>3215</v>
      </c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8">
        <v>8070.0</v>
      </c>
      <c r="B3216" s="9" t="str">
        <f>HYPERLINK("https://www.lazada.vn/products/combo-5-goi-snack-mi-vien-an-lien-vi-ga-cay-thoi-lua-thai-lan-38g-m07-sieu-thi-beegin-i2651383154.html", "https://www.lazada.vn/products/combo-5-goi-snack-mi-vien-an-lien-vi-ga-cay-thoi-lua-thai-lan-38g-m07-sieu-thi-beegin-i2651383154.html")</f>
        <v>https://www.lazada.vn/products/combo-5-goi-snack-mi-vien-an-lien-vi-ga-cay-thoi-lua-thai-lan-38g-m07-sieu-thi-beegin-i2651383154.html</v>
      </c>
      <c r="C3216" s="10" t="s">
        <v>3216</v>
      </c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8">
        <v>8071.0</v>
      </c>
      <c r="B3217" s="9" t="str">
        <f>HYPERLINK("https://www.lazada.vn/products/nuoc-sake-hakutsuru-nama-133-300ml-i2799249808.html", "https://www.lazada.vn/products/nuoc-sake-hakutsuru-nama-133-300ml-i2799249808.html")</f>
        <v>https://www.lazada.vn/products/nuoc-sake-hakutsuru-nama-133-300ml-i2799249808.html</v>
      </c>
      <c r="C3217" s="10" t="s">
        <v>3217</v>
      </c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8">
        <v>8072.0</v>
      </c>
      <c r="B3218" s="9" t="str">
        <f>HYPERLINK("https://www.lazada.vn/products/ca-phe-chon-pha-phin-tay-nguyen-bit-500g-i2723823884.html", "https://www.lazada.vn/products/ca-phe-chon-pha-phin-tay-nguyen-bit-500g-i2723823884.html")</f>
        <v>https://www.lazada.vn/products/ca-phe-chon-pha-phin-tay-nguyen-bit-500g-i2723823884.html</v>
      </c>
      <c r="C3218" s="10" t="s">
        <v>3218</v>
      </c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8">
        <v>8073.0</v>
      </c>
      <c r="B3219" s="9" t="str">
        <f>HYPERLINK("https://www.lazada.vn/products/hu-500gr-bot-ca-cao-dak-lak-nguyen-chat-100-khong-duong-i2359335290.html", "https://www.lazada.vn/products/hu-500gr-bot-ca-cao-dak-lak-nguyen-chat-100-khong-duong-i2359335290.html")</f>
        <v>https://www.lazada.vn/products/hu-500gr-bot-ca-cao-dak-lak-nguyen-chat-100-khong-duong-i2359335290.html</v>
      </c>
      <c r="C3219" s="10" t="s">
        <v>3219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8">
        <v>8074.0</v>
      </c>
      <c r="B3220" s="9" t="str">
        <f>HYPERLINK("https://www.lazada.vn/products/thung-bia-tiger-crystal-silver-do-con-46-330ml-thung-24-lon-tiger-bac-co-ship-hoa-toc-i2980853135.html", "https://www.lazada.vn/products/thung-bia-tiger-crystal-silver-do-con-46-330ml-thung-24-lon-tiger-bac-co-ship-hoa-toc-i2980853135.html")</f>
        <v>https://www.lazada.vn/products/thung-bia-tiger-crystal-silver-do-con-46-330ml-thung-24-lon-tiger-bac-co-ship-hoa-toc-i2980853135.html</v>
      </c>
      <c r="C3220" s="10" t="s">
        <v>3220</v>
      </c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8">
        <v>8075.0</v>
      </c>
      <c r="B3221" s="9" t="str">
        <f>HYPERLINK("https://www.lazada.vn/products/combo-5-goi-snack-mi-tre-em-enaak-gemez-indonesia-vi-ga-bbq-20g-i2821402408.html", "https://www.lazada.vn/products/combo-5-goi-snack-mi-tre-em-enaak-gemez-indonesia-vi-ga-bbq-20g-i2821402408.html")</f>
        <v>https://www.lazada.vn/products/combo-5-goi-snack-mi-tre-em-enaak-gemez-indonesia-vi-ga-bbq-20g-i2821402408.html</v>
      </c>
      <c r="C3221" s="10" t="s">
        <v>3221</v>
      </c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8">
        <v>8076.0</v>
      </c>
      <c r="B3222" s="9" t="str">
        <f>HYPERLINK("https://www.lazada.vn/products/quat-tac-say-cam-thao-gia-si-100g-250g-500g-i2880559264.html", "https://www.lazada.vn/products/quat-tac-say-cam-thao-gia-si-100g-250g-500g-i2880559264.html")</f>
        <v>https://www.lazada.vn/products/quat-tac-say-cam-thao-gia-si-100g-250g-500g-i2880559264.html</v>
      </c>
      <c r="C3222" s="10" t="s">
        <v>3222</v>
      </c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8">
        <v>8077.0</v>
      </c>
      <c r="B3223" s="9" t="str">
        <f>HYPERLINK("https://www.lazada.vn/products/snack-suon-sot-han-quoc-sieu-cay-cap-do-7-do-an-vat-huong-vi-han-quoc-i2820645328.html", "https://www.lazada.vn/products/snack-suon-sot-han-quoc-sieu-cay-cap-do-7-do-an-vat-huong-vi-han-quoc-i2820645328.html")</f>
        <v>https://www.lazada.vn/products/snack-suon-sot-han-quoc-sieu-cay-cap-do-7-do-an-vat-huong-vi-han-quoc-i2820645328.html</v>
      </c>
      <c r="C3223" s="10" t="s">
        <v>3223</v>
      </c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8">
        <v>8078.0</v>
      </c>
      <c r="B3224" s="9" t="str">
        <f>HYPERLINK("https://www.lazada.vn/products/hu-tieu-song-long-nau-4-phut-95-g-vi-mi-thuyen-thai-chuan-thai-lan-i2880519678.html", "https://www.lazada.vn/products/hu-tieu-song-long-nau-4-phut-95-g-vi-mi-thuyen-thai-chuan-thai-lan-i2880519678.html")</f>
        <v>https://www.lazada.vn/products/hu-tieu-song-long-nau-4-phut-95-g-vi-mi-thuyen-thai-chuan-thai-lan-i2880519678.html</v>
      </c>
      <c r="C3224" s="10" t="s">
        <v>3224</v>
      </c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8">
        <v>8079.0</v>
      </c>
      <c r="B3225" s="9" t="str">
        <f>HYPERLINK("https://www.lazada.vn/products/freeship-max-date-moi-banh-ngu-coc-dinh-duong-12-loai-dau-peitien-dai-loan-goldfood-shop-i1902529481.html", "https://www.lazada.vn/products/freeship-max-date-moi-banh-ngu-coc-dinh-duong-12-loai-dau-peitien-dai-loan-goldfood-shop-i1902529481.html")</f>
        <v>https://www.lazada.vn/products/freeship-max-date-moi-banh-ngu-coc-dinh-duong-12-loai-dau-peitien-dai-loan-goldfood-shop-i1902529481.html</v>
      </c>
      <c r="C3225" s="10" t="s">
        <v>3225</v>
      </c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8">
        <v>8080.0</v>
      </c>
      <c r="B3226" s="9" t="str">
        <f>HYPERLINK("https://www.lazada.vn/products/combo-3-goi-mi-an-lien-miliket-sa-te-goi-65gr-i2474426258.html", "https://www.lazada.vn/products/combo-3-goi-mi-an-lien-miliket-sa-te-goi-65gr-i2474426258.html")</f>
        <v>https://www.lazada.vn/products/combo-3-goi-mi-an-lien-miliket-sa-te-goi-65gr-i2474426258.html</v>
      </c>
      <c r="C3226" s="10" t="s">
        <v>3226</v>
      </c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8">
        <v>8081.0</v>
      </c>
      <c r="B3227" s="9" t="str">
        <f>HYPERLINK("https://www.lazada.vn/products/freeship-max-banh-crepe-vi-chuoi-78gr-goldfood-shop-i1902454908.html", "https://www.lazada.vn/products/freeship-max-banh-crepe-vi-chuoi-78gr-goldfood-shop-i1902454908.html")</f>
        <v>https://www.lazada.vn/products/freeship-max-banh-crepe-vi-chuoi-78gr-goldfood-shop-i1902454908.html</v>
      </c>
      <c r="C3227" s="10" t="s">
        <v>3227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8">
        <v>8082.0</v>
      </c>
      <c r="B3228" s="9" t="str">
        <f>HYPERLINK("https://www.lazada.vn/products/de-dong-kho-hat-dua-tao-do-khoai-tay-sup-lo-suong-mu-tra-sua-banh-keo-do-an-nhe-kho-trai-cay-cong-thuc-nau-an-i2923794196.html", "https://www.lazada.vn/products/de-dong-kho-hat-dua-tao-do-khoai-tay-sup-lo-suong-mu-tra-sua-banh-keo-do-an-nhe-kho-trai-cay-cong-thuc-nau-an-i2923794196.html")</f>
        <v>https://www.lazada.vn/products/de-dong-kho-hat-dua-tao-do-khoai-tay-sup-lo-suong-mu-tra-sua-banh-keo-do-an-nhe-kho-trai-cay-cong-thuc-nau-an-i2923794196.html</v>
      </c>
      <c r="C3228" s="10" t="s">
        <v>3228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8">
        <v>8083.0</v>
      </c>
      <c r="B3229" s="9" t="str">
        <f>HYPERLINK("https://www.lazada.vn/products/banh-khom-hoa-mai-thai-lan-tui-500g-i2918881443.html", "https://www.lazada.vn/products/banh-khom-hoa-mai-thai-lan-tui-500g-i2918881443.html")</f>
        <v>https://www.lazada.vn/products/banh-khom-hoa-mai-thai-lan-tui-500g-i2918881443.html</v>
      </c>
      <c r="C3229" s="10" t="s">
        <v>3229</v>
      </c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8">
        <v>8084.0</v>
      </c>
      <c r="B3230" s="9" t="str">
        <f>HYPERLINK("https://www.lazada.vn/products/combo-5-hop-ca-ngu-xot-cay-vissan-150g-date-2027-i3042985734.html", "https://www.lazada.vn/products/combo-5-hop-ca-ngu-xot-cay-vissan-150g-date-2027-i3042985734.html")</f>
        <v>https://www.lazada.vn/products/combo-5-hop-ca-ngu-xot-cay-vissan-150g-date-2027-i3042985734.html</v>
      </c>
      <c r="C3230" s="10" t="s">
        <v>3230</v>
      </c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8">
        <v>8085.0</v>
      </c>
      <c r="B3231" s="9" t="str">
        <f>HYPERLINK("https://www.lazada.vn/products/vang-do-centara-750-ml-vang-goi-qua-gia-si-i2730508846.html", "https://www.lazada.vn/products/vang-do-centara-750-ml-vang-goi-qua-gia-si-i2730508846.html")</f>
        <v>https://www.lazada.vn/products/vang-do-centara-750-ml-vang-goi-qua-gia-si-i2730508846.html</v>
      </c>
      <c r="C3231" s="10" t="s">
        <v>3231</v>
      </c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8">
        <v>8086.0</v>
      </c>
      <c r="B3232" s="9" t="str">
        <f>HYPERLINK("https://www.lazada.vn/products/vang-binh-3-lit-1982-bordeaux-famille-merlot-i2679214561.html", "https://www.lazada.vn/products/vang-binh-3-lit-1982-bordeaux-famille-merlot-i2679214561.html")</f>
        <v>https://www.lazada.vn/products/vang-binh-3-lit-1982-bordeaux-famille-merlot-i2679214561.html</v>
      </c>
      <c r="C3232" s="10" t="s">
        <v>3232</v>
      </c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8">
        <v>8087.0</v>
      </c>
      <c r="B3233" s="9" t="str">
        <f>HYPERLINK("https://www.lazada.vn/products/bot-qua-acai-berry-trai-cay-va-rau-bot-soi-anthocyanin-bot-thay-the-bua-an-i2721471822.html", "https://www.lazada.vn/products/bot-qua-acai-berry-trai-cay-va-rau-bot-soi-anthocyanin-bot-thay-the-bua-an-i2721471822.html")</f>
        <v>https://www.lazada.vn/products/bot-qua-acai-berry-trai-cay-va-rau-bot-soi-anthocyanin-bot-thay-the-bua-an-i2721471822.html</v>
      </c>
      <c r="C3233" s="10" t="s">
        <v>3233</v>
      </c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8">
        <v>8088.0</v>
      </c>
      <c r="B3234" s="9" t="str">
        <f>HYPERLINK("https://www.lazada.vn/products/bia-reeper-weissbier-54-bia-lua-mi-thung-24-lon-x500ml-i2687100624.html", "https://www.lazada.vn/products/bia-reeper-weissbier-54-bia-lua-mi-thung-24-lon-x500ml-i2687100624.html")</f>
        <v>https://www.lazada.vn/products/bia-reeper-weissbier-54-bia-lua-mi-thung-24-lon-x500ml-i2687100624.html</v>
      </c>
      <c r="C3234" s="10" t="s">
        <v>3234</v>
      </c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8">
        <v>8089.0</v>
      </c>
      <c r="B3235" s="9" t="str">
        <f>HYPERLINK("https://www.lazada.vn/products/bia-dong-abbaye-d-aulne-cuvee-royale-9-i2678843385.html", "https://www.lazada.vn/products/bia-dong-abbaye-d-aulne-cuvee-royale-9-i2678843385.html")</f>
        <v>https://www.lazada.vn/products/bia-dong-abbaye-d-aulne-cuvee-royale-9-i2678843385.html</v>
      </c>
      <c r="C3235" s="10" t="s">
        <v>3235</v>
      </c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8">
        <v>8090.0</v>
      </c>
      <c r="B3236" s="9" t="str">
        <f>HYPERLINK("https://www.lazada.vn/products/thung-1kg-29-30banh-bong-lan-qua-trung-nhan-kem-pho-mai-nhieu-bieu-cam-xinh-xan-b169-beegin-food-store-i2667891994.html", "https://www.lazada.vn/products/thung-1kg-29-30banh-bong-lan-qua-trung-nhan-kem-pho-mai-nhieu-bieu-cam-xinh-xan-b169-beegin-food-store-i2667891994.html")</f>
        <v>https://www.lazada.vn/products/thung-1kg-29-30banh-bong-lan-qua-trung-nhan-kem-pho-mai-nhieu-bieu-cam-xinh-xan-b169-beegin-food-store-i2667891994.html</v>
      </c>
      <c r="C3236" s="10" t="s">
        <v>3236</v>
      </c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8">
        <v>8091.0</v>
      </c>
      <c r="B3237" s="9" t="str">
        <f>HYPERLINK("https://www.lazada.vn/products/coc-ngam-chua-ngot-hu-500g-i2820875276.html", "https://www.lazada.vn/products/coc-ngam-chua-ngot-hu-500g-i2820875276.html")</f>
        <v>https://www.lazada.vn/products/coc-ngam-chua-ngot-hu-500g-i2820875276.html</v>
      </c>
      <c r="C3237" s="10" t="s">
        <v>3237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8">
        <v>8092.0</v>
      </c>
      <c r="B3238" s="9" t="str">
        <f>HYPERLINK("https://www.lazada.vn/products/loai-socola-boc-dua-den-tu-dat-nuoc-tho-nhi-ky-bich-1kg-i2938479166.html", "https://www.lazada.vn/products/loai-socola-boc-dua-den-tu-dat-nuoc-tho-nhi-ky-bich-1kg-i2938479166.html")</f>
        <v>https://www.lazada.vn/products/loai-socola-boc-dua-den-tu-dat-nuoc-tho-nhi-ky-bich-1kg-i2938479166.html</v>
      </c>
      <c r="C3238" s="10" t="s">
        <v>3238</v>
      </c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8">
        <v>8093.0</v>
      </c>
      <c r="B3239" s="9" t="str">
        <f>HYPERLINK("https://www.lazada.vn/products/combo-5-banh-sandwich-tam-giac-cha-bong-khoai-mon-phomai-bo-b176-tknk-beegin-i2667388948.html", "https://www.lazada.vn/products/combo-5-banh-sandwich-tam-giac-cha-bong-khoai-mon-phomai-bo-b176-tknk-beegin-i2667388948.html")</f>
        <v>https://www.lazada.vn/products/combo-5-banh-sandwich-tam-giac-cha-bong-khoai-mon-phomai-bo-b176-tknk-beegin-i2667388948.html</v>
      </c>
      <c r="C3239" s="10" t="s">
        <v>3239</v>
      </c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8">
        <v>8094.0</v>
      </c>
      <c r="B3240" s="9" t="str">
        <f>HYPERLINK("https://www.lazada.vn/products/siro-nho-ba-moi-ninh-thuan-chuan-vietgap-chinh-hang-lam-tu-nho-o-vuon-nho-ba-moi-i2616148731.html", "https://www.lazada.vn/products/siro-nho-ba-moi-ninh-thuan-chuan-vietgap-chinh-hang-lam-tu-nho-o-vuon-nho-ba-moi-i2616148731.html")</f>
        <v>https://www.lazada.vn/products/siro-nho-ba-moi-ninh-thuan-chuan-vietgap-chinh-hang-lam-tu-nho-o-vuon-nho-ba-moi-i2616148731.html</v>
      </c>
      <c r="C3240" s="10" t="s">
        <v>3240</v>
      </c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8">
        <v>8095.0</v>
      </c>
      <c r="B3241" s="9" t="str">
        <f>HYPERLINK("https://www.lazada.vn/products/combo-2-lon-nuoc-dua-tra-dao-cam-sa-vietcoco-240ml-i2820847138.html", "https://www.lazada.vn/products/combo-2-lon-nuoc-dua-tra-dao-cam-sa-vietcoco-240ml-i2820847138.html")</f>
        <v>https://www.lazada.vn/products/combo-2-lon-nuoc-dua-tra-dao-cam-sa-vietcoco-240ml-i2820847138.html</v>
      </c>
      <c r="C3241" s="10" t="s">
        <v>3241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8">
        <v>8096.0</v>
      </c>
      <c r="B3242" s="9" t="str">
        <f>HYPERLINK("https://www.lazada.vn/products/combo-3-goi-socola-choco-rock-65g-nhap-khau-han-quoc-i2938373506.html", "https://www.lazada.vn/products/combo-3-goi-socola-choco-rock-65g-nhap-khau-han-quoc-i2938373506.html")</f>
        <v>https://www.lazada.vn/products/combo-3-goi-socola-choco-rock-65g-nhap-khau-han-quoc-i2938373506.html</v>
      </c>
      <c r="C3242" s="10" t="s">
        <v>3242</v>
      </c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8">
        <v>8097.0</v>
      </c>
      <c r="B3243" s="9" t="str">
        <f>HYPERLINK("https://www.lazada.vn/products/120gsiro-monin-syrup-moninchai-chiet-120g-dung-de-thu-vi-lam-mon-moi-i2611751240.html", "https://www.lazada.vn/products/120gsiro-monin-syrup-moninchai-chiet-120g-dung-de-thu-vi-lam-mon-moi-i2611751240.html")</f>
        <v>https://www.lazada.vn/products/120gsiro-monin-syrup-moninchai-chiet-120g-dung-de-thu-vi-lam-mon-moi-i2611751240.html</v>
      </c>
      <c r="C3243" s="10" t="s">
        <v>3243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8">
        <v>8098.0</v>
      </c>
      <c r="B3244" s="9" t="str">
        <f>HYPERLINK("https://www.lazada.vn/products/2kg-nhao-ngam-duong-mia-nguyen-chat-i2817899759.html", "https://www.lazada.vn/products/2kg-nhao-ngam-duong-mia-nguyen-chat-i2817899759.html")</f>
        <v>https://www.lazada.vn/products/2kg-nhao-ngam-duong-mia-nguyen-chat-i2817899759.html</v>
      </c>
      <c r="C3244" s="10" t="s">
        <v>3244</v>
      </c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8">
        <v>8099.0</v>
      </c>
      <c r="B3245" s="9" t="str">
        <f>HYPERLINK("https://www.lazada.vn/products/nuoc-sake-hakushika-kijuro-tokubetsu-honjozo-sake-147-300ml-i2798495316.html", "https://www.lazada.vn/products/nuoc-sake-hakushika-kijuro-tokubetsu-honjozo-sake-147-300ml-i2798495316.html")</f>
        <v>https://www.lazada.vn/products/nuoc-sake-hakushika-kijuro-tokubetsu-honjozo-sake-147-300ml-i2798495316.html</v>
      </c>
      <c r="C3245" s="10" t="s">
        <v>3245</v>
      </c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8">
        <v>8100.0</v>
      </c>
      <c r="B3246" s="9" t="str">
        <f>HYPERLINK("https://www.lazada.vn/products/loc-12-goi-snack-mi-vien-an-lien-vi-ga-cay-thoi-lua-thai-lan-38g-m07-chuyen-si-tpnk-i2651356495.html", "https://www.lazada.vn/products/loc-12-goi-snack-mi-vien-an-lien-vi-ga-cay-thoi-lua-thai-lan-38g-m07-chuyen-si-tpnk-i2651356495.html")</f>
        <v>https://www.lazada.vn/products/loc-12-goi-snack-mi-vien-an-lien-vi-ga-cay-thoi-lua-thai-lan-38g-m07-chuyen-si-tpnk-i2651356495.html</v>
      </c>
      <c r="C3246" s="10" t="s">
        <v>3246</v>
      </c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8">
        <v>8101.0</v>
      </c>
      <c r="B3247" s="9" t="str">
        <f>HYPERLINK("https://www.lazada.vn/products/500g-thach-tam-giac-hm-hot-trend-mix-cac-vi-trai-cay-i2530062932.html", "https://www.lazada.vn/products/500g-thach-tam-giac-hm-hot-trend-mix-cac-vi-trai-cay-i2530062932.html")</f>
        <v>https://www.lazada.vn/products/500g-thach-tam-giac-hm-hot-trend-mix-cac-vi-trai-cay-i2530062932.html</v>
      </c>
      <c r="C3247" s="10" t="s">
        <v>3247</v>
      </c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8">
        <v>8102.0</v>
      </c>
      <c r="B3248" s="9" t="str">
        <f>HYPERLINK("https://www.lazada.vn/products/vang-do-la-vieille-eglise-cabernet-merlot-750ml-i2280249755.html", "https://www.lazada.vn/products/vang-do-la-vieille-eglise-cabernet-merlot-750ml-i2280249755.html")</f>
        <v>https://www.lazada.vn/products/vang-do-la-vieille-eglise-cabernet-merlot-750ml-i2280249755.html</v>
      </c>
      <c r="C3248" s="10" t="s">
        <v>3248</v>
      </c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8">
        <v>8103.0</v>
      </c>
      <c r="B3249" s="9" t="str">
        <f>HYPERLINK("https://www.lazada.vn/products/haldirams-murukku-200g-i2475223129.html", "https://www.lazada.vn/products/haldirams-murukku-200g-i2475223129.html")</f>
        <v>https://www.lazada.vn/products/haldirams-murukku-200g-i2475223129.html</v>
      </c>
      <c r="C3249" s="10" t="s">
        <v>3249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8">
        <v>8104.0</v>
      </c>
      <c r="B3250" s="9" t="str">
        <f>HYPERLINK("https://www.lazada.vn/products/1kg-ca-phe-rang-moc-bot-pha-phin-cafe-nam-phat-ban-tai-tphcm-i2723756730.html", "https://www.lazada.vn/products/1kg-ca-phe-rang-moc-bot-pha-phin-cafe-nam-phat-ban-tai-tphcm-i2723756730.html")</f>
        <v>https://www.lazada.vn/products/1kg-ca-phe-rang-moc-bot-pha-phin-cafe-nam-phat-ban-tai-tphcm-i2723756730.html</v>
      </c>
      <c r="C3250" s="10" t="s">
        <v>3250</v>
      </c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8">
        <v>8105.0</v>
      </c>
      <c r="B3251" s="9" t="str">
        <f>HYPERLINK("https://www.lazada.vn/products/ruou-sake-nhat-ban-tenryo-hidahomare-junmai-ginjo-720ml-i2798449817.html", "https://www.lazada.vn/products/ruou-sake-nhat-ban-tenryo-hidahomare-junmai-ginjo-720ml-i2798449817.html")</f>
        <v>https://www.lazada.vn/products/ruou-sake-nhat-ban-tenryo-hidahomare-junmai-ginjo-720ml-i2798449817.html</v>
      </c>
      <c r="C3251" s="10" t="s">
        <v>3251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8">
        <v>8106.0</v>
      </c>
      <c r="B3252" s="9" t="str">
        <f>HYPERLINK("https://www.lazada.vn/products/chao-mon-dac-san-tan-long-an-an-la-ghien-hoa-toc-khong-nat-i2033368107.html", "https://www.lazada.vn/products/chao-mon-dac-san-tan-long-an-an-la-ghien-hoa-toc-khong-nat-i2033368107.html")</f>
        <v>https://www.lazada.vn/products/chao-mon-dac-san-tan-long-an-an-la-ghien-hoa-toc-khong-nat-i2033368107.html</v>
      </c>
      <c r="C3252" s="10" t="s">
        <v>3252</v>
      </c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8">
        <v>8107.0</v>
      </c>
      <c r="B3253" s="9" t="str">
        <f>HYPERLINK("https://www.lazada.vn/products/1kg-bot-san-day-ta-nguyen-chat-thanh-nhiet-tot-i2358162423.html", "https://www.lazada.vn/products/1kg-bot-san-day-ta-nguyen-chat-thanh-nhiet-tot-i2358162423.html")</f>
        <v>https://www.lazada.vn/products/1kg-bot-san-day-ta-nguyen-chat-thanh-nhiet-tot-i2358162423.html</v>
      </c>
      <c r="C3253" s="10" t="s">
        <v>3253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8">
        <v>8108.0</v>
      </c>
      <c r="B3254" s="9" t="str">
        <f>HYPERLINK("https://www.lazada.vn/products/thung-bia-saigon-lager-do-con-43-330ml-thung-24-lon-saigon-xanh-co-ship-hoa-toc-i2980774403.html", "https://www.lazada.vn/products/thung-bia-saigon-lager-do-con-43-330ml-thung-24-lon-saigon-xanh-co-ship-hoa-toc-i2980774403.html")</f>
        <v>https://www.lazada.vn/products/thung-bia-saigon-lager-do-con-43-330ml-thung-24-lon-saigon-xanh-co-ship-hoa-toc-i2980774403.html</v>
      </c>
      <c r="C3254" s="10" t="s">
        <v>3254</v>
      </c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8">
        <v>8109.0</v>
      </c>
      <c r="B3255" s="9" t="str">
        <f>HYPERLINK("https://www.lazada.vn/products/bot-cacao-nguyen-chat-100-tay-nguyen-chi-co-tai-xuong-che-ngon-va-do-an-vat-i2349810955.html", "https://www.lazada.vn/products/bot-cacao-nguyen-chat-100-tay-nguyen-chi-co-tai-xuong-che-ngon-va-do-an-vat-i2349810955.html")</f>
        <v>https://www.lazada.vn/products/bot-cacao-nguyen-chat-100-tay-nguyen-chi-co-tai-xuong-che-ngon-va-do-an-vat-i2349810955.html</v>
      </c>
      <c r="C3255" s="10" t="s">
        <v>3255</v>
      </c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8">
        <v>8110.0</v>
      </c>
      <c r="B3256" s="9" t="str">
        <f>HYPERLINK("https://www.lazada.vn/products/thung-bia-edelweiss-do-con-49-330ml-thung-24-lon-dam-vi-co-ship-hoa-toc-i2980717560.html", "https://www.lazada.vn/products/thung-bia-edelweiss-do-con-49-330ml-thung-24-lon-dam-vi-co-ship-hoa-toc-i2980717560.html")</f>
        <v>https://www.lazada.vn/products/thung-bia-edelweiss-do-con-49-330ml-thung-24-lon-dam-vi-co-ship-hoa-toc-i2980717560.html</v>
      </c>
      <c r="C3256" s="10" t="s">
        <v>3256</v>
      </c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8">
        <v>8111.0</v>
      </c>
      <c r="B3257" s="9" t="str">
        <f>HYPERLINK("https://www.lazada.vn/products/khoai-lang-mat-ta-nung-daklak-1kg-sieu-mat-i2817907808.html", "https://www.lazada.vn/products/khoai-lang-mat-ta-nung-daklak-1kg-sieu-mat-i2817907808.html")</f>
        <v>https://www.lazada.vn/products/khoai-lang-mat-ta-nung-daklak-1kg-sieu-mat-i2817907808.html</v>
      </c>
      <c r="C3257" s="10" t="s">
        <v>3257</v>
      </c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8">
        <v>8112.0</v>
      </c>
      <c r="B3258" s="9" t="str">
        <f>HYPERLINK("https://www.lazada.vn/products/chan-ga-cung-dinh-32g-i2880503971.html", "https://www.lazada.vn/products/chan-ga-cung-dinh-32g-i2880503971.html")</f>
        <v>https://www.lazada.vn/products/chan-ga-cung-dinh-32g-i2880503971.html</v>
      </c>
      <c r="C3258" s="10" t="s">
        <v>3258</v>
      </c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8">
        <v>8113.0</v>
      </c>
      <c r="B3259" s="9" t="str">
        <f>HYPERLINK("https://www.lazada.vn/products/moi-combo-5-goi-mi-tron-suon-xao-chua-ngot-de-nhat-aceccook-i2448956177.html", "https://www.lazada.vn/products/moi-combo-5-goi-mi-tron-suon-xao-chua-ngot-de-nhat-aceccook-i2448956177.html")</f>
        <v>https://www.lazada.vn/products/moi-combo-5-goi-mi-tron-suon-xao-chua-ngot-de-nhat-aceccook-i2448956177.html</v>
      </c>
      <c r="C3259" s="10" t="s">
        <v>3259</v>
      </c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8">
        <v>8114.0</v>
      </c>
      <c r="B3260" s="9" t="str">
        <f>HYPERLINK("https://www.lazada.vn/products/freeship-max-compo-6-cay-banh-dau-peitien-60gr-goldfood-shop-i1902449939.html", "https://www.lazada.vn/products/freeship-max-compo-6-cay-banh-dau-peitien-60gr-goldfood-shop-i1902449939.html")</f>
        <v>https://www.lazada.vn/products/freeship-max-compo-6-cay-banh-dau-peitien-60gr-goldfood-shop-i1902449939.html</v>
      </c>
      <c r="C3260" s="10" t="s">
        <v>3260</v>
      </c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8">
        <v>8115.0</v>
      </c>
      <c r="B3261" s="9" t="str">
        <f>HYPERLINK("https://www.lazada.vn/products/banh-dong-tien-dau-xanh-dac-san-quang-nam-goi-250gr-hieu-bahanhfoods-vi-it-ngot-i2918123937.html", "https://www.lazada.vn/products/banh-dong-tien-dau-xanh-dac-san-quang-nam-goi-250gr-hieu-bahanhfoods-vi-it-ngot-i2918123937.html")</f>
        <v>https://www.lazada.vn/products/banh-dong-tien-dau-xanh-dac-san-quang-nam-goi-250gr-hieu-bahanhfoods-vi-it-ngot-i2918123937.html</v>
      </c>
      <c r="C3261" s="10" t="s">
        <v>3261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8">
        <v>8116.0</v>
      </c>
      <c r="B3262" s="9" t="str">
        <f>HYPERLINK("https://www.lazada.vn/products/yuanfang-dream-far-away-dream-blueberry-yogurt-blocks-dried-frozen-delicious-whole-blueberry-crispy-milk-flavor-snack-i2923792646.html", "https://www.lazada.vn/products/yuanfang-dream-far-away-dream-blueberry-yogurt-blocks-dried-frozen-delicious-whole-blueberry-crispy-milk-flavor-snack-i2923792646.html")</f>
        <v>https://www.lazada.vn/products/yuanfang-dream-far-away-dream-blueberry-yogurt-blocks-dried-frozen-delicious-whole-blueberry-crispy-milk-flavor-snack-i2923792646.html</v>
      </c>
      <c r="C3262" s="10" t="s">
        <v>3262</v>
      </c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8">
        <v>8117.0</v>
      </c>
      <c r="B3263" s="9" t="str">
        <f>HYPERLINK("https://www.lazada.vn/products/thit-hop-spam-25-less-sodium-my-i3042558180.html", "https://www.lazada.vn/products/thit-hop-spam-25-less-sodium-my-i3042558180.html")</f>
        <v>https://www.lazada.vn/products/thit-hop-spam-25-less-sodium-my-i3042558180.html</v>
      </c>
      <c r="C3263" s="10" t="s">
        <v>3263</v>
      </c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8">
        <v>8118.0</v>
      </c>
      <c r="B3264" s="9" t="str">
        <f>HYPERLINK("https://www.lazada.vn/products/vang-do-la-monica-750-ml-co-the-mua-them-hop-dung-i2730476994.html", "https://www.lazada.vn/products/vang-do-la-monica-750-ml-co-the-mua-them-hop-dung-i2730476994.html")</f>
        <v>https://www.lazada.vn/products/vang-do-la-monica-750-ml-co-the-mua-them-hop-dung-i2730476994.html</v>
      </c>
      <c r="C3264" s="10" t="s">
        <v>3264</v>
      </c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8">
        <v>8119.0</v>
      </c>
      <c r="B3265" s="9" t="str">
        <f>HYPERLINK("https://www.lazada.vn/products/snack-dried-yogurt-heart-shaped-mixed-nuts-and-cranberries-individually-packaged-leisurely-delicious-treats-from-hebei-china-i2923792246.html", "https://www.lazada.vn/products/snack-dried-yogurt-heart-shaped-mixed-nuts-and-cranberries-individually-packaged-leisurely-delicious-treats-from-hebei-china-i2923792246.html")</f>
        <v>https://www.lazada.vn/products/snack-dried-yogurt-heart-shaped-mixed-nuts-and-cranberries-individually-packaged-leisurely-delicious-treats-from-hebei-china-i2923792246.html</v>
      </c>
      <c r="C3265" s="10" t="s">
        <v>3265</v>
      </c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8">
        <v>8120.0</v>
      </c>
      <c r="B3266" s="9" t="str">
        <f>HYPERLINK("https://www.lazada.vn/products/combo-5-hop-ca-ngu-ngam-dau-vissan-date-2027-i3042487119.html", "https://www.lazada.vn/products/combo-5-hop-ca-ngu-ngam-dau-vissan-date-2027-i3042487119.html")</f>
        <v>https://www.lazada.vn/products/combo-5-hop-ca-ngu-ngam-dau-vissan-date-2027-i3042487119.html</v>
      </c>
      <c r="C3266" s="10" t="s">
        <v>3266</v>
      </c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8">
        <v>8121.0</v>
      </c>
      <c r="B3267" s="9" t="str">
        <f>HYPERLINK("https://www.lazada.vn/products/ruou-vang-do-raices-granacha-750ml-i2679023738.html", "https://www.lazada.vn/products/ruou-vang-do-raices-granacha-750ml-i2679023738.html")</f>
        <v>https://www.lazada.vn/products/ruou-vang-do-raices-granacha-750ml-i2679023738.html</v>
      </c>
      <c r="C3267" s="10" t="s">
        <v>3267</v>
      </c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8">
        <v>8122.0</v>
      </c>
      <c r="B3268" s="9" t="str">
        <f>HYPERLINK("https://www.lazada.vn/products/da-lat-farm-bot-can-tay-say-lanh-bot-tia-to-bot-rau-ma-bot-diep-ca-say-lanh-nguyen-chat-hu-500g-bot-rau-xanh-say-lanh-da-lat-farm-i2720680163.html", "https://www.lazada.vn/products/da-lat-farm-bot-can-tay-say-lanh-bot-tia-to-bot-rau-ma-bot-diep-ca-say-lanh-nguyen-chat-hu-500g-bot-rau-xanh-say-lanh-da-lat-farm-i2720680163.html")</f>
        <v>https://www.lazada.vn/products/da-lat-farm-bot-can-tay-say-lanh-bot-tia-to-bot-rau-ma-bot-diep-ca-say-lanh-nguyen-chat-hu-500g-bot-rau-xanh-say-lanh-da-lat-farm-i2720680163.html</v>
      </c>
      <c r="C3268" s="10" t="s">
        <v>3268</v>
      </c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8">
        <v>8123.0</v>
      </c>
      <c r="B3269" s="9" t="str">
        <f>HYPERLINK("https://www.lazada.vn/products/bia-vang-abbaye-d-aulne-premier-cru-9-i2678814347.html", "https://www.lazada.vn/products/bia-vang-abbaye-d-aulne-premier-cru-9-i2678814347.html")</f>
        <v>https://www.lazada.vn/products/bia-vang-abbaye-d-aulne-premier-cru-9-i2678814347.html</v>
      </c>
      <c r="C3269" s="10" t="s">
        <v>3269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8">
        <v>8124.0</v>
      </c>
      <c r="B3270" s="9" t="str">
        <f>HYPERLINK("https://www.lazada.vn/products/combo-5-banh-sandwich-tam-giac-cha-bong-khoai-mon-phomai-bo-b176-gia-ngan-food-i2667370334.html", "https://www.lazada.vn/products/combo-5-banh-sandwich-tam-giac-cha-bong-khoai-mon-phomai-bo-b176-gia-ngan-food-i2667370334.html")</f>
        <v>https://www.lazada.vn/products/combo-5-banh-sandwich-tam-giac-cha-bong-khoai-mon-phomai-bo-b176-gia-ngan-food-i2667370334.html</v>
      </c>
      <c r="C3270" s="10" t="s">
        <v>3270</v>
      </c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8">
        <v>8125.0</v>
      </c>
      <c r="B3271" s="9" t="str">
        <f>HYPERLINK("https://www.lazada.vn/products/nuoc-cot-nhau-khong-duong-100-tu-nhien-khong-chat-bao-quan-tot-cho-suc-khoe-chai-500ml-i2817890981.html", "https://www.lazada.vn/products/nuoc-cot-nhau-khong-duong-100-tu-nhien-khong-chat-bao-quan-tot-cho-suc-khoe-chai-500ml-i2817890981.html")</f>
        <v>https://www.lazada.vn/products/nuoc-cot-nhau-khong-duong-100-tu-nhien-khong-chat-bao-quan-tot-cho-suc-khoe-chai-500ml-i2817890981.html</v>
      </c>
      <c r="C3271" s="10" t="s">
        <v>3271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8">
        <v>8126.0</v>
      </c>
      <c r="B3272" s="9" t="str">
        <f>HYPERLINK("https://www.lazada.vn/products/combo-5-banh-sandwich-tam-giac-cha-bong-khoai-mon-phomai-bo-b176-beegin-mart-i2667354446.html", "https://www.lazada.vn/products/combo-5-banh-sandwich-tam-giac-cha-bong-khoai-mon-phomai-bo-b176-beegin-mart-i2667354446.html")</f>
        <v>https://www.lazada.vn/products/combo-5-banh-sandwich-tam-giac-cha-bong-khoai-mon-phomai-bo-b176-beegin-mart-i2667354446.html</v>
      </c>
      <c r="C3272" s="10" t="s">
        <v>3272</v>
      </c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8">
        <v>8127.0</v>
      </c>
      <c r="B3273" s="9" t="str">
        <f>HYPERLINK("https://www.lazada.vn/products/chocolate-thanh-90gr-dang-babaevsky-nhap-khau-nga-nhap-khau-nga-i2935793073.html", "https://www.lazada.vn/products/chocolate-thanh-90gr-dang-babaevsky-nhap-khau-nga-nhap-khau-nga-i2935793073.html")</f>
        <v>https://www.lazada.vn/products/chocolate-thanh-90gr-dang-babaevsky-nhap-khau-nga-nhap-khau-nga-i2935793073.html</v>
      </c>
      <c r="C3273" s="10" t="s">
        <v>3273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8">
        <v>8128.0</v>
      </c>
      <c r="B3274" s="9" t="str">
        <f>HYPERLINK("https://www.lazada.vn/products/combo-3-thung-12-lon-nuoc-trai-cay-sparkling-mamapop-mix-6-vi-330mllon-i2815505481.html", "https://www.lazada.vn/products/combo-3-thung-12-lon-nuoc-trai-cay-sparkling-mamapop-mix-6-vi-330mllon-i2815505481.html")</f>
        <v>https://www.lazada.vn/products/combo-3-thung-12-lon-nuoc-trai-cay-sparkling-mamapop-mix-6-vi-330mllon-i2815505481.html</v>
      </c>
      <c r="C3274" s="10" t="s">
        <v>3274</v>
      </c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8">
        <v>8129.0</v>
      </c>
      <c r="B3275" s="9" t="str">
        <f>HYPERLINK("https://www.lazada.vn/products/chocolate-den-babaevsky-voi-hat-phi-nguyen-hat-thanh-200g-nhap-khau-nga-i2935713667.html", "https://www.lazada.vn/products/chocolate-den-babaevsky-voi-hat-phi-nguyen-hat-thanh-200g-nhap-khau-nga-i2935713667.html")</f>
        <v>https://www.lazada.vn/products/chocolate-den-babaevsky-voi-hat-phi-nguyen-hat-thanh-200g-nhap-khau-nga-i2935713667.html</v>
      </c>
      <c r="C3275" s="10" t="s">
        <v>3275</v>
      </c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8">
        <v>8130.0</v>
      </c>
      <c r="B3276" s="9" t="str">
        <f>HYPERLINK("https://www.lazada.vn/products/500g-keo-thach-trai-cay-tam-giac-mh-an-vat-do-an-vat-hot-i2529920937.html", "https://www.lazada.vn/products/500g-keo-thach-trai-cay-tam-giac-mh-an-vat-do-an-vat-hot-i2529920937.html")</f>
        <v>https://www.lazada.vn/products/500g-keo-thach-trai-cay-tam-giac-mh-an-vat-do-an-vat-hot-i2529920937.html</v>
      </c>
      <c r="C3276" s="10" t="s">
        <v>3276</v>
      </c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8">
        <v>8131.0</v>
      </c>
      <c r="B3277" s="9" t="str">
        <f>HYPERLINK("https://www.lazada.vn/products/loc-12-goi-snack-mi-vien-an-lien-vi-ga-cay-thoi-lua-thai-lan-38g-m07-beegin-food-i2651353488.html", "https://www.lazada.vn/products/loc-12-goi-snack-mi-vien-an-lien-vi-ga-cay-thoi-lua-thai-lan-38g-m07-beegin-food-i2651353488.html")</f>
        <v>https://www.lazada.vn/products/loc-12-goi-snack-mi-vien-an-lien-vi-ga-cay-thoi-lua-thai-lan-38g-m07-beegin-food-i2651353488.html</v>
      </c>
      <c r="C3277" s="10" t="s">
        <v>3277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8">
        <v>8132.0</v>
      </c>
      <c r="B3278" s="9" t="str">
        <f>HYPERLINK("https://www.lazada.vn/products/r-uou-mo-nakano-umeshu-nhat-ban-vi-nguyen-ban-i2611512998.html", "https://www.lazada.vn/products/r-uou-mo-nakano-umeshu-nhat-ban-vi-nguyen-ban-i2611512998.html")</f>
        <v>https://www.lazada.vn/products/r-uou-mo-nakano-umeshu-nhat-ban-vi-nguyen-ban-i2611512998.html</v>
      </c>
      <c r="C3278" s="10" t="s">
        <v>3278</v>
      </c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8">
        <v>8133.0</v>
      </c>
      <c r="B3279" s="9" t="str">
        <f>HYPERLINK("https://www.lazada.vn/products/thach-rau-cau-jin-jin-680g-nhieu-vi-i2512006235.html", "https://www.lazada.vn/products/thach-rau-cau-jin-jin-680g-nhieu-vi-i2512006235.html")</f>
        <v>https://www.lazada.vn/products/thach-rau-cau-jin-jin-680g-nhieu-vi-i2512006235.html</v>
      </c>
      <c r="C3279" s="10" t="s">
        <v>3279</v>
      </c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8">
        <v>8134.0</v>
      </c>
      <c r="B3280" s="9" t="str">
        <f>HYPERLINK("https://www.lazada.vn/products/kho-ca-gung-kho-ca-run-ca-mau-1kg500gram-250gram-100gram-chuyen-nau-sim-lo-thom-phuc-mon-ngon-dan-toc-i2033262008.html", "https://www.lazada.vn/products/kho-ca-gung-kho-ca-run-ca-mau-1kg500gram-250gram-100gram-chuyen-nau-sim-lo-thom-phuc-mon-ngon-dan-toc-i2033262008.html")</f>
        <v>https://www.lazada.vn/products/kho-ca-gung-kho-ca-run-ca-mau-1kg500gram-250gram-100gram-chuyen-nau-sim-lo-thom-phuc-mon-ngon-dan-toc-i2033262008.html</v>
      </c>
      <c r="C3280" s="10" t="s">
        <v>3280</v>
      </c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8">
        <v>8135.0</v>
      </c>
      <c r="B3281" s="9" t="str">
        <f>HYPERLINK("https://www.lazada.vn/products/vang-trang-terre-terre-di-chietti-pecorino-biologique-750ml-i2280241245.html", "https://www.lazada.vn/products/vang-trang-terre-terre-di-chietti-pecorino-biologique-750ml-i2280241245.html")</f>
        <v>https://www.lazada.vn/products/vang-trang-terre-terre-di-chietti-pecorino-biologique-750ml-i2280241245.html</v>
      </c>
      <c r="C3281" s="10" t="s">
        <v>3281</v>
      </c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8">
        <v>8136.0</v>
      </c>
      <c r="B3282" s="9" t="str">
        <f>HYPERLINK("https://www.lazada.vn/products/combo-3-tang-1-ca-phe-sua-hoa-tan-k-delight-3in1-612g-tui-36-goi-x-17g-thuong-hieu-k-coffee-i2721824654.html", "https://www.lazada.vn/products/combo-3-tang-1-ca-phe-sua-hoa-tan-k-delight-3in1-612g-tui-36-goi-x-17g-thuong-hieu-k-coffee-i2721824654.html")</f>
        <v>https://www.lazada.vn/products/combo-3-tang-1-ca-phe-sua-hoa-tan-k-delight-3in1-612g-tui-36-goi-x-17g-thuong-hieu-k-coffee-i2721824654.html</v>
      </c>
      <c r="C3282" s="10" t="s">
        <v>3282</v>
      </c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8">
        <v>8137.0</v>
      </c>
      <c r="B3283" s="9" t="str">
        <f>HYPERLINK("https://www.lazada.vn/products/bim-bim-poca-37g-du-cac-vi-i2454709526.html", "https://www.lazada.vn/products/bim-bim-poca-37g-du-cac-vi-i2454709526.html")</f>
        <v>https://www.lazada.vn/products/bim-bim-poca-37g-du-cac-vi-i2454709526.html</v>
      </c>
      <c r="C3283" s="10" t="s">
        <v>3283</v>
      </c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8">
        <v>8138.0</v>
      </c>
      <c r="B3284" s="9" t="str">
        <f>HYPERLINK("https://www.lazada.vn/products/snack-banh-thuong-khoai-lang-say-deo-50gr-natural-core-i2812373069.html", "https://www.lazada.vn/products/snack-banh-thuong-khoai-lang-say-deo-50gr-natural-core-i2812373069.html")</f>
        <v>https://www.lazada.vn/products/snack-banh-thuong-khoai-lang-say-deo-50gr-natural-core-i2812373069.html</v>
      </c>
      <c r="C3284" s="10" t="s">
        <v>3284</v>
      </c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8">
        <v>8139.0</v>
      </c>
      <c r="B3285" s="9" t="str">
        <f>HYPERLINK("https://www.lazada.vn/products/toi-co-don-ngam-giam-toi-ot-1-lit-i2033054893.html", "https://www.lazada.vn/products/toi-co-don-ngam-giam-toi-ot-1-lit-i2033054893.html")</f>
        <v>https://www.lazada.vn/products/toi-co-don-ngam-giam-toi-ot-1-lit-i2033054893.html</v>
      </c>
      <c r="C3285" s="10" t="s">
        <v>3285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8">
        <v>8140.0</v>
      </c>
      <c r="B3286" s="9" t="str">
        <f>HYPERLINK("https://www.lazada.vn/products/combo-2-goi-ca-phe-sua-kopiko-macchiato-3in1-i2721563752.html", "https://www.lazada.vn/products/combo-2-goi-ca-phe-sua-kopiko-macchiato-3in1-i2721563752.html")</f>
        <v>https://www.lazada.vn/products/combo-2-goi-ca-phe-sua-kopiko-macchiato-3in1-i2721563752.html</v>
      </c>
      <c r="C3286" s="10" t="s">
        <v>3286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8">
        <v>8141.0</v>
      </c>
      <c r="B3287" s="9" t="str">
        <f>HYPERLINK("https://www.lazada.vn/products/vang-do-second-de-camensac-haut-medoc-750ml-i2280239790.html", "https://www.lazada.vn/products/vang-do-second-de-camensac-haut-medoc-750ml-i2280239790.html")</f>
        <v>https://www.lazada.vn/products/vang-do-second-de-camensac-haut-medoc-750ml-i2280239790.html</v>
      </c>
      <c r="C3287" s="10" t="s">
        <v>3287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8">
        <v>8142.0</v>
      </c>
      <c r="B3288" s="9" t="str">
        <f>HYPERLINK("https://www.lazada.vn/products/khatta-metha-saver-pkt-800g-i2435035970.html", "https://www.lazada.vn/products/khatta-metha-saver-pkt-800g-i2435035970.html")</f>
        <v>https://www.lazada.vn/products/khatta-metha-saver-pkt-800g-i2435035970.html</v>
      </c>
      <c r="C3288" s="10" t="s">
        <v>3288</v>
      </c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8">
        <v>8143.0</v>
      </c>
      <c r="B3289" s="9" t="str">
        <f>HYPERLINK("https://www.lazada.vn/products/thung-bia-corona-extra-24-chai-300ml-nong-do-45-co-ship-hoa-toc-i2980646872.html", "https://www.lazada.vn/products/thung-bia-corona-extra-24-chai-300ml-nong-do-45-co-ship-hoa-toc-i2980646872.html")</f>
        <v>https://www.lazada.vn/products/thung-bia-corona-extra-24-chai-300ml-nong-do-45-co-ship-hoa-toc-i2980646872.html</v>
      </c>
      <c r="C3289" s="10" t="s">
        <v>3289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8">
        <v>8144.0</v>
      </c>
      <c r="B3290" s="9" t="str">
        <f>HYPERLINK("https://www.lazada.vn/products/banh-keo-si-combo-40-banh-sung-bo-bauli-moonfils-45g-banh-an-sang-tien-loi-giau-dinh-duong-banh-sung-trau-do-an-vat-i2952443634.html", "https://www.lazada.vn/products/banh-keo-si-combo-40-banh-sung-bo-bauli-moonfils-45g-banh-an-sang-tien-loi-giau-dinh-duong-banh-sung-trau-do-an-vat-i2952443634.html")</f>
        <v>https://www.lazada.vn/products/banh-keo-si-combo-40-banh-sung-bo-bauli-moonfils-45g-banh-an-sang-tien-loi-giau-dinh-duong-banh-sung-trau-do-an-vat-i2952443634.html</v>
      </c>
      <c r="C3290" s="10" t="s">
        <v>3290</v>
      </c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8">
        <v>8145.0</v>
      </c>
      <c r="B3291" s="9" t="str">
        <f>HYPERLINK("https://www.lazada.vn/products/mi-indomie-gia-re-vo-dich-i2136894162.html", "https://www.lazada.vn/products/mi-indomie-gia-re-vo-dich-i2136894162.html")</f>
        <v>https://www.lazada.vn/products/mi-indomie-gia-re-vo-dich-i2136894162.html</v>
      </c>
      <c r="C3291" s="10" t="s">
        <v>3291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8">
        <v>8146.0</v>
      </c>
      <c r="B3292" s="9" t="str">
        <f>HYPERLINK("https://www.lazada.vn/products/banh-quy-furuta-nhieu-vi-hang-noi-dia-nhat-i2917090946.html", "https://www.lazada.vn/products/banh-quy-furuta-nhieu-vi-hang-noi-dia-nhat-i2917090946.html")</f>
        <v>https://www.lazada.vn/products/banh-quy-furuta-nhieu-vi-hang-noi-dia-nhat-i2917090946.html</v>
      </c>
      <c r="C3292" s="10" t="s">
        <v>3292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8">
        <v>8147.0</v>
      </c>
      <c r="B3293" s="9" t="str">
        <f>HYPERLINK("https://www.lazada.vn/products/loc-5-goi-mi-samyang-quattro-cheese-mi-tron-cay-phomai-cam-samyang-mi-tron-cay-4-loai-phomai-mi-kho-ga-cay-quattro-samyang-i2874244600.html", "https://www.lazada.vn/products/loc-5-goi-mi-samyang-quattro-cheese-mi-tron-cay-phomai-cam-samyang-mi-tron-cay-4-loai-phomai-mi-kho-ga-cay-quattro-samyang-i2874244600.html")</f>
        <v>https://www.lazada.vn/products/loc-5-goi-mi-samyang-quattro-cheese-mi-tron-cay-phomai-cam-samyang-mi-tron-cay-4-loai-phomai-mi-kho-ga-cay-quattro-samyang-i2874244600.html</v>
      </c>
      <c r="C3293" s="10" t="s">
        <v>3293</v>
      </c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8">
        <v>8148.0</v>
      </c>
      <c r="B3294" s="9" t="str">
        <f>HYPERLINK("https://www.lazada.vn/products/apple-dried-fruit-snack-fresh-sun-dried-non-fried-dehydrated-healthy-leisure-snack-bag-packaging-apple-crisp-fruit-snack-i2923789707.html", "https://www.lazada.vn/products/apple-dried-fruit-snack-fresh-sun-dried-non-fried-dehydrated-healthy-leisure-snack-bag-packaging-apple-crisp-fruit-snack-i2923789707.html")</f>
        <v>https://www.lazada.vn/products/apple-dried-fruit-snack-fresh-sun-dried-non-fried-dehydrated-healthy-leisure-snack-bag-packaging-apple-crisp-fruit-snack-i2923789707.html</v>
      </c>
      <c r="C3294" s="10" t="s">
        <v>3294</v>
      </c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8">
        <v>8149.0</v>
      </c>
      <c r="B3295" s="9" t="str">
        <f>HYPERLINK("https://www.lazada.vn/products/bo-suu-tap-an-nhe-dried-yogurt-blocks-salt-pouch-vo-cam-dau-tay-dua-dai-deo-deo-kho-mua-dong-lanh-48g-i2923788810.html", "https://www.lazada.vn/products/bo-suu-tap-an-nhe-dried-yogurt-blocks-salt-pouch-vo-cam-dau-tay-dua-dai-deo-deo-kho-mua-dong-lanh-48g-i2923788810.html")</f>
        <v>https://www.lazada.vn/products/bo-suu-tap-an-nhe-dried-yogurt-blocks-salt-pouch-vo-cam-dau-tay-dua-dai-deo-deo-kho-mua-dong-lanh-48g-i2923788810.html</v>
      </c>
      <c r="C3295" s="10" t="s">
        <v>3295</v>
      </c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8">
        <v>8150.0</v>
      </c>
      <c r="B3296" s="9" t="str">
        <f>HYPERLINK("https://www.lazada.vn/products/bo-suu-tap-trai-cay-kho-dong-lanh-free-range-dried-pear-snack-cho-van-phong-va-tre-em-snack-giai-tri-khong-chiet-xuat-dau-i2923788791.html", "https://www.lazada.vn/products/bo-suu-tap-trai-cay-kho-dong-lanh-free-range-dried-pear-snack-cho-van-phong-va-tre-em-snack-giai-tri-khong-chiet-xuat-dau-i2923788791.html")</f>
        <v>https://www.lazada.vn/products/bo-suu-tap-trai-cay-kho-dong-lanh-free-range-dried-pear-snack-cho-van-phong-va-tre-em-snack-giai-tri-khong-chiet-xuat-dau-i2923788791.html</v>
      </c>
      <c r="C3296" s="10" t="s">
        <v>3296</v>
      </c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8">
        <v>8151.0</v>
      </c>
      <c r="B3297" s="9" t="str">
        <f>HYPERLINK("https://www.lazada.vn/products/combo-10-hop-ca-ngu-ngam-dau-vissan-date-2027-i3042451241.html", "https://www.lazada.vn/products/combo-10-hop-ca-ngu-ngam-dau-vissan-date-2027-i3042451241.html")</f>
        <v>https://www.lazada.vn/products/combo-10-hop-ca-ngu-ngam-dau-vissan-date-2027-i3042451241.html</v>
      </c>
      <c r="C3297" s="10" t="s">
        <v>3297</v>
      </c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8">
        <v>8152.0</v>
      </c>
      <c r="B3298" s="9" t="str">
        <f>HYPERLINK("https://www.lazada.vn/products/vang-do-madeline-750-ml-vang-goi-qua-gia-si-i2730470983.html", "https://www.lazada.vn/products/vang-do-madeline-750-ml-vang-goi-qua-gia-si-i2730470983.html")</f>
        <v>https://www.lazada.vn/products/vang-do-madeline-750-ml-vang-goi-qua-gia-si-i2730470983.html</v>
      </c>
      <c r="C3298" s="10" t="s">
        <v>3298</v>
      </c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8">
        <v>8153.0</v>
      </c>
      <c r="B3299" s="9" t="str">
        <f>HYPERLINK("https://www.lazada.vn/products/ruou-vang-phap-1982-ug-bordeaux-i2678767329.html", "https://www.lazada.vn/products/ruou-vang-phap-1982-ug-bordeaux-i2678767329.html")</f>
        <v>https://www.lazada.vn/products/ruou-vang-phap-1982-ug-bordeaux-i2678767329.html</v>
      </c>
      <c r="C3299" s="10" t="s">
        <v>3299</v>
      </c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8">
        <v>8154.0</v>
      </c>
      <c r="B3300" s="9" t="str">
        <f>HYPERLINK("https://www.lazada.vn/products/37290-thuc-pham-bo-sung-bot-can-bang-dinh-duong-natural-balance-shake-huong-vani-wellness-shake-mau-moi-i2720618915.html", "https://www.lazada.vn/products/37290-thuc-pham-bo-sung-bot-can-bang-dinh-duong-natural-balance-shake-huong-vani-wellness-shake-mau-moi-i2720618915.html")</f>
        <v>https://www.lazada.vn/products/37290-thuc-pham-bo-sung-bot-can-bang-dinh-duong-natural-balance-shake-huong-vani-wellness-shake-mau-moi-i2720618915.html</v>
      </c>
      <c r="C3300" s="10" t="s">
        <v>3300</v>
      </c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8">
        <v>8155.0</v>
      </c>
      <c r="B3301" s="9" t="str">
        <f>HYPERLINK("https://www.lazada.vn/products/thung-24-lon-bia-hoi-ha-noi-500ml-i2676828470.html", "https://www.lazada.vn/products/thung-24-lon-bia-hoi-ha-noi-500ml-i2676828470.html")</f>
        <v>https://www.lazada.vn/products/thung-24-lon-bia-hoi-ha-noi-500ml-i2676828470.html</v>
      </c>
      <c r="C3301" s="10" t="s">
        <v>3301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8">
        <v>8156.0</v>
      </c>
      <c r="B3302" s="9" t="str">
        <f>HYPERLINK("https://www.lazada.vn/products/combo-5-banh-sandwich-tam-giac-cha-bong-khoai-mon-phomai-bo-b176-beegin-food-store-i2667349463.html", "https://www.lazada.vn/products/combo-5-banh-sandwich-tam-giac-cha-bong-khoai-mon-phomai-bo-b176-beegin-food-store-i2667349463.html")</f>
        <v>https://www.lazada.vn/products/combo-5-banh-sandwich-tam-giac-cha-bong-khoai-mon-phomai-bo-b176-beegin-food-store-i2667349463.html</v>
      </c>
      <c r="C3302" s="10" t="s">
        <v>3302</v>
      </c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8">
        <v>8157.0</v>
      </c>
      <c r="B3303" s="9" t="str">
        <f>HYPERLINK("https://www.lazada.vn/products/combo-5-banh-sandwich-tam-giac-cha-bong-khoai-mon-phomai-bo-b176-beegin-food-i2667344981.html", "https://www.lazada.vn/products/combo-5-banh-sandwich-tam-giac-cha-bong-khoai-mon-phomai-bo-b176-beegin-food-i2667344981.html")</f>
        <v>https://www.lazada.vn/products/combo-5-banh-sandwich-tam-giac-cha-bong-khoai-mon-phomai-bo-b176-beegin-food-i2667344981.html</v>
      </c>
      <c r="C3303" s="10" t="s">
        <v>3303</v>
      </c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8">
        <v>8158.0</v>
      </c>
      <c r="B3304" s="9" t="str">
        <f>HYPERLINK("https://www.lazada.vn/products/keo-socola-kitkat-goi-6-thanh-102g-6-thanhgoi-i2935128533.html", "https://www.lazada.vn/products/keo-socola-kitkat-goi-6-thanh-102g-6-thanhgoi-i2935128533.html")</f>
        <v>https://www.lazada.vn/products/keo-socola-kitkat-goi-6-thanh-102g-6-thanhgoi-i2935128533.html</v>
      </c>
      <c r="C3304" s="10" t="s">
        <v>3304</v>
      </c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8">
        <v>8159.0</v>
      </c>
      <c r="B3305" s="9" t="str">
        <f>HYPERLINK("https://www.lazada.vn/products/500gr-bim-khoai-tay-lays-vi-pho-bo-ha-noi-new-i2809768160.html", "https://www.lazada.vn/products/500gr-bim-khoai-tay-lays-vi-pho-bo-ha-noi-new-i2809768160.html")</f>
        <v>https://www.lazada.vn/products/500gr-bim-khoai-tay-lays-vi-pho-bo-ha-noi-new-i2809768160.html</v>
      </c>
      <c r="C3305" s="10" t="s">
        <v>3305</v>
      </c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8">
        <v>8160.0</v>
      </c>
      <c r="B3306" s="9" t="str">
        <f>HYPERLINK("https://www.lazada.vn/products/thach-zai-zai-duc-hanh-28-thanh-dai-mix-du-vi-1kg-i2510646384.html", "https://www.lazada.vn/products/thach-zai-zai-duc-hanh-28-thanh-dai-mix-du-vi-1kg-i2510646384.html")</f>
        <v>https://www.lazada.vn/products/thach-zai-zai-duc-hanh-28-thanh-dai-mix-du-vi-1kg-i2510646384.html</v>
      </c>
      <c r="C3306" s="10" t="s">
        <v>3306</v>
      </c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8">
        <v>8161.0</v>
      </c>
      <c r="B3307" s="9" t="str">
        <f>HYPERLINK("https://www.lazada.vn/products/combo-5-goi-snack-mi-vien-an-lien-vi-ga-cay-thoi-lua-thai-lan-38g-m07-an-vat-beegin-i2651345577.html", "https://www.lazada.vn/products/combo-5-goi-snack-mi-vien-an-lien-vi-ga-cay-thoi-lua-thai-lan-38g-m07-an-vat-beegin-i2651345577.html")</f>
        <v>https://www.lazada.vn/products/combo-5-goi-snack-mi-vien-an-lien-vi-ga-cay-thoi-lua-thai-lan-38g-m07-an-vat-beegin-i2651345577.html</v>
      </c>
      <c r="C3307" s="10" t="s">
        <v>3307</v>
      </c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8">
        <v>8162.0</v>
      </c>
      <c r="B3308" s="9" t="str">
        <f>HYPERLINK("https://www.lazada.vn/products/combo-2-thung-12-lon-nuoc-trai-cay-sparkling-mamapop-mix-6-vi-330mllon-i2815262399.html", "https://www.lazada.vn/products/combo-2-thung-12-lon-nuoc-trai-cay-sparkling-mamapop-mix-6-vi-330mllon-i2815262399.html")</f>
        <v>https://www.lazada.vn/products/combo-2-thung-12-lon-nuoc-trai-cay-sparkling-mamapop-mix-6-vi-330mllon-i2815262399.html</v>
      </c>
      <c r="C3308" s="10" t="s">
        <v>3308</v>
      </c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8">
        <v>8163.0</v>
      </c>
      <c r="B3309" s="9" t="str">
        <f>HYPERLINK("https://www.lazada.vn/products/sieu-ca-phe-sieu-dat-mini-binh-tra-nhi-i2721027063.html", "https://www.lazada.vn/products/sieu-ca-phe-sieu-dat-mini-binh-tra-nhi-i2721027063.html")</f>
        <v>https://www.lazada.vn/products/sieu-ca-phe-sieu-dat-mini-binh-tra-nhi-i2721027063.html</v>
      </c>
      <c r="C3309" s="10" t="s">
        <v>3309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8">
        <v>8164.0</v>
      </c>
      <c r="B3310" s="9" t="str">
        <f>HYPERLINK("https://www.lazada.vn/products/siro-mang-cau-mama-rosa-soursop-syrup-700ml-i2609974268.html", "https://www.lazada.vn/products/siro-mang-cau-mama-rosa-soursop-syrup-700ml-i2609974268.html")</f>
        <v>https://www.lazada.vn/products/siro-mang-cau-mama-rosa-soursop-syrup-700ml-i2609974268.html</v>
      </c>
      <c r="C3310" s="10" t="s">
        <v>3310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8">
        <v>8165.0</v>
      </c>
      <c r="B3311" s="9" t="str">
        <f>HYPERLINK("https://www.lazada.vn/products/vang-trang-chateau-la-bastide-sauvignon-i2280230360.html", "https://www.lazada.vn/products/vang-trang-chateau-la-bastide-sauvignon-i2280230360.html")</f>
        <v>https://www.lazada.vn/products/vang-trang-chateau-la-bastide-sauvignon-i2280230360.html</v>
      </c>
      <c r="C3311" s="10" t="s">
        <v>3311</v>
      </c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8">
        <v>8166.0</v>
      </c>
      <c r="B3312" s="9" t="str">
        <f>HYPERLINK("https://www.lazada.vn/products/duong-dua-i2388835391.html", "https://www.lazada.vn/products/duong-dua-i2388835391.html")</f>
        <v>https://www.lazada.vn/products/duong-dua-i2388835391.html</v>
      </c>
      <c r="C3312" s="10" t="s">
        <v>3312</v>
      </c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8">
        <v>8167.0</v>
      </c>
      <c r="B3313" s="9" t="str">
        <f>HYPERLINK("https://www.lazada.vn/products/hat-dac-tuoi-non-deo-1kg-viettin-mart-i2031551887.html", "https://www.lazada.vn/products/hat-dac-tuoi-non-deo-1kg-viettin-mart-i2031551887.html")</f>
        <v>https://www.lazada.vn/products/hat-dac-tuoi-non-deo-1kg-viettin-mart-i2031551887.html</v>
      </c>
      <c r="C3313" s="10" t="s">
        <v>3313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8">
        <v>8168.0</v>
      </c>
      <c r="B3314" s="9" t="str">
        <f>HYPERLINK("https://www.lazada.vn/products/mut-rong-sun-mix-nhieu-vi-lam-thu-cong-it-ngot-khong-chat-bao-quan-i2117480498.html", "https://www.lazada.vn/products/mut-rong-sun-mix-nhieu-vi-lam-thu-cong-it-ngot-khong-chat-bao-quan-i2117480498.html")</f>
        <v>https://www.lazada.vn/products/mut-rong-sun-mix-nhieu-vi-lam-thu-cong-it-ngot-khong-chat-bao-quan-i2117480498.html</v>
      </c>
      <c r="C3314" s="10" t="s">
        <v>3314</v>
      </c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8">
        <v>8169.0</v>
      </c>
      <c r="B3315" s="9" t="str">
        <f>HYPERLINK("https://www.lazada.vn/products/100gr-banh-quy-ca-man-tron-man-dua-men-bi-i2917064657.html", "https://www.lazada.vn/products/100gr-banh-quy-ca-man-tron-man-dua-men-bi-i2917064657.html")</f>
        <v>https://www.lazada.vn/products/100gr-banh-quy-ca-man-tron-man-dua-men-bi-i2917064657.html</v>
      </c>
      <c r="C3315" s="10" t="s">
        <v>3315</v>
      </c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8">
        <v>8170.0</v>
      </c>
      <c r="B3316" s="9" t="str">
        <f>HYPERLINK("https://www.lazada.vn/products/loc-6-lon-tang-1-ly-thuy-tinh-bia-edelweiss-loc-6-lon-co-tang-kem-1-ly-thuy-tinh-lon-330ml-nong-do-49-i2980628783.html", "https://www.lazada.vn/products/loc-6-lon-tang-1-ly-thuy-tinh-bia-edelweiss-loc-6-lon-co-tang-kem-1-ly-thuy-tinh-lon-330ml-nong-do-49-i2980628783.html")</f>
        <v>https://www.lazada.vn/products/loc-6-lon-tang-1-ly-thuy-tinh-bia-edelweiss-loc-6-lon-co-tang-kem-1-ly-thuy-tinh-lon-330ml-nong-do-49-i2980628783.html</v>
      </c>
      <c r="C3316" s="10" t="s">
        <v>3316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8">
        <v>8171.0</v>
      </c>
      <c r="B3317" s="9" t="str">
        <f>HYPERLINK("https://www.lazada.vn/products/loai-cao-cap-banh-ngan-lop-nhan-trung-muoi-dau-do-thom-ngon-i2822286076.html", "https://www.lazada.vn/products/loai-cao-cap-banh-ngan-lop-nhan-trung-muoi-dau-do-thom-ngon-i2822286076.html")</f>
        <v>https://www.lazada.vn/products/loai-cao-cap-banh-ngan-lop-nhan-trung-muoi-dau-do-thom-ngon-i2822286076.html</v>
      </c>
      <c r="C3317" s="10" t="s">
        <v>3317</v>
      </c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8">
        <v>8172.0</v>
      </c>
      <c r="B3318" s="9" t="str">
        <f>HYPERLINK("https://www.lazada.vn/products/20h-3-64-vc-18-cho-don-tu-199k-mi-omachi-lau-cam-tay-huong-vi-lau-ngao-nam-rong-bien-ly-x-62gr-i2873785268.html", "https://www.lazada.vn/products/20h-3-64-vc-18-cho-don-tu-199k-mi-omachi-lau-cam-tay-huong-vi-lau-ngao-nam-rong-bien-ly-x-62gr-i2873785268.html")</f>
        <v>https://www.lazada.vn/products/20h-3-64-vc-18-cho-don-tu-199k-mi-omachi-lau-cam-tay-huong-vi-lau-ngao-nam-rong-bien-ly-x-62gr-i2873785268.html</v>
      </c>
      <c r="C3318" s="10" t="s">
        <v>3318</v>
      </c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8">
        <v>8173.0</v>
      </c>
      <c r="B3319" s="9" t="str">
        <f>HYPERLINK("https://www.lazada.vn/products/thung-bia-hoi-ha-noi-lon-500ml-nong-do-41-co-ship-hoa-toc-i2980595994.html", "https://www.lazada.vn/products/thung-bia-hoi-ha-noi-lon-500ml-nong-do-41-co-ship-hoa-toc-i2980595994.html")</f>
        <v>https://www.lazada.vn/products/thung-bia-hoi-ha-noi-lon-500ml-nong-do-41-co-ship-hoa-toc-i2980595994.html</v>
      </c>
      <c r="C3319" s="10" t="s">
        <v>3319</v>
      </c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8">
        <v>8174.0</v>
      </c>
      <c r="B3320" s="9" t="str">
        <f>HYPERLINK("https://www.lazada.vn/products/strawberry-dried-frozen-snack-no-additives-small-packaging-pregnant-women-love-online-celebrity-fruit-dry-goods-i2923788724.html", "https://www.lazada.vn/products/strawberry-dried-frozen-snack-no-additives-small-packaging-pregnant-women-love-online-celebrity-fruit-dry-goods-i2923788724.html")</f>
        <v>https://www.lazada.vn/products/strawberry-dried-frozen-snack-no-additives-small-packaging-pregnant-women-love-online-celebrity-fruit-dry-goods-i2923788724.html</v>
      </c>
      <c r="C3320" s="10" t="s">
        <v>3320</v>
      </c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8">
        <v>8175.0</v>
      </c>
      <c r="B3321" s="9" t="str">
        <f>HYPERLINK("https://www.lazada.vn/products/dau-tay-da-lat-say-deo-thuong-hieu-ngo-mai-hoa-hu-250g-kingsmart-i3041961938.html", "https://www.lazada.vn/products/dau-tay-da-lat-say-deo-thuong-hieu-ngo-mai-hoa-hu-250g-kingsmart-i3041961938.html")</f>
        <v>https://www.lazada.vn/products/dau-tay-da-lat-say-deo-thuong-hieu-ngo-mai-hoa-hu-250g-kingsmart-i3041961938.html</v>
      </c>
      <c r="C3321" s="10" t="s">
        <v>3321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8">
        <v>8176.0</v>
      </c>
      <c r="B3322" s="9" t="str">
        <f>HYPERLINK("https://www.lazada.vn/products/dua-mon-ngam-chua-ngot-hu-1kg-giao-hcm-i3041692366.html", "https://www.lazada.vn/products/dua-mon-ngam-chua-ngot-hu-1kg-giao-hcm-i3041692366.html")</f>
        <v>https://www.lazada.vn/products/dua-mon-ngam-chua-ngot-hu-1kg-giao-hcm-i3041692366.html</v>
      </c>
      <c r="C3322" s="10" t="s">
        <v>3322</v>
      </c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8">
        <v>8177.0</v>
      </c>
      <c r="B3323" s="9" t="str">
        <f>HYPERLINK("https://www.lazada.vn/products/vang-do-la-monica-750-ml-vang-goi-qua-gia-si-i2729324004.html", "https://www.lazada.vn/products/vang-do-la-monica-750-ml-vang-goi-qua-gia-si-i2729324004.html")</f>
        <v>https://www.lazada.vn/products/vang-do-la-monica-750-ml-vang-goi-qua-gia-si-i2729324004.html</v>
      </c>
      <c r="C3323" s="10" t="s">
        <v>3323</v>
      </c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8">
        <v>8178.0</v>
      </c>
      <c r="B3324" s="9" t="str">
        <f>HYPERLINK("https://www.lazada.vn/products/ruou-vang-do-nhat-yamanashi-de-grace-i2678347668.html", "https://www.lazada.vn/products/ruou-vang-do-nhat-yamanashi-de-grace-i2678347668.html")</f>
        <v>https://www.lazada.vn/products/ruou-vang-do-nhat-yamanashi-de-grace-i2678347668.html</v>
      </c>
      <c r="C3324" s="10" t="s">
        <v>3324</v>
      </c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8">
        <v>8179.0</v>
      </c>
      <c r="B3325" s="9" t="str">
        <f>HYPERLINK("https://www.lazada.vn/products/hot-bot-trai-cay-mix-4-vi-khong-duong-it-calo-crystal-light-bot-pha-nuoc-trai-cay-an-kieng-giam-can-eatclean-viet-thai-organic-i2720178827.html", "https://www.lazada.vn/products/hot-bot-trai-cay-mix-4-vi-khong-duong-it-calo-crystal-light-bot-pha-nuoc-trai-cay-an-kieng-giam-can-eatclean-viet-thai-organic-i2720178827.html")</f>
        <v>https://www.lazada.vn/products/hot-bot-trai-cay-mix-4-vi-khong-duong-it-calo-crystal-light-bot-pha-nuoc-trai-cay-an-kieng-giam-can-eatclean-viet-thai-organic-i2720178827.html</v>
      </c>
      <c r="C3325" s="10" t="s">
        <v>3325</v>
      </c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8">
        <v>8180.0</v>
      </c>
      <c r="B3326" s="9" t="str">
        <f>HYPERLINK("https://www.lazada.vn/products/lon-bia-hoi-ha-noi-500ml-tron-vi-ngon-i2676822480.html", "https://www.lazada.vn/products/lon-bia-hoi-ha-noi-500ml-tron-vi-ngon-i2676822480.html")</f>
        <v>https://www.lazada.vn/products/lon-bia-hoi-ha-noi-500ml-tron-vi-ngon-i2676822480.html</v>
      </c>
      <c r="C3326" s="10" t="s">
        <v>3326</v>
      </c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8">
        <v>8181.0</v>
      </c>
      <c r="B3327" s="9" t="str">
        <f>HYPERLINK("https://www.lazada.vn/products/500gr-bim-khoai-tay-lays-vi-rong-bien-i2809746347.html", "https://www.lazada.vn/products/500gr-bim-khoai-tay-lays-vi-rong-bien-i2809746347.html")</f>
        <v>https://www.lazada.vn/products/500gr-bim-khoai-tay-lays-vi-rong-bien-i2809746347.html</v>
      </c>
      <c r="C3327" s="10" t="s">
        <v>3327</v>
      </c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8">
        <v>8182.0</v>
      </c>
      <c r="B3328" s="9" t="str">
        <f>HYPERLINK("https://www.lazada.vn/products/keo-socola-hanh-nhan-tim-krokant-nga-tui-500g-i2935034521.html", "https://www.lazada.vn/products/keo-socola-hanh-nhan-tim-krokant-nga-tui-500g-i2935034521.html")</f>
        <v>https://www.lazada.vn/products/keo-socola-hanh-nhan-tim-krokant-nga-tui-500g-i2935034521.html</v>
      </c>
      <c r="C3328" s="10" t="s">
        <v>3328</v>
      </c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8">
        <v>8183.0</v>
      </c>
      <c r="B3329" s="9" t="str">
        <f>HYPERLINK("https://www.lazada.vn/products/combo-3-goi-nest-ca-phe-viet-den-da-35-goi-tang-bo-binh-ly-thuy-tinh-i2720336147.html", "https://www.lazada.vn/products/combo-3-goi-nest-ca-phe-viet-den-da-35-goi-tang-bo-binh-ly-thuy-tinh-i2720336147.html")</f>
        <v>https://www.lazada.vn/products/combo-3-goi-nest-ca-phe-viet-den-da-35-goi-tang-bo-binh-ly-thuy-tinh-i2720336147.html</v>
      </c>
      <c r="C3329" s="10" t="s">
        <v>3329</v>
      </c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8">
        <v>8184.0</v>
      </c>
      <c r="B3330" s="9" t="str">
        <f>HYPERLINK("https://www.lazada.vn/products/vang-do-haut-medoc-de-lagrange-3eme-i2280229043.html", "https://www.lazada.vn/products/vang-do-haut-medoc-de-lagrange-3eme-i2280229043.html")</f>
        <v>https://www.lazada.vn/products/vang-do-haut-medoc-de-lagrange-3eme-i2280229043.html</v>
      </c>
      <c r="C3330" s="10" t="s">
        <v>3330</v>
      </c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8">
        <v>8185.0</v>
      </c>
      <c r="B3331" s="9" t="str">
        <f>HYPERLINK("https://www.lazada.vn/products/thach-zai-zai-duc-hanh-1kg-loai-vuong-mix-nhieu-vi-i2510628525.html", "https://www.lazada.vn/products/thach-zai-zai-duc-hanh-1kg-loai-vuong-mix-nhieu-vi-i2510628525.html")</f>
        <v>https://www.lazada.vn/products/thach-zai-zai-duc-hanh-1kg-loai-vuong-mix-nhieu-vi-i2510628525.html</v>
      </c>
      <c r="C3331" s="10" t="s">
        <v>3331</v>
      </c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8">
        <v>8186.0</v>
      </c>
      <c r="B3332" s="9" t="str">
        <f>HYPERLINK("https://www.lazada.vn/products/loc-12-goi-snack-mi-vien-an-lien-vi-ga-cay-thoi-lua-thai-lan-38g-m07-beeginfood-shop-i2651328610.html", "https://www.lazada.vn/products/loc-12-goi-snack-mi-vien-an-lien-vi-ga-cay-thoi-lua-thai-lan-38g-m07-beeginfood-shop-i2651328610.html")</f>
        <v>https://www.lazada.vn/products/loc-12-goi-snack-mi-vien-an-lien-vi-ga-cay-thoi-lua-thai-lan-38g-m07-beeginfood-shop-i2651328610.html</v>
      </c>
      <c r="C3332" s="10" t="s">
        <v>3332</v>
      </c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8">
        <v>8187.0</v>
      </c>
      <c r="B3333" s="9" t="str">
        <f>HYPERLINK("https://www.lazada.vn/products/chan-ga-i2325047677.html", "https://www.lazada.vn/products/chan-ga-i2325047677.html")</f>
        <v>https://www.lazada.vn/products/chan-ga-i2325047677.html</v>
      </c>
      <c r="C3333" s="10" t="s">
        <v>3333</v>
      </c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8">
        <v>8188.0</v>
      </c>
      <c r="B3334" s="9" t="str">
        <f>HYPERLINK("https://www.lazada.vn/products/cao-pin-h-uou-loc-pin-cao-siro-ky-tu-nhan-sam-cam-thao-hoang-tinh-phat-thu-i2608404410.html", "https://www.lazada.vn/products/cao-pin-h-uou-loc-pin-cao-siro-ky-tu-nhan-sam-cam-thao-hoang-tinh-phat-thu-i2608404410.html")</f>
        <v>https://www.lazada.vn/products/cao-pin-h-uou-loc-pin-cao-siro-ky-tu-nhan-sam-cam-thao-hoang-tinh-phat-thu-i2608404410.html</v>
      </c>
      <c r="C3334" s="10" t="s">
        <v>3334</v>
      </c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8">
        <v>8189.0</v>
      </c>
      <c r="B3335" s="9" t="str">
        <f>HYPERLINK("https://www.lazada.vn/products/mu-trom-canh-trang-cao-cap-sach-100-hop-500gr-san-pham-doc-quyen-mu-trom-tu-nhien-duoc-gia-cong-theo-tieu-chuan-sach-cua-cong-ty-i2031145863.html", "https://www.lazada.vn/products/mu-trom-canh-trang-cao-cap-sach-100-hop-500gr-san-pham-doc-quyen-mu-trom-tu-nhien-duoc-gia-cong-theo-tieu-chuan-sach-cua-cong-ty-i2031145863.html")</f>
        <v>https://www.lazada.vn/products/mu-trom-canh-trang-cao-cap-sach-100-hop-500gr-san-pham-doc-quyen-mu-trom-tu-nhien-duoc-gia-cong-theo-tieu-chuan-sach-cua-cong-ty-i2031145863.html</v>
      </c>
      <c r="C3335" s="10" t="s">
        <v>3335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8">
        <v>8190.0</v>
      </c>
      <c r="B3336" s="9" t="str">
        <f>HYPERLINK("https://www.lazada.vn/products/rong-bien-nau-canh-han-quoc-daesang-100g-rong-bien-ban-than-rong-bien-la-han-quoc-gion-dai-thom-ngon-hcm-i2042140906.html", "https://www.lazada.vn/products/rong-bien-nau-canh-han-quoc-daesang-100g-rong-bien-ban-than-rong-bien-la-han-quoc-gion-dai-thom-ngon-hcm-i2042140906.html")</f>
        <v>https://www.lazada.vn/products/rong-bien-nau-canh-han-quoc-daesang-100g-rong-bien-ban-than-rong-bien-la-han-quoc-gion-dai-thom-ngon-hcm-i2042140906.html</v>
      </c>
      <c r="C3336" s="10" t="s">
        <v>3336</v>
      </c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8">
        <v>8191.0</v>
      </c>
      <c r="B3337" s="9" t="str">
        <f>HYPERLINK("https://www.lazada.vn/products/100g-vien-chanh-day-chanh-leo-say-lanh-thang-hoa-thom-ngon-de-uong-i2812827111.html", "https://www.lazada.vn/products/100g-vien-chanh-day-chanh-leo-say-lanh-thang-hoa-thom-ngon-de-uong-i2812827111.html")</f>
        <v>https://www.lazada.vn/products/100g-vien-chanh-day-chanh-leo-say-lanh-thang-hoa-thom-ngon-de-uong-i2812827111.html</v>
      </c>
      <c r="C3337" s="10" t="s">
        <v>3337</v>
      </c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8">
        <v>8192.0</v>
      </c>
      <c r="B3338" s="9" t="str">
        <f>HYPERLINK("https://www.lazada.vn/products/banh-gao-nuong-orion-an-vi-tao-bien-1113g-i2917051715.html", "https://www.lazada.vn/products/banh-gao-nuong-orion-an-vi-tao-bien-1113g-i2917051715.html")</f>
        <v>https://www.lazada.vn/products/banh-gao-nuong-orion-an-vi-tao-bien-1113g-i2917051715.html</v>
      </c>
      <c r="C3338" s="10" t="s">
        <v>3338</v>
      </c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8">
        <v>8193.0</v>
      </c>
      <c r="B3339" s="9" t="str">
        <f>HYPERLINK("https://www.lazada.vn/products/20h-3-64-vc-18-cho-don-tu-199k-mi-omachi-tron-lau-cam-tay-huong-vi-lau-tom-hum-pho-mai-ly-x-81gr-i2873688618.html", "https://www.lazada.vn/products/20h-3-64-vc-18-cho-don-tu-199k-mi-omachi-tron-lau-cam-tay-huong-vi-lau-tom-hum-pho-mai-ly-x-81gr-i2873688618.html")</f>
        <v>https://www.lazada.vn/products/20h-3-64-vc-18-cho-don-tu-199k-mi-omachi-tron-lau-cam-tay-huong-vi-lau-tom-hum-pho-mai-ly-x-81gr-i2873688618.html</v>
      </c>
      <c r="C3339" s="10" t="s">
        <v>3339</v>
      </c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8">
        <v>8194.0</v>
      </c>
      <c r="B3340" s="9" t="str">
        <f>HYPERLINK("https://www.lazada.vn/products/healthy-frozen-dried-fruit-snacks-with-chocolate-and-cream-flavor-good-for-cheating-kids-ice-cream-brand-haixiangni-i2923788657.html", "https://www.lazada.vn/products/healthy-frozen-dried-fruit-snacks-with-chocolate-and-cream-flavor-good-for-cheating-kids-ice-cream-brand-haixiangni-i2923788657.html")</f>
        <v>https://www.lazada.vn/products/healthy-frozen-dried-fruit-snacks-with-chocolate-and-cream-flavor-good-for-cheating-kids-ice-cream-brand-haixiangni-i2923788657.html</v>
      </c>
      <c r="C3340" s="10" t="s">
        <v>3340</v>
      </c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8">
        <v>8195.0</v>
      </c>
      <c r="B3341" s="9" t="str">
        <f>HYPERLINK("https://www.lazada.vn/products/borie-manoux-rivage-vang-do-phap-i2677914628.html", "https://www.lazada.vn/products/borie-manoux-rivage-vang-do-phap-i2677914628.html")</f>
        <v>https://www.lazada.vn/products/borie-manoux-rivage-vang-do-phap-i2677914628.html</v>
      </c>
      <c r="C3341" s="10" t="s">
        <v>3341</v>
      </c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8">
        <v>8196.0</v>
      </c>
      <c r="B3342" s="9" t="str">
        <f>HYPERLINK("https://www.lazada.vn/products/bia-ken-tet-2025-set-bia-ken-tet-2025-i2979628894.html", "https://www.lazada.vn/products/bia-ken-tet-2025-set-bia-ken-tet-2025-i2979628894.html")</f>
        <v>https://www.lazada.vn/products/bia-ken-tet-2025-set-bia-ken-tet-2025-i2979628894.html</v>
      </c>
      <c r="C3342" s="10" t="s">
        <v>3342</v>
      </c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8">
        <v>8197.0</v>
      </c>
      <c r="B3343" s="9" t="str">
        <f>HYPERLINK("https://www.lazada.vn/products/me-ngam-thot-not-tach-hat-hop-500gr-luon-nuoc-900gr-i3041633448.html", "https://www.lazada.vn/products/me-ngam-thot-not-tach-hat-hop-500gr-luon-nuoc-900gr-i3041633448.html")</f>
        <v>https://www.lazada.vn/products/me-ngam-thot-not-tach-hat-hop-500gr-luon-nuoc-900gr-i3041633448.html</v>
      </c>
      <c r="C3343" s="10" t="s">
        <v>3343</v>
      </c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8">
        <v>8198.0</v>
      </c>
      <c r="B3344" s="9" t="str">
        <f>HYPERLINK("https://www.lazada.vn/products/vang-y-marco-chiesa-vang-ngot-nhap-khau-chinh-hang-i2729318105.html", "https://www.lazada.vn/products/vang-y-marco-chiesa-vang-ngot-nhap-khau-chinh-hang-i2729318105.html")</f>
        <v>https://www.lazada.vn/products/vang-y-marco-chiesa-vang-ngot-nhap-khau-chinh-hang-i2729318105.html</v>
      </c>
      <c r="C3344" s="10" t="s">
        <v>3344</v>
      </c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8">
        <v>8199.0</v>
      </c>
      <c r="B3345" s="9" t="str">
        <f>HYPERLINK("https://www.lazada.vn/products/xoai-ngam-chua-ngot-sieu-ngon-hu-500gr-i3041577670.html", "https://www.lazada.vn/products/xoai-ngam-chua-ngot-sieu-ngon-hu-500gr-i3041577670.html")</f>
        <v>https://www.lazada.vn/products/xoai-ngam-chua-ngot-sieu-ngon-hu-500gr-i3041577670.html</v>
      </c>
      <c r="C3345" s="10" t="s">
        <v>3345</v>
      </c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8">
        <v>8200.0</v>
      </c>
      <c r="B3346" s="9" t="str">
        <f>HYPERLINK("https://www.lazada.vn/products/greenmax_dai-loan-bot-me-den-ho-dao-phien-ban-nang-cap-bo-sung-sat-chat-xo-canxi-hang-ngay-450-gramhop-i2717896953.html", "https://www.lazada.vn/products/greenmax_dai-loan-bot-me-den-ho-dao-phien-ban-nang-cap-bo-sung-sat-chat-xo-canxi-hang-ngay-450-gramhop-i2717896953.html")</f>
        <v>https://www.lazada.vn/products/greenmax_dai-loan-bot-me-den-ho-dao-phien-ban-nang-cap-bo-sung-sat-chat-xo-canxi-hang-ngay-450-gramhop-i2717896953.html</v>
      </c>
      <c r="C3346" s="10" t="s">
        <v>3346</v>
      </c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8">
        <v>8201.0</v>
      </c>
      <c r="B3347" s="9" t="str">
        <f>HYPERLINK("https://www.lazada.vn/products/bia-thu-cong-rooster-beers-pale-bia-ga-pale-thung-12-lon-x-330ml-i2676572060.html", "https://www.lazada.vn/products/bia-thu-cong-rooster-beers-pale-bia-ga-pale-thung-12-lon-x-330ml-i2676572060.html")</f>
        <v>https://www.lazada.vn/products/bia-thu-cong-rooster-beers-pale-bia-ga-pale-thung-12-lon-x-330ml-i2676572060.html</v>
      </c>
      <c r="C3347" s="10" t="s">
        <v>3347</v>
      </c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8">
        <v>8202.0</v>
      </c>
      <c r="B3348" s="9" t="str">
        <f>HYPERLINK("https://www.lazada.vn/products/loc-12-goi-snack-mi-vien-an-lien-vi-ga-cay-thoi-lua-thai-lan-38g-m07-gia-ngan-food-i2651328607.html", "https://www.lazada.vn/products/loc-12-goi-snack-mi-vien-an-lien-vi-ga-cay-thoi-lua-thai-lan-38g-m07-gia-ngan-food-i2651328607.html")</f>
        <v>https://www.lazada.vn/products/loc-12-goi-snack-mi-vien-an-lien-vi-ga-cay-thoi-lua-thai-lan-38g-m07-gia-ngan-food-i2651328607.html</v>
      </c>
      <c r="C3348" s="10" t="s">
        <v>3348</v>
      </c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8">
        <v>8203.0</v>
      </c>
      <c r="B3349" s="9" t="str">
        <f>HYPERLINK("https://www.lazada.vn/products/mi-samyang-hong-carbonara-cua-han-quoc-i1980019739.html", "https://www.lazada.vn/products/mi-samyang-hong-carbonara-cua-han-quoc-i1980019739.html")</f>
        <v>https://www.lazada.vn/products/mi-samyang-hong-carbonara-cua-han-quoc-i1980019739.html</v>
      </c>
      <c r="C3349" s="10" t="s">
        <v>3349</v>
      </c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8">
        <v>8204.0</v>
      </c>
      <c r="B3350" s="9" t="str">
        <f>HYPERLINK("https://www.lazada.vn/products/hat-e-canh-trang-goi-100gr-hat-e-viet-nam-100-duoc-trong-huu-co-hat-thom-no-nhieu-khong-hat-lep-i2031134094.html", "https://www.lazada.vn/products/hat-e-canh-trang-goi-100gr-hat-e-viet-nam-100-duoc-trong-huu-co-hat-thom-no-nhieu-khong-hat-lep-i2031134094.html")</f>
        <v>https://www.lazada.vn/products/hat-e-canh-trang-goi-100gr-hat-e-viet-nam-100-duoc-trong-huu-co-hat-thom-no-nhieu-khong-hat-lep-i2031134094.html</v>
      </c>
      <c r="C3350" s="10" t="s">
        <v>3350</v>
      </c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8">
        <v>8205.0</v>
      </c>
      <c r="B3351" s="9" t="str">
        <f>HYPERLINK("https://www.lazada.vn/products/so-co-la-thanh-em-be-15gr-i2934253427.html", "https://www.lazada.vn/products/so-co-la-thanh-em-be-15gr-i2934253427.html")</f>
        <v>https://www.lazada.vn/products/so-co-la-thanh-em-be-15gr-i2934253427.html</v>
      </c>
      <c r="C3351" s="10" t="s">
        <v>3351</v>
      </c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8">
        <v>8206.0</v>
      </c>
      <c r="B3352" s="9" t="str">
        <f>HYPERLINK("https://www.lazada.vn/products/haldiram-plain-bhujia-150g-i2117121976.html", "https://www.lazada.vn/products/haldiram-plain-bhujia-150g-i2117121976.html")</f>
        <v>https://www.lazada.vn/products/haldiram-plain-bhujia-150g-i2117121976.html</v>
      </c>
      <c r="C3352" s="10" t="s">
        <v>3352</v>
      </c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8">
        <v>8207.0</v>
      </c>
      <c r="B3353" s="9" t="str">
        <f>HYPERLINK("https://www.lazada.vn/products/giao-hoa-toc-ca-phe-giam-can-mam-xoi-den-blackberry-coffee-chinh-hang-co-tem-lop-bac-check-qr-code-hop-15-goi-i2719485178.html", "https://www.lazada.vn/products/giao-hoa-toc-ca-phe-giam-can-mam-xoi-den-blackberry-coffee-chinh-hang-co-tem-lop-bac-check-qr-code-hop-15-goi-i2719485178.html")</f>
        <v>https://www.lazada.vn/products/giao-hoa-toc-ca-phe-giam-can-mam-xoi-den-blackberry-coffee-chinh-hang-co-tem-lop-bac-check-qr-code-hop-15-goi-i2719485178.html</v>
      </c>
      <c r="C3353" s="10" t="s">
        <v>3353</v>
      </c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8">
        <v>8208.0</v>
      </c>
      <c r="B3354" s="9" t="str">
        <f>HYPERLINK("https://www.lazada.vn/products/500gr-bim-khoai-tay-lays-vi-suon-nuong-i2809742309.html", "https://www.lazada.vn/products/500gr-bim-khoai-tay-lays-vi-suon-nuong-i2809742309.html")</f>
        <v>https://www.lazada.vn/products/500gr-bim-khoai-tay-lays-vi-suon-nuong-i2809742309.html</v>
      </c>
      <c r="C3354" s="10" t="s">
        <v>3354</v>
      </c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8">
        <v>8209.0</v>
      </c>
      <c r="B3355" s="9" t="str">
        <f>HYPERLINK("https://www.lazada.vn/products/thung-48-hop-thuc-uong-sua-trai-cay-th-true-juice-milk-mistori-dau-tu-nhien-110-ml-x-48-hop-i2811056013.html", "https://www.lazada.vn/products/thung-48-hop-thuc-uong-sua-trai-cay-th-true-juice-milk-mistori-dau-tu-nhien-110-ml-x-48-hop-i2811056013.html")</f>
        <v>https://www.lazada.vn/products/thung-48-hop-thuc-uong-sua-trai-cay-th-true-juice-milk-mistori-dau-tu-nhien-110-ml-x-48-hop-i2811056013.html</v>
      </c>
      <c r="C3355" s="10" t="s">
        <v>3355</v>
      </c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8">
        <v>8210.0</v>
      </c>
      <c r="B3356" s="9" t="str">
        <f>HYPERLINK("https://www.lazada.vn/products/sinh-to-viet-quat-berinno-1lit-i2605769035.html", "https://www.lazada.vn/products/sinh-to-viet-quat-berinno-1lit-i2605769035.html")</f>
        <v>https://www.lazada.vn/products/sinh-to-viet-quat-berinno-1lit-i2605769035.html</v>
      </c>
      <c r="C3356" s="10" t="s">
        <v>3356</v>
      </c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8">
        <v>8211.0</v>
      </c>
      <c r="B3357" s="9" t="str">
        <f>HYPERLINK("https://www.lazada.vn/products/banh-fullo-blasto-270gr-i2916325027.html", "https://www.lazada.vn/products/banh-fullo-blasto-270gr-i2916325027.html")</f>
        <v>https://www.lazada.vn/products/banh-fullo-blasto-270gr-i2916325027.html</v>
      </c>
      <c r="C3357" s="10" t="s">
        <v>3357</v>
      </c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8">
        <v>8212.0</v>
      </c>
      <c r="B3358" s="9" t="str">
        <f>HYPERLINK("https://www.lazada.vn/products/thung-thach-zai-zai-duc-hanh-5kg-thanh-dai-mix-du-vi-i2510588689.html", "https://www.lazada.vn/products/thung-thach-zai-zai-duc-hanh-5kg-thanh-dai-mix-du-vi-i2510588689.html")</f>
        <v>https://www.lazada.vn/products/thung-thach-zai-zai-duc-hanh-5kg-thanh-dai-mix-du-vi-i2510588689.html</v>
      </c>
      <c r="C3358" s="10" t="s">
        <v>3358</v>
      </c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8">
        <v>8213.0</v>
      </c>
      <c r="B3359" s="9" t="str">
        <f>HYPERLINK("https://www.lazada.vn/products/loc-5-goi-mi-ga-cay-phomai-samyang-mi-samyang-cay-kho-mi-phomai-vang-samyang-i2873083568.html", "https://www.lazada.vn/products/loc-5-goi-mi-ga-cay-phomai-samyang-mi-samyang-cay-kho-mi-phomai-vang-samyang-i2873083568.html")</f>
        <v>https://www.lazada.vn/products/loc-5-goi-mi-ga-cay-phomai-samyang-mi-samyang-cay-kho-mi-phomai-vang-samyang-i2873083568.html</v>
      </c>
      <c r="C3359" s="10" t="s">
        <v>3359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8">
        <v>8214.0</v>
      </c>
      <c r="B3360" s="9" t="str">
        <f>HYPERLINK("https://www.lazada.vn/products/ruou-vang-trang-moulin-de-gassac-chardonnay-pays-doc-i2280225319.html", "https://www.lazada.vn/products/ruou-vang-trang-moulin-de-gassac-chardonnay-pays-doc-i2280225319.html")</f>
        <v>https://www.lazada.vn/products/ruou-vang-trang-moulin-de-gassac-chardonnay-pays-doc-i2280225319.html</v>
      </c>
      <c r="C3360" s="10" t="s">
        <v>3360</v>
      </c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8">
        <v>8215.0</v>
      </c>
      <c r="B3361" s="9" t="str">
        <f>HYPERLINK("https://www.lazada.vn/products/sweet-and-sour-dried-peach-snack-nostalgic-childhood-memory-salted-dried-fruit-mixed-freeze-dried-low-fat-high-carbohydrate-snack-i2923787305.html", "https://www.lazada.vn/products/sweet-and-sour-dried-peach-snack-nostalgic-childhood-memory-salted-dried-fruit-mixed-freeze-dried-low-fat-high-carbohydrate-snack-i2923787305.html")</f>
        <v>https://www.lazada.vn/products/sweet-and-sour-dried-peach-snack-nostalgic-childhood-memory-salted-dried-fruit-mixed-freeze-dried-low-fat-high-carbohydrate-snack-i2923787305.html</v>
      </c>
      <c r="C3361" s="10" t="s">
        <v>3361</v>
      </c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8">
        <v>8216.0</v>
      </c>
      <c r="B3362" s="9" t="str">
        <f>HYPERLINK("https://www.lazada.vn/products/vang-trang-trenel-macon-villages-i2280218989.html", "https://www.lazada.vn/products/vang-trang-trenel-macon-villages-i2280218989.html")</f>
        <v>https://www.lazada.vn/products/vang-trang-trenel-macon-villages-i2280218989.html</v>
      </c>
      <c r="C3362" s="10" t="s">
        <v>3362</v>
      </c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8">
        <v>8217.0</v>
      </c>
      <c r="B3363" s="9" t="str">
        <f>HYPERLINK("https://www.lazada.vn/products/esatate-kidia-classico-cabernet-sauvignon-vang-do-chile-i2677913722.html", "https://www.lazada.vn/products/esatate-kidia-classico-cabernet-sauvignon-vang-do-chile-i2677913722.html")</f>
        <v>https://www.lazada.vn/products/esatate-kidia-classico-cabernet-sauvignon-vang-do-chile-i2677913722.html</v>
      </c>
      <c r="C3363" s="10" t="s">
        <v>3363</v>
      </c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8">
        <v>8218.0</v>
      </c>
      <c r="B3364" s="9" t="str">
        <f>HYPERLINK("https://www.lazada.vn/products/vang-do-madeline-750-ml-vang-goi-qua-gia-si-i2729291110.html", "https://www.lazada.vn/products/vang-do-madeline-750-ml-vang-goi-qua-gia-si-i2729291110.html")</f>
        <v>https://www.lazada.vn/products/vang-do-madeline-750-ml-vang-goi-qua-gia-si-i2729291110.html</v>
      </c>
      <c r="C3364" s="10" t="s">
        <v>3364</v>
      </c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8">
        <v>8219.0</v>
      </c>
      <c r="B3365" s="9" t="str">
        <f>HYPERLINK("https://www.lazada.vn/products/ca-loc-dong-uop-xa-ot-nha-lam-1kg-2-vi-giao-hcm-i3041574670.html", "https://www.lazada.vn/products/ca-loc-dong-uop-xa-ot-nha-lam-1kg-2-vi-giao-hcm-i3041574670.html")</f>
        <v>https://www.lazada.vn/products/ca-loc-dong-uop-xa-ot-nha-lam-1kg-2-vi-giao-hcm-i3041574670.html</v>
      </c>
      <c r="C3365" s="10" t="s">
        <v>3365</v>
      </c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8">
        <v>8220.0</v>
      </c>
      <c r="B3366" s="9" t="str">
        <f>HYPERLINK("https://www.lazada.vn/products/jjl-2pcs-small-ladle-sauce-ladle-sauce-ladle-with-pouring-spout-stainless-steel-mini-ladle-dishwasher-safe-silver-i2976988308.html", "https://www.lazada.vn/products/jjl-2pcs-small-ladle-sauce-ladle-sauce-ladle-with-pouring-spout-stainless-steel-mini-ladle-dishwasher-safe-silver-i2976988308.html")</f>
        <v>https://www.lazada.vn/products/jjl-2pcs-small-ladle-sauce-ladle-sauce-ladle-with-pouring-spout-stainless-steel-mini-ladle-dishwasher-safe-silver-i2976988308.html</v>
      </c>
      <c r="C3366" s="10" t="s">
        <v>3366</v>
      </c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8">
        <v>8221.0</v>
      </c>
      <c r="B3367" s="9" t="str">
        <f>HYPERLINK("https://www.lazada.vn/products/hang-co-san-lon-bia-gia-dung-ga-quay-bia-mong-ga-dung-cho-nuong-min-ben-i2975454140.html", "https://www.lazada.vn/products/hang-co-san-lon-bia-gia-dung-ga-quay-bia-mong-ga-dung-cho-nuong-min-ben-i2975454140.html")</f>
        <v>https://www.lazada.vn/products/hang-co-san-lon-bia-gia-dung-ga-quay-bia-mong-ga-dung-cho-nuong-min-ben-i2975454140.html</v>
      </c>
      <c r="C3367" s="10" t="s">
        <v>3367</v>
      </c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8">
        <v>8222.0</v>
      </c>
      <c r="B3368" s="9" t="str">
        <f>HYPERLINK("https://www.lazada.vn/products/coc-ngam-chua-ngot-sieu-ngon-hu-500gr-i3041554826.html", "https://www.lazada.vn/products/coc-ngam-chua-ngot-sieu-ngon-hu-500gr-i3041554826.html")</f>
        <v>https://www.lazada.vn/products/coc-ngam-chua-ngot-sieu-ngon-hu-500gr-i3041554826.html</v>
      </c>
      <c r="C3368" s="10" t="s">
        <v>3368</v>
      </c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8">
        <v>8223.0</v>
      </c>
      <c r="B3369" s="9" t="str">
        <f>HYPERLINK("https://www.lazada.vn/products/bot-tra-gung-nguyen-chat-lo-500-gram-i2716385911.html", "https://www.lazada.vn/products/bot-tra-gung-nguyen-chat-lo-500-gram-i2716385911.html")</f>
        <v>https://www.lazada.vn/products/bot-tra-gung-nguyen-chat-lo-500-gram-i2716385911.html</v>
      </c>
      <c r="C3369" s="10" t="s">
        <v>3369</v>
      </c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8">
        <v>8224.0</v>
      </c>
      <c r="B3370" s="9" t="str">
        <f>HYPERLINK("https://www.lazada.vn/products/bia-thu-cong-nhat-ban-yona-yona-ale-350ml-i2667169576.html", "https://www.lazada.vn/products/bia-thu-cong-nhat-ban-yona-yona-ale-350ml-i2667169576.html")</f>
        <v>https://www.lazada.vn/products/bia-thu-cong-nhat-ban-yona-yona-ale-350ml-i2667169576.html</v>
      </c>
      <c r="C3370" s="10" t="s">
        <v>3370</v>
      </c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8">
        <v>8225.0</v>
      </c>
      <c r="B3371" s="9" t="str">
        <f>HYPERLINK("https://www.lazada.vn/products/loc-12-goi-snack-mi-vien-an-lien-vi-ga-cay-thoi-lua-thai-lan-38g-m07-an-vat-beegin-i2651311698.html", "https://www.lazada.vn/products/loc-12-goi-snack-mi-vien-an-lien-vi-ga-cay-thoi-lua-thai-lan-38g-m07-an-vat-beegin-i2651311698.html")</f>
        <v>https://www.lazada.vn/products/loc-12-goi-snack-mi-vien-an-lien-vi-ga-cay-thoi-lua-thai-lan-38g-m07-an-vat-beegin-i2651311698.html</v>
      </c>
      <c r="C3371" s="10" t="s">
        <v>3371</v>
      </c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8">
        <v>8226.0</v>
      </c>
      <c r="B3372" s="9" t="str">
        <f>HYPERLINK("https://www.lazada.vn/products/hang-luon-moi-combo-300g-keo-socola-hanh-nhan-keo-socola-viet-thai-gion-thom-ngon-an-cuc-da-i2932199490.html", "https://www.lazada.vn/products/hang-luon-moi-combo-300g-keo-socola-hanh-nhan-keo-socola-viet-thai-gion-thom-ngon-an-cuc-da-i2932199490.html")</f>
        <v>https://www.lazada.vn/products/hang-luon-moi-combo-300g-keo-socola-hanh-nhan-keo-socola-viet-thai-gion-thom-ngon-an-cuc-da-i2932199490.html</v>
      </c>
      <c r="C3372" s="10" t="s">
        <v>3372</v>
      </c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8">
        <v>8227.0</v>
      </c>
      <c r="B3373" s="9" t="str">
        <f>HYPERLINK("https://www.lazada.vn/products/500gr-bim-khoai-tay-lays-max-mix-vi-i2809659959.html", "https://www.lazada.vn/products/500gr-bim-khoai-tay-lays-max-mix-vi-i2809659959.html")</f>
        <v>https://www.lazada.vn/products/500gr-bim-khoai-tay-lays-max-mix-vi-i2809659959.html</v>
      </c>
      <c r="C3373" s="10" t="s">
        <v>3373</v>
      </c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8">
        <v>8228.0</v>
      </c>
      <c r="B3374" s="9" t="str">
        <f>HYPERLINK("https://www.lazada.vn/products/bot-tan-mi-sanh-ky-1kg-i1918682357.html", "https://www.lazada.vn/products/bot-tan-mi-sanh-ky-1kg-i1918682357.html")</f>
        <v>https://www.lazada.vn/products/bot-tan-mi-sanh-ky-1kg-i1918682357.html</v>
      </c>
      <c r="C3374" s="10" t="s">
        <v>3374</v>
      </c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8">
        <v>8229.0</v>
      </c>
      <c r="B3375" s="9" t="str">
        <f>HYPERLINK("https://www.lazada.vn/products/ca-phe-sua-macchiato-thai-lan-cuc-ngon-hang-chinh-hang-i2717790165.html", "https://www.lazada.vn/products/ca-phe-sua-macchiato-thai-lan-cuc-ngon-hang-chinh-hang-i2717790165.html")</f>
        <v>https://www.lazada.vn/products/ca-phe-sua-macchiato-thai-lan-cuc-ngon-hang-chinh-hang-i2717790165.html</v>
      </c>
      <c r="C3375" s="10" t="s">
        <v>3375</v>
      </c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8">
        <v>8230.0</v>
      </c>
      <c r="B3376" s="9" t="str">
        <f>HYPERLINK("https://www.lazada.vn/products/1kg-kho-ca-duoi-trang-lat-xe-vat-moi-nhau-ngon-tuyet-voi-dac-san-ca-mau-i2030916094.html", "https://www.lazada.vn/products/1kg-kho-ca-duoi-trang-lat-xe-vat-moi-nhau-ngon-tuyet-voi-dac-san-ca-mau-i2030916094.html")</f>
        <v>https://www.lazada.vn/products/1kg-kho-ca-duoi-trang-lat-xe-vat-moi-nhau-ngon-tuyet-voi-dac-san-ca-mau-i2030916094.html</v>
      </c>
      <c r="C3376" s="10" t="s">
        <v>3376</v>
      </c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8">
        <v>8231.0</v>
      </c>
      <c r="B3377" s="9" t="str">
        <f>HYPERLINK("https://www.lazada.vn/products/siro-duong-den-mola-155kg-i2605742194.html", "https://www.lazada.vn/products/siro-duong-den-mola-155kg-i2605742194.html")</f>
        <v>https://www.lazada.vn/products/siro-duong-den-mola-155kg-i2605742194.html</v>
      </c>
      <c r="C3377" s="10" t="s">
        <v>3377</v>
      </c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8">
        <v>8232.0</v>
      </c>
      <c r="B3378" s="9" t="str">
        <f>HYPERLINK("https://www.lazada.vn/products/banana-dried-freeze-fruit-snack-fragrant-strawberry-dehydrated-bits-mixed-fruit-dehydration-purple-sweet-potato-baking-milk-tea-decoration-commercial-i2923786460.html", "https://www.lazada.vn/products/banana-dried-freeze-fruit-snack-fragrant-strawberry-dehydrated-bits-mixed-fruit-dehydration-purple-sweet-potato-baking-milk-tea-decoration-commercial-i2923786460.html")</f>
        <v>https://www.lazada.vn/products/banana-dried-freeze-fruit-snack-fragrant-strawberry-dehydrated-bits-mixed-fruit-dehydration-purple-sweet-potato-baking-milk-tea-decoration-commercial-i2923786460.html</v>
      </c>
      <c r="C3378" s="10" t="s">
        <v>3378</v>
      </c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8">
        <v>8233.0</v>
      </c>
      <c r="B3379" s="9" t="str">
        <f>HYPERLINK("https://www.lazada.vn/products/nuoc-tta-chai-15l-nuoc-a-nuoc-anolyte-nuoc-muoi-dien-phan-i2810977661.html", "https://www.lazada.vn/products/nuoc-tta-chai-15l-nuoc-a-nuoc-anolyte-nuoc-muoi-dien-phan-i2810977661.html")</f>
        <v>https://www.lazada.vn/products/nuoc-tta-chai-15l-nuoc-a-nuoc-anolyte-nuoc-muoi-dien-phan-i2810977661.html</v>
      </c>
      <c r="C3379" s="10" t="s">
        <v>3379</v>
      </c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8">
        <v>8234.0</v>
      </c>
      <c r="B3380" s="9" t="str">
        <f>HYPERLINK("https://www.lazada.vn/products/banh-bap-cornbis-win2-sweet-corn-crackers-i2114816514.html", "https://www.lazada.vn/products/banh-bap-cornbis-win2-sweet-corn-crackers-i2114816514.html")</f>
        <v>https://www.lazada.vn/products/banh-bap-cornbis-win2-sweet-corn-crackers-i2114816514.html</v>
      </c>
      <c r="C3380" s="10" t="s">
        <v>3380</v>
      </c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8">
        <v>8235.0</v>
      </c>
      <c r="B3381" s="9" t="str">
        <f>HYPERLINK("https://www.lazada.vn/products/thach-huong-vi-trai-cay-jele-i2509936206.html", "https://www.lazada.vn/products/thach-huong-vi-trai-cay-jele-i2509936206.html")</f>
        <v>https://www.lazada.vn/products/thach-huong-vi-trai-cay-jele-i2509936206.html</v>
      </c>
      <c r="C3381" s="10" t="s">
        <v>3381</v>
      </c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8">
        <v>8236.0</v>
      </c>
      <c r="B3382" s="9" t="str">
        <f>HYPERLINK("https://www.lazada.vn/products/mi-zumzum-tom-chua-cay-thung-30-goi-x-60g-new-i2872687194.html", "https://www.lazada.vn/products/mi-zumzum-tom-chua-cay-thung-30-goi-x-60g-new-i2872687194.html")</f>
        <v>https://www.lazada.vn/products/mi-zumzum-tom-chua-cay-thung-30-goi-x-60g-new-i2872687194.html</v>
      </c>
      <c r="C3382" s="10" t="s">
        <v>3382</v>
      </c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8">
        <v>8237.0</v>
      </c>
      <c r="B3383" s="9" t="str">
        <f>HYPERLINK("https://www.lazada.vn/products/banh-quy-ca-phe-libra-coffee-cracker-210g-i2916230065.html", "https://www.lazada.vn/products/banh-quy-ca-phe-libra-coffee-cracker-210g-i2916230065.html")</f>
        <v>https://www.lazada.vn/products/banh-quy-ca-phe-libra-coffee-cracker-210g-i2916230065.html</v>
      </c>
      <c r="C3383" s="10" t="s">
        <v>3383</v>
      </c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8">
        <v>8238.0</v>
      </c>
      <c r="B3384" s="9" t="str">
        <f>HYPERLINK("https://www.lazada.vn/products/vang-do-chateau-grand-puy-ducasse-lheritier-de-grand-puy-ducasse-pauillac-750ml-i2280215578.html", "https://www.lazada.vn/products/vang-do-chateau-grand-puy-ducasse-lheritier-de-grand-puy-ducasse-pauillac-750ml-i2280215578.html")</f>
        <v>https://www.lazada.vn/products/vang-do-chateau-grand-puy-ducasse-lheritier-de-grand-puy-ducasse-pauillac-750ml-i2280215578.html</v>
      </c>
      <c r="C3384" s="10" t="s">
        <v>3384</v>
      </c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8">
        <v>8239.0</v>
      </c>
      <c r="B3385" s="9" t="str">
        <f>HYPERLINK("https://www.lazada.vn/products/vang-do-chile-passion-shiraz-135-750ml-i2667826470.html", "https://www.lazada.vn/products/vang-do-chile-passion-shiraz-135-750ml-i2667826470.html")</f>
        <v>https://www.lazada.vn/products/vang-do-chile-passion-shiraz-135-750ml-i2667826470.html</v>
      </c>
      <c r="C3385" s="10" t="s">
        <v>3385</v>
      </c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8">
        <v>8240.0</v>
      </c>
      <c r="B3386" s="9" t="str">
        <f>HYPERLINK("https://www.lazada.vn/products/combo-10-hu-yen-sao-tadinest-25-yen-x-70ml-i2726810949.html", "https://www.lazada.vn/products/combo-10-hu-yen-sao-tadinest-25-yen-x-70ml-i2726810949.html")</f>
        <v>https://www.lazada.vn/products/combo-10-hu-yen-sao-tadinest-25-yen-x-70ml-i2726810949.html</v>
      </c>
      <c r="C3386" s="10" t="s">
        <v>3386</v>
      </c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8">
        <v>8241.0</v>
      </c>
      <c r="B3387" s="9" t="str">
        <f>HYPERLINK("https://www.lazada.vn/products/ca-bop-bien-thien-nhien-khay-1kg-giao-hcm-i3041553902.html", "https://www.lazada.vn/products/ca-bop-bien-thien-nhien-khay-1kg-giao-hcm-i3041553902.html")</f>
        <v>https://www.lazada.vn/products/ca-bop-bien-thien-nhien-khay-1kg-giao-hcm-i3041553902.html</v>
      </c>
      <c r="C3387" s="10" t="s">
        <v>3387</v>
      </c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8">
        <v>8242.0</v>
      </c>
      <c r="B3388" s="9" t="str">
        <f>HYPERLINK("https://www.lazada.vn/products/thit-ho-cay-trung-quoc-thit-ho-den-cay-thit-ho-chay-cay-noi-dia-trung-khoi-luong-250g-i3040595455.html", "https://www.lazada.vn/products/thit-ho-cay-trung-quoc-thit-ho-den-cay-thit-ho-chay-cay-noi-dia-trung-khoi-luong-250g-i3040595455.html")</f>
        <v>https://www.lazada.vn/products/thit-ho-cay-trung-quoc-thit-ho-den-cay-thit-ho-chay-cay-noi-dia-trung-khoi-luong-250g-i3040595455.html</v>
      </c>
      <c r="C3388" s="10" t="s">
        <v>3388</v>
      </c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8">
        <v>8243.0</v>
      </c>
      <c r="B3389" s="9" t="str">
        <f>HYPERLINK("https://www.lazada.vn/products/tra-unimate-i2714353348.html", "https://www.lazada.vn/products/tra-unimate-i2714353348.html")</f>
        <v>https://www.lazada.vn/products/tra-unimate-i2714353348.html</v>
      </c>
      <c r="C3389" s="10" t="s">
        <v>3389</v>
      </c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8">
        <v>8244.0</v>
      </c>
      <c r="B3390" s="9" t="str">
        <f>HYPERLINK("https://www.lazada.vn/products/platinum-golden-ale-46-lon-330ml-thung-24-lon-i2638101802.html", "https://www.lazada.vn/products/platinum-golden-ale-46-lon-330ml-thung-24-lon-i2638101802.html")</f>
        <v>https://www.lazada.vn/products/platinum-golden-ale-46-lon-330ml-thung-24-lon-i2638101802.html</v>
      </c>
      <c r="C3390" s="10" t="s">
        <v>3390</v>
      </c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8">
        <v>8245.0</v>
      </c>
      <c r="B3391" s="9" t="str">
        <f>HYPERLINK("https://www.lazada.vn/products/loc-12-goi-snack-mi-vien-an-lien-vi-ga-cay-thoi-lua-thai-lan-38g-m07-beegin-mart-i2651310686.html", "https://www.lazada.vn/products/loc-12-goi-snack-mi-vien-an-lien-vi-ga-cay-thoi-lua-thai-lan-38g-m07-beegin-mart-i2651310686.html")</f>
        <v>https://www.lazada.vn/products/loc-12-goi-snack-mi-vien-an-lien-vi-ga-cay-thoi-lua-thai-lan-38g-m07-beegin-mart-i2651310686.html</v>
      </c>
      <c r="C3391" s="10" t="s">
        <v>3391</v>
      </c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8">
        <v>8246.0</v>
      </c>
      <c r="B3392" s="9" t="str">
        <f>HYPERLINK("https://www.lazada.vn/products/hang-luon-moi-100g-keo-socola-hanh-nhan-keo-socola-viet-thai-gion-thom-ngon-an-cuc-da-i2932081988.html", "https://www.lazada.vn/products/hang-luon-moi-100g-keo-socola-hanh-nhan-keo-socola-viet-thai-gion-thom-ngon-an-cuc-da-i2932081988.html")</f>
        <v>https://www.lazada.vn/products/hang-luon-moi-100g-keo-socola-hanh-nhan-keo-socola-viet-thai-gion-thom-ngon-an-cuc-da-i2932081988.html</v>
      </c>
      <c r="C3392" s="10" t="s">
        <v>3392</v>
      </c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8">
        <v>8247.0</v>
      </c>
      <c r="B3393" s="9" t="str">
        <f>HYPERLINK("https://www.lazada.vn/products/keo-socola-nhap-khau-mars-snickers-bounty-goi-333gr-i2931893316.html", "https://www.lazada.vn/products/keo-socola-nhap-khau-mars-snickers-bounty-goi-333gr-i2931893316.html")</f>
        <v>https://www.lazada.vn/products/keo-socola-nhap-khau-mars-snickers-bounty-goi-333gr-i2931893316.html</v>
      </c>
      <c r="C3393" s="10" t="s">
        <v>3393</v>
      </c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8">
        <v>8248.0</v>
      </c>
      <c r="B3394" s="9" t="str">
        <f>HYPERLINK("https://www.lazada.vn/products/ca-phe-viet-den-da-bich-35-goi-i2715091917.html", "https://www.lazada.vn/products/ca-phe-viet-den-da-bich-35-goi-i2715091917.html")</f>
        <v>https://www.lazada.vn/products/ca-phe-viet-den-da-bich-35-goi-i2715091917.html</v>
      </c>
      <c r="C3394" s="10" t="s">
        <v>3394</v>
      </c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8">
        <v>8249.0</v>
      </c>
      <c r="B3395" s="9" t="str">
        <f>HYPERLINK("https://www.lazada.vn/products/so-co-la-lau-dai-xoan-200g-nhap-khau-nga-i2931845159.html", "https://www.lazada.vn/products/so-co-la-lau-dai-xoan-200g-nhap-khau-nga-i2931845159.html")</f>
        <v>https://www.lazada.vn/products/so-co-la-lau-dai-xoan-200g-nhap-khau-nga-i2931845159.html</v>
      </c>
      <c r="C3395" s="10" t="s">
        <v>3395</v>
      </c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8">
        <v>8250.0</v>
      </c>
      <c r="B3396" s="9" t="str">
        <f>HYPERLINK("https://www.lazada.vn/products/ca-phe-hoa-tan-3-in-1-trung-nguyen-g7-1600g-100-goix16g-i2714808389.html", "https://www.lazada.vn/products/ca-phe-hoa-tan-3-in-1-trung-nguyen-g7-1600g-100-goix16g-i2714808389.html")</f>
        <v>https://www.lazada.vn/products/ca-phe-hoa-tan-3-in-1-trung-nguyen-g7-1600g-100-goix16g-i2714808389.html</v>
      </c>
      <c r="C3396" s="10" t="s">
        <v>3396</v>
      </c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8">
        <v>8251.0</v>
      </c>
      <c r="B3397" s="9" t="str">
        <f>HYPERLINK("https://www.lazada.vn/products/bot-tan-mi-sanh-ky-1kg-i1917842152.html", "https://www.lazada.vn/products/bot-tan-mi-sanh-ky-1kg-i1917842152.html")</f>
        <v>https://www.lazada.vn/products/bot-tan-mi-sanh-ky-1kg-i1917842152.html</v>
      </c>
      <c r="C3397" s="10" t="s">
        <v>3397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8">
        <v>8252.0</v>
      </c>
      <c r="B3398" s="9" t="str">
        <f>HYPERLINK("https://www.lazada.vn/products/500gbanh-gao-gion-ngot-thom-ngon-i2113241165.html", "https://www.lazada.vn/products/500gbanh-gao-gion-ngot-thom-ngon-i2113241165.html")</f>
        <v>https://www.lazada.vn/products/500gbanh-gao-gion-ngot-thom-ngon-i2113241165.html</v>
      </c>
      <c r="C3398" s="10" t="s">
        <v>3398</v>
      </c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8">
        <v>8253.0</v>
      </c>
      <c r="B3399" s="9" t="str">
        <f>HYPERLINK("https://www.lazada.vn/products/chubby-dried-fruit-combination-dry-mango-dry-pineapple-dry-strawberry-dry-kiwi-dry-coffee-snack-affordable-small-snack-i2923785792.html", "https://www.lazada.vn/products/chubby-dried-fruit-combination-dry-mango-dry-pineapple-dry-strawberry-dry-kiwi-dry-coffee-snack-affordable-small-snack-i2923785792.html")</f>
        <v>https://www.lazada.vn/products/chubby-dried-fruit-combination-dry-mango-dry-pineapple-dry-strawberry-dry-kiwi-dry-coffee-snack-affordable-small-snack-i2923785792.html</v>
      </c>
      <c r="C3399" s="10" t="s">
        <v>3399</v>
      </c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8">
        <v>8254.0</v>
      </c>
      <c r="B3400" s="9" t="str">
        <f>HYPERLINK("https://www.lazada.vn/products/vang-trang-domini-del-leone-bianco-i2280214332.html", "https://www.lazada.vn/products/vang-trang-domini-del-leone-bianco-i2280214332.html")</f>
        <v>https://www.lazada.vn/products/vang-trang-domini-del-leone-bianco-i2280214332.html</v>
      </c>
      <c r="C3400" s="10" t="s">
        <v>3400</v>
      </c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8">
        <v>8255.0</v>
      </c>
      <c r="B3401" s="9" t="str">
        <f>HYPERLINK("https://www.lazada.vn/products/banh-quy-vien-kem-socola-star-cup-thai-lan-hop-100-cai-i2916140313.html", "https://www.lazada.vn/products/banh-quy-vien-kem-socola-star-cup-thai-lan-hop-100-cai-i2916140313.html")</f>
        <v>https://www.lazada.vn/products/banh-quy-vien-kem-socola-star-cup-thai-lan-hop-100-cai-i2916140313.html</v>
      </c>
      <c r="C3401" s="10" t="s">
        <v>3401</v>
      </c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8">
        <v>8256.0</v>
      </c>
      <c r="B3402" s="9" t="str">
        <f>HYPERLINK("https://www.lazada.vn/products/chateau-du-vieux-lavoir-cotes-de-bourg-i2666668932.html", "https://www.lazada.vn/products/chateau-du-vieux-lavoir-cotes-de-bourg-i2666668932.html")</f>
        <v>https://www.lazada.vn/products/chateau-du-vieux-lavoir-cotes-de-bourg-i2666668932.html</v>
      </c>
      <c r="C3402" s="10" t="s">
        <v>3402</v>
      </c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8">
        <v>8257.0</v>
      </c>
      <c r="B3403" s="9" t="str">
        <f>HYPERLINK("https://www.lazada.vn/products/nuoc-ion-kiem-nuoc-uong-kiem-ion-vie-alkaline-do-kiem-cao-tot-cho-tieu-hoa-350ml-thung-24-chai-i2725585467.html", "https://www.lazada.vn/products/nuoc-ion-kiem-nuoc-uong-kiem-ion-vie-alkaline-do-kiem-cao-tot-cho-tieu-hoa-350ml-thung-24-chai-i2725585467.html")</f>
        <v>https://www.lazada.vn/products/nuoc-ion-kiem-nuoc-uong-kiem-ion-vie-alkaline-do-kiem-cao-tot-cho-tieu-hoa-350ml-thung-24-chai-i2725585467.html</v>
      </c>
      <c r="C3403" s="10" t="s">
        <v>3403</v>
      </c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8">
        <v>8258.0</v>
      </c>
      <c r="B3404" s="9" t="str">
        <f>HYPERLINK("https://www.lazada.vn/products/thung-48-hop-thuc-uong-sua-trai-cay-cam-tu-nhien-th-true-juice-milk-mistori-110-ml-x-48-hop-i2810955382.html", "https://www.lazada.vn/products/thung-48-hop-thuc-uong-sua-trai-cay-cam-tu-nhien-th-true-juice-milk-mistori-110-ml-x-48-hop-i2810955382.html")</f>
        <v>https://www.lazada.vn/products/thung-48-hop-thuc-uong-sua-trai-cay-cam-tu-nhien-th-true-juice-milk-mistori-110-ml-x-48-hop-i2810955382.html</v>
      </c>
      <c r="C3404" s="10" t="s">
        <v>3404</v>
      </c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8">
        <v>8259.0</v>
      </c>
      <c r="B3405" s="9" t="str">
        <f>HYPERLINK("https://www.lazada.vn/products/vang-hong-jean-de-rochebrune-cinsault-rose-750ml-i2280212399.html", "https://www.lazada.vn/products/vang-hong-jean-de-rochebrune-cinsault-rose-750ml-i2280212399.html")</f>
        <v>https://www.lazada.vn/products/vang-hong-jean-de-rochebrune-cinsault-rose-750ml-i2280212399.html</v>
      </c>
      <c r="C3405" s="10" t="s">
        <v>3405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8">
        <v>8260.0</v>
      </c>
      <c r="B3406" s="9" t="str">
        <f>HYPERLINK("https://www.lazada.vn/products/banh-quy-bac-vuong-tron-jessica-i2916140312.html", "https://www.lazada.vn/products/banh-quy-bac-vuong-tron-jessica-i2916140312.html")</f>
        <v>https://www.lazada.vn/products/banh-quy-bac-vuong-tron-jessica-i2916140312.html</v>
      </c>
      <c r="C3406" s="10" t="s">
        <v>3406</v>
      </c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8">
        <v>8261.0</v>
      </c>
      <c r="B3407" s="9" t="str">
        <f>HYPERLINK("https://www.lazada.vn/products/chinh-hang-ruou-vang-do-maison-delalande-vin-de-bordeaux-appellation-dorigine-protegee-2018-khong-hop-750ml-135-i2662955019.html", "https://www.lazada.vn/products/chinh-hang-ruou-vang-do-maison-delalande-vin-de-bordeaux-appellation-dorigine-protegee-2018-khong-hop-750ml-135-i2662955019.html")</f>
        <v>https://www.lazada.vn/products/chinh-hang-ruou-vang-do-maison-delalande-vin-de-bordeaux-appellation-dorigine-protegee-2018-khong-hop-750ml-135-i2662955019.html</v>
      </c>
      <c r="C3407" s="10" t="s">
        <v>3407</v>
      </c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8">
        <v>8262.0</v>
      </c>
      <c r="B3408" s="9" t="str">
        <f>HYPERLINK("https://www.lazada.vn/products/4-hop-thach-hoa-qua-nanaco-i2509773898.html", "https://www.lazada.vn/products/4-hop-thach-hoa-qua-nanaco-i2509773898.html")</f>
        <v>https://www.lazada.vn/products/4-hop-thach-hoa-qua-nanaco-i2509773898.html</v>
      </c>
      <c r="C3408" s="10" t="s">
        <v>3408</v>
      </c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8">
        <v>8263.0</v>
      </c>
      <c r="B3409" s="9" t="str">
        <f>HYPERLINK("https://www.lazada.vn/products/snack-bap-non-tam-giac-gion-tan-tam-vi-500g-snack-quan-chop-non-do-an-vat-ngon-i2809621135.html", "https://www.lazada.vn/products/snack-bap-non-tam-giac-gion-tan-tam-vi-500g-snack-quan-chop-non-do-an-vat-ngon-i2809621135.html")</f>
        <v>https://www.lazada.vn/products/snack-bap-non-tam-giac-gion-tan-tam-vi-500g-snack-quan-chop-non-do-an-vat-ngon-i2809621135.html</v>
      </c>
      <c r="C3409" s="10" t="s">
        <v>3409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8">
        <v>8264.0</v>
      </c>
      <c r="B3410" s="9" t="str">
        <f>HYPERLINK("https://www.lazada.vn/products/banh-bong-lan-ruoc-cha-bong-rong-bien-nhan-kem-pho-mai-man-so-diep-an-vat-492-i2770759345.html", "https://www.lazada.vn/products/banh-bong-lan-ruoc-cha-bong-rong-bien-nhan-kem-pho-mai-man-so-diep-an-vat-492-i2770759345.html")</f>
        <v>https://www.lazada.vn/products/banh-bong-lan-ruoc-cha-bong-rong-bien-nhan-kem-pho-mai-man-so-diep-an-vat-492-i2770759345.html</v>
      </c>
      <c r="C3410" s="10" t="s">
        <v>3410</v>
      </c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8">
        <v>8265.0</v>
      </c>
      <c r="B3411" s="9" t="str">
        <f>HYPERLINK("https://www.lazada.vn/products/hu-200g-muoi-vung-lac-muoi-me-gia-tay-i2030268226.html", "https://www.lazada.vn/products/hu-200g-muoi-vung-lac-muoi-me-gia-tay-i2030268226.html")</f>
        <v>https://www.lazada.vn/products/hu-200g-muoi-vung-lac-muoi-me-gia-tay-i2030268226.html</v>
      </c>
      <c r="C3411" s="10" t="s">
        <v>3411</v>
      </c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8">
        <v>8266.0</v>
      </c>
      <c r="B3412" s="9" t="str">
        <f>HYPERLINK("https://www.lazada.vn/products/loc-5-goi-mi-cay-samyang-rosemi-tron-cay-sot-hoa-hong-mi-kho-ga-cay-hoa-hong-mi-samyang-rose-i2872686045.html", "https://www.lazada.vn/products/loc-5-goi-mi-cay-samyang-rosemi-tron-cay-sot-hoa-hong-mi-kho-ga-cay-hoa-hong-mi-samyang-rose-i2872686045.html")</f>
        <v>https://www.lazada.vn/products/loc-5-goi-mi-cay-samyang-rosemi-tron-cay-sot-hoa-hong-mi-kho-ga-cay-hoa-hong-mi-samyang-rose-i2872686045.html</v>
      </c>
      <c r="C3412" s="10" t="s">
        <v>3412</v>
      </c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8">
        <v>8267.0</v>
      </c>
      <c r="B3413" s="9" t="str">
        <f>HYPERLINK("https://www.lazada.vn/products/siro-pha-che-carisa-680g-da-dang-huong-vi-va-mau-sac-noi-bat-i2605680315.html", "https://www.lazada.vn/products/siro-pha-che-carisa-680g-da-dang-huong-vi-va-mau-sac-noi-bat-i2605680315.html")</f>
        <v>https://www.lazada.vn/products/siro-pha-che-carisa-680g-da-dang-huong-vi-va-mau-sac-noi-bat-i2605680315.html</v>
      </c>
      <c r="C3413" s="10" t="s">
        <v>3413</v>
      </c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8">
        <v>8268.0</v>
      </c>
      <c r="B3414" s="9" t="str">
        <f>HYPERLINK("https://www.lazada.vn/products/500gr-sieu-re-ga-vien-say-lanh-mix-gan-tom-trung-co-meo-sieu-bo-hana-pet-i3040542269.html", "https://www.lazada.vn/products/500gr-sieu-re-ga-vien-say-lanh-mix-gan-tom-trung-co-meo-sieu-bo-hana-pet-i3040542269.html")</f>
        <v>https://www.lazada.vn/products/500gr-sieu-re-ga-vien-say-lanh-mix-gan-tom-trung-co-meo-sieu-bo-hana-pet-i3040542269.html</v>
      </c>
      <c r="C3414" s="10" t="s">
        <v>3414</v>
      </c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8">
        <v>8269.0</v>
      </c>
      <c r="B3415" s="9" t="str">
        <f>HYPERLINK("https://www.lazada.vn/products/bot-qua-acai-berry-bot-thay-the-bua-an-i2713817350.html", "https://www.lazada.vn/products/bot-qua-acai-berry-bot-thay-the-bua-an-i2713817350.html")</f>
        <v>https://www.lazada.vn/products/bot-qua-acai-berry-bot-thay-the-bua-an-i2713817350.html</v>
      </c>
      <c r="C3415" s="10" t="s">
        <v>3415</v>
      </c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8">
        <v>8270.0</v>
      </c>
      <c r="B3416" s="9" t="str">
        <f>HYPERLINK("https://www.lazada.vn/products/riu-ngo-bao-tu-men-la-ha-giang-ha-tho-1l-nong-san-hung-ly-cao-nguyen-ha-giang-i2530730587.html", "https://www.lazada.vn/products/riu-ngo-bao-tu-men-la-ha-giang-ha-tho-1l-nong-san-hung-ly-cao-nguyen-ha-giang-i2530730587.html")</f>
        <v>https://www.lazada.vn/products/riu-ngo-bao-tu-men-la-ha-giang-ha-tho-1l-nong-san-hung-ly-cao-nguyen-ha-giang-i2530730587.html</v>
      </c>
      <c r="C3416" s="10" t="s">
        <v>3416</v>
      </c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8">
        <v>8271.0</v>
      </c>
      <c r="B3417" s="9" t="str">
        <f>HYPERLINK("https://www.lazada.vn/products/combo-5-goi-snack-mi-vien-an-lien-vi-ga-cay-thoi-lua-thai-lan-38g-m07-tknk-beegin-i2651306622.html", "https://www.lazada.vn/products/combo-5-goi-snack-mi-vien-an-lien-vi-ga-cay-thoi-lua-thai-lan-38g-m07-tknk-beegin-i2651306622.html")</f>
        <v>https://www.lazada.vn/products/combo-5-goi-snack-mi-vien-an-lien-vi-ga-cay-thoi-lua-thai-lan-38g-m07-tknk-beegin-i2651306622.html</v>
      </c>
      <c r="C3417" s="10" t="s">
        <v>3417</v>
      </c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8">
        <v>8272.0</v>
      </c>
      <c r="B3418" s="9" t="str">
        <f>HYPERLINK("https://www.lazada.vn/products/date-moi-08-122025-du-vi-keo-socola-chocolate-hersheys-kisses-nuggets-size-share-cua-my-i2931164215.html", "https://www.lazada.vn/products/date-moi-08-122025-du-vi-keo-socola-chocolate-hersheys-kisses-nuggets-size-share-cua-my-i2931164215.html")</f>
        <v>https://www.lazada.vn/products/date-moi-08-122025-du-vi-keo-socola-chocolate-hersheys-kisses-nuggets-size-share-cua-my-i2931164215.html</v>
      </c>
      <c r="C3418" s="10" t="s">
        <v>3418</v>
      </c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8">
        <v>8273.0</v>
      </c>
      <c r="B3419" s="9" t="str">
        <f>HYPERLINK("https://www.lazada.vn/products/my-tom-hao-hao-vi-kim-chi-moi-ngon-kho-cuong-30-goi-i1905424484.html", "https://www.lazada.vn/products/my-tom-hao-hao-vi-kim-chi-moi-ngon-kho-cuong-30-goi-i1905424484.html")</f>
        <v>https://www.lazada.vn/products/my-tom-hao-hao-vi-kim-chi-moi-ngon-kho-cuong-30-goi-i1905424484.html</v>
      </c>
      <c r="C3419" s="10" t="s">
        <v>3419</v>
      </c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8">
        <v>8274.0</v>
      </c>
      <c r="B3420" s="9" t="str">
        <f>HYPERLINK("https://www.lazada.vn/products/ban-chay-sieu-sell-siro-xuyen-boi-ty-ba-cao-niem-tu-am-150ml-giup-nhuan-phoi-mat-hong-ha-hoa-thanh-giong-i2605118510.html", "https://www.lazada.vn/products/ban-chay-sieu-sell-siro-xuyen-boi-ty-ba-cao-niem-tu-am-150ml-giup-nhuan-phoi-mat-hong-ha-hoa-thanh-giong-i2605118510.html")</f>
        <v>https://www.lazada.vn/products/ban-chay-sieu-sell-siro-xuyen-boi-ty-ba-cao-niem-tu-am-150ml-giup-nhuan-phoi-mat-hong-ha-hoa-thanh-giong-i2605118510.html</v>
      </c>
      <c r="C3420" s="10" t="s">
        <v>3420</v>
      </c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8">
        <v>8275.0</v>
      </c>
      <c r="B3421" s="9" t="str">
        <f>HYPERLINK("https://www.lazada.vn/products/siro-vinasyrup-750-ml-syrup-pha-che-lam-tra-trai-cay-du-mui-vi-i2604722017.html", "https://www.lazada.vn/products/siro-vinasyrup-750-ml-syrup-pha-che-lam-tra-trai-cay-du-mui-vi-i2604722017.html")</f>
        <v>https://www.lazada.vn/products/siro-vinasyrup-750-ml-syrup-pha-che-lam-tra-trai-cay-du-mui-vi-i2604722017.html</v>
      </c>
      <c r="C3421" s="10" t="s">
        <v>3421</v>
      </c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8">
        <v>8276.0</v>
      </c>
      <c r="B3422" s="9" t="str">
        <f>HYPERLINK("https://www.lazada.vn/products/thung-48-hop-thuc-uong-sua-trai-cay-nho-tu-nhien-th-true-juice-milk-mistori-110ml-x48-hop-i2810874754.html", "https://www.lazada.vn/products/thung-48-hop-thuc-uong-sua-trai-cay-nho-tu-nhien-th-true-juice-milk-mistori-110ml-x48-hop-i2810874754.html")</f>
        <v>https://www.lazada.vn/products/thung-48-hop-thuc-uong-sua-trai-cay-nho-tu-nhien-th-true-juice-milk-mistori-110ml-x48-hop-i2810874754.html</v>
      </c>
      <c r="C3422" s="10" t="s">
        <v>3422</v>
      </c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8">
        <v>8277.0</v>
      </c>
      <c r="B3423" s="9" t="str">
        <f>HYPERLINK("https://www.lazada.vn/products/ca-phe-sua-da-cafe-pho-720g-30-goi-x-24g-i2714538982.html", "https://www.lazada.vn/products/ca-phe-sua-da-cafe-pho-720g-30-goi-x-24g-i2714538982.html")</f>
        <v>https://www.lazada.vn/products/ca-phe-sua-da-cafe-pho-720g-30-goi-x-24g-i2714538982.html</v>
      </c>
      <c r="C3423" s="10" t="s">
        <v>3423</v>
      </c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8">
        <v>8278.0</v>
      </c>
      <c r="B3424" s="9" t="str">
        <f>HYPERLINK("https://www.lazada.vn/products/siro-mama-rosa-du-vi-700ml-syrup-golden-farm-700ml-i2600912774.html", "https://www.lazada.vn/products/siro-mama-rosa-du-vi-700ml-syrup-golden-farm-700ml-i2600912774.html")</f>
        <v>https://www.lazada.vn/products/siro-mama-rosa-du-vi-700ml-syrup-golden-farm-700ml-i2600912774.html</v>
      </c>
      <c r="C3424" s="10" t="s">
        <v>3424</v>
      </c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8">
        <v>8279.0</v>
      </c>
      <c r="B3425" s="9" t="str">
        <f>HYPERLINK("https://www.lazada.vn/products/nuoc-ep-detox-rau-cu-huu-co-cao-cap-chunho-ncare-bo-sung-dinh-duong-cai-thien-tieu-hoa-30-goix70ml-i2810724834.html", "https://www.lazada.vn/products/nuoc-ep-detox-rau-cu-huu-co-cao-cap-chunho-ncare-bo-sung-dinh-duong-cai-thien-tieu-hoa-30-goix70ml-i2810724834.html")</f>
        <v>https://www.lazada.vn/products/nuoc-ep-detox-rau-cu-huu-co-cao-cap-chunho-ncare-bo-sung-dinh-duong-cai-thien-tieu-hoa-30-goix70ml-i2810724834.html</v>
      </c>
      <c r="C3425" s="10" t="s">
        <v>3425</v>
      </c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8">
        <v>8280.0</v>
      </c>
      <c r="B3426" s="9" t="str">
        <f>HYPERLINK("https://www.lazada.vn/products/loc-5-goi-mi-ga-cay-samyang-truyen-thongmi-tron-ga-cay-buldak-noodle-samyang-mi-tron-samyang-cay-truyen-thong-i2871418923.html", "https://www.lazada.vn/products/loc-5-goi-mi-ga-cay-samyang-truyen-thongmi-tron-ga-cay-buldak-noodle-samyang-mi-tron-samyang-cay-truyen-thong-i2871418923.html")</f>
        <v>https://www.lazada.vn/products/loc-5-goi-mi-ga-cay-samyang-truyen-thongmi-tron-ga-cay-buldak-noodle-samyang-mi-tron-samyang-cay-truyen-thong-i2871418923.html</v>
      </c>
      <c r="C3426" s="10" t="s">
        <v>3426</v>
      </c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8">
        <v>8281.0</v>
      </c>
      <c r="B3427" s="9" t="str">
        <f>HYPERLINK("https://www.lazada.vn/products/healthy-dried-fruit-mixed-strawberry-durian-okra-transparent-packaging-dehydrated-snacks-no-added-ingredients-dry-fruit-i2923785611.html", "https://www.lazada.vn/products/healthy-dried-fruit-mixed-strawberry-durian-okra-transparent-packaging-dehydrated-snacks-no-added-ingredients-dry-fruit-i2923785611.html")</f>
        <v>https://www.lazada.vn/products/healthy-dried-fruit-mixed-strawberry-durian-okra-transparent-packaging-dehydrated-snacks-no-added-ingredients-dry-fruit-i2923785611.html</v>
      </c>
      <c r="C3427" s="10" t="s">
        <v>3427</v>
      </c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8">
        <v>8282.0</v>
      </c>
      <c r="B3428" s="9" t="str">
        <f>HYPERLINK("https://www.lazada.vn/products/hop-yen-sao-thien-hoang-12-yen-6-lo-x-70ml-i2724330054.html", "https://www.lazada.vn/products/hop-yen-sao-thien-hoang-12-yen-6-lo-x-70ml-i2724330054.html")</f>
        <v>https://www.lazada.vn/products/hop-yen-sao-thien-hoang-12-yen-6-lo-x-70ml-i2724330054.html</v>
      </c>
      <c r="C3428" s="10" t="s">
        <v>3428</v>
      </c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8">
        <v>8283.0</v>
      </c>
      <c r="B3429" s="9" t="str">
        <f>HYPERLINK("https://www.lazada.vn/products/snack-bap-non-tam-giac-gion-tan-tam-vi-500g-snack-quan-chop-non-do-an-vat-ngon-i2808550552.html", "https://www.lazada.vn/products/snack-bap-non-tam-giac-gion-tan-tam-vi-500g-snack-quan-chop-non-do-an-vat-ngon-i2808550552.html")</f>
        <v>https://www.lazada.vn/products/snack-bap-non-tam-giac-gion-tan-tam-vi-500g-snack-quan-chop-non-do-an-vat-ngon-i2808550552.html</v>
      </c>
      <c r="C3429" s="10" t="s">
        <v>3429</v>
      </c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8">
        <v>8284.0</v>
      </c>
      <c r="B3430" s="9" t="str">
        <f>HYPERLINK("https://www.lazada.vn/products/qua-tang-50g-gao-lut-say-rong-bien-mau-dung-thu-an-vat-eatclean-giam-can-healthy-an-chay-i1895043222.html", "https://www.lazada.vn/products/qua-tang-50g-gao-lut-say-rong-bien-mau-dung-thu-an-vat-eatclean-giam-can-healthy-an-chay-i1895043222.html")</f>
        <v>https://www.lazada.vn/products/qua-tang-50g-gao-lut-say-rong-bien-mau-dung-thu-an-vat-eatclean-giam-can-healthy-an-chay-i1895043222.html</v>
      </c>
      <c r="C3430" s="10" t="s">
        <v>3430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8">
        <v>8285.0</v>
      </c>
      <c r="B3431" s="9" t="str">
        <f>HYPERLINK("https://www.lazada.vn/products/500g-banh-quy-ca-man-thom-ngon-i2113233188.html", "https://www.lazada.vn/products/500g-banh-quy-ca-man-thom-ngon-i2113233188.html")</f>
        <v>https://www.lazada.vn/products/500g-banh-quy-ca-man-thom-ngon-i2113233188.html</v>
      </c>
      <c r="C3431" s="10" t="s">
        <v>3431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8">
        <v>8286.0</v>
      </c>
      <c r="B3432" s="9" t="str">
        <f>HYPERLINK("https://www.lazada.vn/products/ruou-vang-marquis-de-sade-ventoux-appellation-dorigine-protegee-2020-khong-hop-750ml-155-i2662852784.html", "https://www.lazada.vn/products/ruou-vang-marquis-de-sade-ventoux-appellation-dorigine-protegee-2020-khong-hop-750ml-155-i2662852784.html")</f>
        <v>https://www.lazada.vn/products/ruou-vang-marquis-de-sade-ventoux-appellation-dorigine-protegee-2020-khong-hop-750ml-155-i2662852784.html</v>
      </c>
      <c r="C3432" s="10" t="s">
        <v>3432</v>
      </c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8">
        <v>8287.0</v>
      </c>
      <c r="B3433" s="9" t="str">
        <f>HYPERLINK("https://www.lazada.vn/products/hu-cot-sua-dac-thai-lan-hu-1kg-i2029215760.html", "https://www.lazada.vn/products/hu-cot-sua-dac-thai-lan-hu-1kg-i2029215760.html")</f>
        <v>https://www.lazada.vn/products/hu-cot-sua-dac-thai-lan-hu-1kg-i2029215760.html</v>
      </c>
      <c r="C3433" s="10" t="s">
        <v>3433</v>
      </c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8">
        <v>8288.0</v>
      </c>
      <c r="B3434" s="9" t="str">
        <f>HYPERLINK("https://www.lazada.vn/products/banh-quy-vi-ca-phe-coffee-joy-156g-i2916114585.html", "https://www.lazada.vn/products/banh-quy-vi-ca-phe-coffee-joy-156g-i2916114585.html")</f>
        <v>https://www.lazada.vn/products/banh-quy-vi-ca-phe-coffee-joy-156g-i2916114585.html</v>
      </c>
      <c r="C3434" s="10" t="s">
        <v>3434</v>
      </c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8">
        <v>8289.0</v>
      </c>
      <c r="B3435" s="9" t="str">
        <f>HYPERLINK("https://www.lazada.vn/products/vang-do-igp-puglia-primitivo-biologique-750ml-i2280205774.html", "https://www.lazada.vn/products/vang-do-igp-puglia-primitivo-biologique-750ml-i2280205774.html")</f>
        <v>https://www.lazada.vn/products/vang-do-igp-puglia-primitivo-biologique-750ml-i2280205774.html</v>
      </c>
      <c r="C3435" s="10" t="s">
        <v>3435</v>
      </c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8">
        <v>8290.0</v>
      </c>
      <c r="B3436" s="9" t="str">
        <f>HYPERLINK("https://www.lazada.vn/products/banh-trung-thu-mochi-trung-muoi-i2769766941.html", "https://www.lazada.vn/products/banh-trung-thu-mochi-trung-muoi-i2769766941.html")</f>
        <v>https://www.lazada.vn/products/banh-trung-thu-mochi-trung-muoi-i2769766941.html</v>
      </c>
      <c r="C3436" s="10" t="s">
        <v>3436</v>
      </c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8">
        <v>8291.0</v>
      </c>
      <c r="B3437" s="9" t="str">
        <f>HYPERLINK("https://www.lazada.vn/products/date-112025-ca-bao-yamaki-70gr-i3040416502.html", "https://www.lazada.vn/products/date-112025-ca-bao-yamaki-70gr-i3040416502.html")</f>
        <v>https://www.lazada.vn/products/date-112025-ca-bao-yamaki-70gr-i3040416502.html</v>
      </c>
      <c r="C3437" s="10" t="s">
        <v>3437</v>
      </c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8">
        <v>8292.0</v>
      </c>
      <c r="B3438" s="9" t="str">
        <f>HYPERLINK("https://www.lazada.vn/products/dau-trai-chong-rung-trai-cao-cap-tu-anh-quoc-yara-bortrac-cho-cay-an-qua-rau-mau-lua-goi-10ml-i3040409928.html", "https://www.lazada.vn/products/dau-trai-chong-rung-trai-cao-cap-tu-anh-quoc-yara-bortrac-cho-cay-an-qua-rau-mau-lua-goi-10ml-i3040409928.html")</f>
        <v>https://www.lazada.vn/products/dau-trai-chong-rung-trai-cao-cap-tu-anh-quoc-yara-bortrac-cho-cay-an-qua-rau-mau-lua-goi-10ml-i3040409928.html</v>
      </c>
      <c r="C3438" s="10" t="s">
        <v>3438</v>
      </c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8">
        <v>8293.0</v>
      </c>
      <c r="B3439" s="9" t="str">
        <f>HYPERLINK("https://www.lazada.vn/products/vang-do-chateau-le-bos-bordeaux-superieur-750ml-i2280204976.html", "https://www.lazada.vn/products/vang-do-chateau-le-bos-bordeaux-superieur-750ml-i2280204976.html")</f>
        <v>https://www.lazada.vn/products/vang-do-chateau-le-bos-bordeaux-superieur-750ml-i2280204976.html</v>
      </c>
      <c r="C3439" s="10" t="s">
        <v>3439</v>
      </c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8">
        <v>8294.0</v>
      </c>
      <c r="B3440" s="9" t="str">
        <f>HYPERLINK("https://www.lazada.vn/products/thach-zai-zai-duc-hanh-1-kg-mix-nhieu-vi-i2506849544.html", "https://www.lazada.vn/products/thach-zai-zai-duc-hanh-1-kg-mix-nhieu-vi-i2506849544.html")</f>
        <v>https://www.lazada.vn/products/thach-zai-zai-duc-hanh-1-kg-mix-nhieu-vi-i2506849544.html</v>
      </c>
      <c r="C3440" s="10" t="s">
        <v>3440</v>
      </c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8">
        <v>8295.0</v>
      </c>
      <c r="B3441" s="9" t="str">
        <f>HYPERLINK("https://www.lazada.vn/products/bot-milk-foam-sua-dua-cot-dua-dp-food-500g-sanh-min-thom-beo-dam-da-dung-cho-tra-sua-ca-phe-i2713802067.html", "https://www.lazada.vn/products/bot-milk-foam-sua-dua-cot-dua-dp-food-500g-sanh-min-thom-beo-dam-da-dung-cho-tra-sua-ca-phe-i2713802067.html")</f>
        <v>https://www.lazada.vn/products/bot-milk-foam-sua-dua-cot-dua-dp-food-500g-sanh-min-thom-beo-dam-da-dung-cho-tra-sua-ca-phe-i2713802067.html</v>
      </c>
      <c r="C3441" s="10" t="s">
        <v>3441</v>
      </c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8">
        <v>8296.0</v>
      </c>
      <c r="B3442" s="9" t="str">
        <f>HYPERLINK("https://www.lazada.vn/products/loc-6-chai-nuoc-bu-khoang-revive-muoi-khoang-500ml-chanh-muoi-390ml-i2579823754.html", "https://www.lazada.vn/products/loc-6-chai-nuoc-bu-khoang-revive-muoi-khoang-500ml-chanh-muoi-390ml-i2579823754.html")</f>
        <v>https://www.lazada.vn/products/loc-6-chai-nuoc-bu-khoang-revive-muoi-khoang-500ml-chanh-muoi-390ml-i2579823754.html</v>
      </c>
      <c r="C3442" s="10" t="s">
        <v>3442</v>
      </c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8">
        <v>8297.0</v>
      </c>
      <c r="B3443" s="9" t="str">
        <f>HYPERLINK("https://www.lazada.vn/products/combo-5-goi-snack-mi-vien-an-lien-vi-ga-cay-thoi-lua-thai-lan-38g-m07-gia-ngan-food-i2651304517.html", "https://www.lazada.vn/products/combo-5-goi-snack-mi-vien-an-lien-vi-ga-cay-thoi-lua-thai-lan-38g-m07-gia-ngan-food-i2651304517.html")</f>
        <v>https://www.lazada.vn/products/combo-5-goi-snack-mi-vien-an-lien-vi-ga-cay-thoi-lua-thai-lan-38g-m07-gia-ngan-food-i2651304517.html</v>
      </c>
      <c r="C3443" s="10" t="s">
        <v>3443</v>
      </c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8">
        <v>8298.0</v>
      </c>
      <c r="B3444" s="9" t="str">
        <f>HYPERLINK("https://www.lazada.vn/products/bia-fuzzy-logic-craft-lager-43-thung-24-lon-lon-330ml-i2524333227.html", "https://www.lazada.vn/products/bia-fuzzy-logic-craft-lager-43-thung-24-lon-lon-330ml-i2524333227.html")</f>
        <v>https://www.lazada.vn/products/bia-fuzzy-logic-craft-lager-43-thung-24-lon-lon-330ml-i2524333227.html</v>
      </c>
      <c r="C3444" s="10" t="s">
        <v>3444</v>
      </c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8">
        <v>8299.0</v>
      </c>
      <c r="B3445" s="9" t="str">
        <f>HYPERLINK("https://www.lazada.vn/products/date-22042025-keo-socola-snickers-51g-i2931034318.html", "https://www.lazada.vn/products/date-22042025-keo-socola-snickers-51g-i2931034318.html")</f>
        <v>https://www.lazada.vn/products/date-22042025-keo-socola-snickers-51g-i2931034318.html</v>
      </c>
      <c r="C3445" s="10" t="s">
        <v>3445</v>
      </c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8">
        <v>8300.0</v>
      </c>
      <c r="B3446" s="9" t="str">
        <f>HYPERLINK("https://www.lazada.vn/products/chinh-hang-bot-cacao-malaysia-cacao-ngot-va-dang-goi-500g-ha-anh-2k-i2931017532.html", "https://www.lazada.vn/products/chinh-hang-bot-cacao-malaysia-cacao-ngot-va-dang-goi-500g-ha-anh-2k-i2931017532.html")</f>
        <v>https://www.lazada.vn/products/chinh-hang-bot-cacao-malaysia-cacao-ngot-va-dang-goi-500g-ha-anh-2k-i2931017532.html</v>
      </c>
      <c r="C3446" s="10" t="s">
        <v>3446</v>
      </c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8">
        <v>8301.0</v>
      </c>
      <c r="B3447" s="9" t="str">
        <f>HYPERLINK("https://www.lazada.vn/products/loc-5-goi-mi-cay-samyang-carbonarami-ga-cay-sot-carbonara-buldak-noodle-carbonara-i2870057574.html", "https://www.lazada.vn/products/loc-5-goi-mi-cay-samyang-carbonarami-ga-cay-sot-carbonara-buldak-noodle-carbonara-i2870057574.html")</f>
        <v>https://www.lazada.vn/products/loc-5-goi-mi-cay-samyang-carbonarami-ga-cay-sot-carbonara-buldak-noodle-carbonara-i2870057574.html</v>
      </c>
      <c r="C3447" s="10" t="s">
        <v>3447</v>
      </c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8">
        <v>8302.0</v>
      </c>
      <c r="B3448" s="9" t="str">
        <f>HYPERLINK("https://www.lazada.vn/products/set-sam-luc-vi-la-han-qua-nau-10-lit-pho-thao-moc-i2724010683.html", "https://www.lazada.vn/products/set-sam-luc-vi-la-han-qua-nau-10-lit-pho-thao-moc-i2724010683.html")</f>
        <v>https://www.lazada.vn/products/set-sam-luc-vi-la-han-qua-nau-10-lit-pho-thao-moc-i2724010683.html</v>
      </c>
      <c r="C3448" s="10" t="s">
        <v>3448</v>
      </c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8">
        <v>8303.0</v>
      </c>
      <c r="B3449" s="9" t="str">
        <f>HYPERLINK("https://www.lazada.vn/products/ca-phe-sua-3in1-kopiko-machiato-goi-20-goi-x-24g-i2714392177.html", "https://www.lazada.vn/products/ca-phe-sua-3in1-kopiko-machiato-goi-20-goi-x-24g-i2714392177.html")</f>
        <v>https://www.lazada.vn/products/ca-phe-sua-3in1-kopiko-machiato-goi-20-goi-x-24g-i2714392177.html</v>
      </c>
      <c r="C3449" s="10" t="s">
        <v>3449</v>
      </c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8">
        <v>8304.0</v>
      </c>
      <c r="B3450" s="9" t="str">
        <f>HYPERLINK("https://www.lazada.vn/products/thach-rau-cau-long-hai-huong-trai-cay-tui-1kg-sieu-thi-lan-chi-i2600187205.html", "https://www.lazada.vn/products/thach-rau-cau-long-hai-huong-trai-cay-tui-1kg-sieu-thi-lan-chi-i2600187205.html")</f>
        <v>https://www.lazada.vn/products/thach-rau-cau-long-hai-huong-trai-cay-tui-1kg-sieu-thi-lan-chi-i2600187205.html</v>
      </c>
      <c r="C3450" s="10" t="s">
        <v>3450</v>
      </c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8">
        <v>8305.0</v>
      </c>
      <c r="B3451" s="9" t="str">
        <f>HYPERLINK("https://www.lazada.vn/products/snow-pear-dried-slices-mixed-fruit-dry-jasmine-grapefruit-combination-silver-ear-date-soup-material-snack-nutritional-supplement-i2923785212.html", "https://www.lazada.vn/products/snow-pear-dried-slices-mixed-fruit-dry-jasmine-grapefruit-combination-silver-ear-date-soup-material-snack-nutritional-supplement-i2923785212.html")</f>
        <v>https://www.lazada.vn/products/snow-pear-dried-slices-mixed-fruit-dry-jasmine-grapefruit-combination-silver-ear-date-soup-material-snack-nutritional-supplement-i2923785212.html</v>
      </c>
      <c r="C3451" s="10" t="s">
        <v>3451</v>
      </c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8">
        <v>8306.0</v>
      </c>
      <c r="B3452" s="9" t="str">
        <f>HYPERLINK("https://www.lazada.vn/products/nuoc-cot-ga-brands-vi-truyen-thong-3-hu-x-70-ml-i2810152170.html", "https://www.lazada.vn/products/nuoc-cot-ga-brands-vi-truyen-thong-3-hu-x-70-ml-i2810152170.html")</f>
        <v>https://www.lazada.vn/products/nuoc-cot-ga-brands-vi-truyen-thong-3-hu-x-70-ml-i2810152170.html</v>
      </c>
      <c r="C3452" s="10" t="s">
        <v>3452</v>
      </c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8">
        <v>8307.0</v>
      </c>
      <c r="B3453" s="9" t="str">
        <f>HYPERLINK("https://www.lazada.vn/products/banh-ca-phong-cay-thom-ngon-gion-250g-snack-bim-bim-cay-do-an-vat-thom-ngon-i2808316461.html", "https://www.lazada.vn/products/banh-ca-phong-cay-thom-ngon-gion-250g-snack-bim-bim-cay-do-an-vat-thom-ngon-i2808316461.html")</f>
        <v>https://www.lazada.vn/products/banh-ca-phong-cay-thom-ngon-gion-250g-snack-bim-bim-cay-do-an-vat-thom-ngon-i2808316461.html</v>
      </c>
      <c r="C3453" s="10" t="s">
        <v>3453</v>
      </c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8">
        <v>8308.0</v>
      </c>
      <c r="B3454" s="9" t="str">
        <f>HYPERLINK("https://www.lazada.vn/products/combo-3-goi-quay-han-quoc-co-dai-280g-i1887077287.html", "https://www.lazada.vn/products/combo-3-goi-quay-han-quoc-co-dai-280g-i1887077287.html")</f>
        <v>https://www.lazada.vn/products/combo-3-goi-quay-han-quoc-co-dai-280g-i1887077287.html</v>
      </c>
      <c r="C3454" s="10" t="s">
        <v>3454</v>
      </c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8">
        <v>8309.0</v>
      </c>
      <c r="B3455" s="9" t="str">
        <f>HYPERLINK("https://www.lazada.vn/products/loc-6-lon-nuoc-tang-luc-warrior-sting-huong-dau-320ml-i2579797978.html", "https://www.lazada.vn/products/loc-6-lon-nuoc-tang-luc-warrior-sting-huong-dau-320ml-i2579797978.html")</f>
        <v>https://www.lazada.vn/products/loc-6-lon-nuoc-tang-luc-warrior-sting-huong-dau-320ml-i2579797978.html</v>
      </c>
      <c r="C3455" s="10" t="s">
        <v>3455</v>
      </c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8">
        <v>8310.0</v>
      </c>
      <c r="B3456" s="9" t="str">
        <f>HYPERLINK("https://www.lazada.vn/products/cao-gam-2-lang-i2029000990.html", "https://www.lazada.vn/products/cao-gam-2-lang-i2029000990.html")</f>
        <v>https://www.lazada.vn/products/cao-gam-2-lang-i2029000990.html</v>
      </c>
      <c r="C3456" s="10" t="s">
        <v>3456</v>
      </c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8">
        <v>8311.0</v>
      </c>
      <c r="B3457" s="9" t="str">
        <f>HYPERLINK("https://www.lazada.vn/products/freeshopqua-top-mo-alicheen-i2105248191.html", "https://www.lazada.vn/products/freeshopqua-top-mo-alicheen-i2105248191.html")</f>
        <v>https://www.lazada.vn/products/freeshopqua-top-mo-alicheen-i2105248191.html</v>
      </c>
      <c r="C3457" s="10" t="s">
        <v>3457</v>
      </c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8">
        <v>8312.0</v>
      </c>
      <c r="B3458" s="9" t="str">
        <f>HYPERLINK("https://www.lazada.vn/products/rodelia-appassimento-private-collection-2021-igt-puglia-i2662793331.html", "https://www.lazada.vn/products/rodelia-appassimento-private-collection-2021-igt-puglia-i2662793331.html")</f>
        <v>https://www.lazada.vn/products/rodelia-appassimento-private-collection-2021-igt-puglia-i2662793331.html</v>
      </c>
      <c r="C3458" s="10" t="s">
        <v>3458</v>
      </c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8">
        <v>8313.0</v>
      </c>
      <c r="B3459" s="9" t="str">
        <f>HYPERLINK("https://www.lazada.vn/products/banh-quy-an-kieng-rau-cu-phomai-trung-muoi-oko-238g-i2916110843.html", "https://www.lazada.vn/products/banh-quy-an-kieng-rau-cu-phomai-trung-muoi-oko-238g-i2916110843.html")</f>
        <v>https://www.lazada.vn/products/banh-quy-an-kieng-rau-cu-phomai-trung-muoi-oko-238g-i2916110843.html</v>
      </c>
      <c r="C3459" s="10" t="s">
        <v>3459</v>
      </c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8">
        <v>8314.0</v>
      </c>
      <c r="B3460" s="9" t="str">
        <f>HYPERLINK("https://www.lazada.vn/products/vien-tang-can-tien-hanh-vien-tang-can-cho-nguoi-gay-hang-chinh-hangan-toan-hieu-qua-dong-y-gia-truyen-i2028537718.html", "https://www.lazada.vn/products/vien-tang-can-tien-hanh-vien-tang-can-cho-nguoi-gay-hang-chinh-hangan-toan-hieu-qua-dong-y-gia-truyen-i2028537718.html")</f>
        <v>https://www.lazada.vn/products/vien-tang-can-tien-hanh-vien-tang-can-cho-nguoi-gay-hang-chinh-hangan-toan-hieu-qua-dong-y-gia-truyen-i2028537718.html</v>
      </c>
      <c r="C3460" s="10" t="s">
        <v>3460</v>
      </c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8">
        <v>8315.0</v>
      </c>
      <c r="B3461" s="9" t="str">
        <f>HYPERLINK("https://www.lazada.vn/products/banh-quy-man-nhan-pho-mai-ritz-106g-i2916108152.html", "https://www.lazada.vn/products/banh-quy-man-nhan-pho-mai-ritz-106g-i2916108152.html")</f>
        <v>https://www.lazada.vn/products/banh-quy-man-nhan-pho-mai-ritz-106g-i2916108152.html</v>
      </c>
      <c r="C3461" s="10" t="s">
        <v>3461</v>
      </c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8">
        <v>8316.0</v>
      </c>
      <c r="B3462" s="9" t="str">
        <f>HYPERLINK("https://www.lazada.vn/products/luong-kho-goi-400g-du-vi-i2767168129.html", "https://www.lazada.vn/products/luong-kho-goi-400g-du-vi-i2767168129.html")</f>
        <v>https://www.lazada.vn/products/luong-kho-goi-400g-du-vi-i2767168129.html</v>
      </c>
      <c r="C3462" s="10" t="s">
        <v>3462</v>
      </c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8">
        <v>8317.0</v>
      </c>
      <c r="B3463" s="9" t="str">
        <f>HYPERLINK("https://www.lazada.vn/products/thach-sua-lothamilk-hop-150g-mix-i2506532655.html", "https://www.lazada.vn/products/thach-sua-lothamilk-hop-150g-mix-i2506532655.html")</f>
        <v>https://www.lazada.vn/products/thach-sua-lothamilk-hop-150g-mix-i2506532655.html</v>
      </c>
      <c r="C3463" s="10" t="s">
        <v>3463</v>
      </c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8">
        <v>8318.0</v>
      </c>
      <c r="B3464" s="9" t="str">
        <f>HYPERLINK("https://www.lazada.vn/products/banh-quy-bo-thai-lan-siam-food-400gr-du-13-vi-i2766807295.html", "https://www.lazada.vn/products/banh-quy-bo-thai-lan-siam-food-400gr-du-13-vi-i2766807295.html")</f>
        <v>https://www.lazada.vn/products/banh-quy-bo-thai-lan-siam-food-400gr-du-13-vi-i2766807295.html</v>
      </c>
      <c r="C3464" s="10" t="s">
        <v>3464</v>
      </c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8">
        <v>8319.0</v>
      </c>
      <c r="B3465" s="9" t="str">
        <f>HYPERLINK("https://www.lazada.vn/products/ca-gia-toi-ot-hu-200gr-vi-thom-ngon-vua-an-cay-nhe-an-cung-com-nong-chao-trang-i3040408323.html", "https://www.lazada.vn/products/ca-gia-toi-ot-hu-200gr-vi-thom-ngon-vua-an-cay-nhe-an-cung-com-nong-chao-trang-i3040408323.html")</f>
        <v>https://www.lazada.vn/products/ca-gia-toi-ot-hu-200gr-vi-thom-ngon-vua-an-cay-nhe-an-cung-com-nong-chao-trang-i3040408323.html</v>
      </c>
      <c r="C3465" s="10" t="s">
        <v>3465</v>
      </c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8">
        <v>8320.0</v>
      </c>
      <c r="B3466" s="9" t="str">
        <f>HYPERLINK("https://www.lazada.vn/products/vang-sui-bacio-dela-luna-blanc-brut-i2280193532.html", "https://www.lazada.vn/products/vang-sui-bacio-dela-luna-blanc-brut-i2280193532.html")</f>
        <v>https://www.lazada.vn/products/vang-sui-bacio-dela-luna-blanc-brut-i2280193532.html</v>
      </c>
      <c r="C3466" s="10" t="s">
        <v>3466</v>
      </c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8">
        <v>8321.0</v>
      </c>
      <c r="B3467" s="9" t="str">
        <f>HYPERLINK("https://www.lazada.vn/products/thach-zai-zai-duc-hanh-tui-1kg-i2496364654.html", "https://www.lazada.vn/products/thach-zai-zai-duc-hanh-tui-1kg-i2496364654.html")</f>
        <v>https://www.lazada.vn/products/thach-zai-zai-duc-hanh-tui-1kg-i2496364654.html</v>
      </c>
      <c r="C3467" s="10" t="s">
        <v>3467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8">
        <v>8322.0</v>
      </c>
      <c r="B3468" s="9" t="str">
        <f>HYPERLINK("https://www.lazada.vn/products/hakushika-ozu-500ml-i2525146750.html", "https://www.lazada.vn/products/hakushika-ozu-500ml-i2525146750.html")</f>
        <v>https://www.lazada.vn/products/hakushika-ozu-500ml-i2525146750.html</v>
      </c>
      <c r="C3468" s="10" t="s">
        <v>3468</v>
      </c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8">
        <v>8323.0</v>
      </c>
      <c r="B3469" s="9" t="str">
        <f>HYPERLINK("https://www.lazada.vn/products/bot-giun-do-sau-do-tom-nam-cuc-dam-dac-chinh-hang-shafeilong-goi-30g-i2713150161.html", "https://www.lazada.vn/products/bot-giun-do-sau-do-tom-nam-cuc-dam-dac-chinh-hang-shafeilong-goi-30g-i2713150161.html")</f>
        <v>https://www.lazada.vn/products/bot-giun-do-sau-do-tom-nam-cuc-dam-dac-chinh-hang-shafeilong-goi-30g-i2713150161.html</v>
      </c>
      <c r="C3469" s="10" t="s">
        <v>3469</v>
      </c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8">
        <v>8324.0</v>
      </c>
      <c r="B3470" s="9" t="str">
        <f>HYPERLINK("https://www.lazada.vn/products/hakushika-1800ml-i2525138935.html", "https://www.lazada.vn/products/hakushika-1800ml-i2525138935.html")</f>
        <v>https://www.lazada.vn/products/hakushika-1800ml-i2525138935.html</v>
      </c>
      <c r="C3470" s="10" t="s">
        <v>3470</v>
      </c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8">
        <v>8325.0</v>
      </c>
      <c r="B3471" s="9" t="str">
        <f>HYPERLINK("https://www.lazada.vn/products/bia-fuzzy-logic-hard-lemon-49-thung-24-lon-lon-330ml-i2524332330.html", "https://www.lazada.vn/products/bia-fuzzy-logic-hard-lemon-49-thung-24-lon-lon-330ml-i2524332330.html")</f>
        <v>https://www.lazada.vn/products/bia-fuzzy-logic-hard-lemon-49-thung-24-lon-lon-330ml-i2524332330.html</v>
      </c>
      <c r="C3471" s="10" t="s">
        <v>3471</v>
      </c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8">
        <v>8326.0</v>
      </c>
      <c r="B3472" s="9" t="str">
        <f>HYPERLINK("https://www.lazada.vn/products/combo-5-goi-snack-mi-vien-an-lien-vi-ga-cay-thoi-lua-thai-lan-38g-m07-beegin-food-i2651280620.html", "https://www.lazada.vn/products/combo-5-goi-snack-mi-vien-an-lien-vi-ga-cay-thoi-lua-thai-lan-38g-m07-beegin-food-i2651280620.html")</f>
        <v>https://www.lazada.vn/products/combo-5-goi-snack-mi-vien-an-lien-vi-ga-cay-thoi-lua-thai-lan-38g-m07-beegin-food-i2651280620.html</v>
      </c>
      <c r="C3472" s="10" t="s">
        <v>3472</v>
      </c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8">
        <v>8327.0</v>
      </c>
      <c r="B3473" s="9" t="str">
        <f>HYPERLINK("https://www.lazada.vn/products/mi-an-lien-koreno-jumbo-tui-1kg-i2868586481.html", "https://www.lazada.vn/products/mi-an-lien-koreno-jumbo-tui-1kg-i2868586481.html")</f>
        <v>https://www.lazada.vn/products/mi-an-lien-koreno-jumbo-tui-1kg-i2868586481.html</v>
      </c>
      <c r="C3473" s="10" t="s">
        <v>3473</v>
      </c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8">
        <v>8328.0</v>
      </c>
      <c r="B3474" s="9" t="str">
        <f>HYPERLINK("https://www.lazada.vn/products/mua-1-tang-1-set-sam-luc-vi-la-han-qua-nau-10-lit-thenewlife0909-i2723908762.html", "https://www.lazada.vn/products/mua-1-tang-1-set-sam-luc-vi-la-han-qua-nau-10-lit-thenewlife0909-i2723908762.html")</f>
        <v>https://www.lazada.vn/products/mua-1-tang-1-set-sam-luc-vi-la-han-qua-nau-10-lit-thenewlife0909-i2723908762.html</v>
      </c>
      <c r="C3474" s="10" t="s">
        <v>3474</v>
      </c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8">
        <v>8329.0</v>
      </c>
      <c r="B3475" s="9" t="str">
        <f>HYPERLINK("https://www.lazada.vn/products/date-09062025-hop-qua-so-co-la-hon-hop-merci-petits-chocolate-collection-375g-i2930998422.html", "https://www.lazada.vn/products/date-09062025-hop-qua-so-co-la-hon-hop-merci-petits-chocolate-collection-375g-i2930998422.html")</f>
        <v>https://www.lazada.vn/products/date-09062025-hop-qua-so-co-la-hon-hop-merci-petits-chocolate-collection-375g-i2930998422.html</v>
      </c>
      <c r="C3475" s="10" t="s">
        <v>3475</v>
      </c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8">
        <v>8330.0</v>
      </c>
      <c r="B3476" s="9" t="str">
        <f>HYPERLINK("https://www.lazada.vn/products/socola-dubai-soi-dua-3-vi-hot-hit-sieu-ngon-it-ngot-hop-60gr-i2930932981.html", "https://www.lazada.vn/products/socola-dubai-soi-dua-3-vi-hot-hit-sieu-ngon-it-ngot-hop-60gr-i2930932981.html")</f>
        <v>https://www.lazada.vn/products/socola-dubai-soi-dua-3-vi-hot-hit-sieu-ngon-it-ngot-hop-60gr-i2930932981.html</v>
      </c>
      <c r="C3476" s="10" t="s">
        <v>3476</v>
      </c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8">
        <v>8331.0</v>
      </c>
      <c r="B3477" s="9" t="str">
        <f>HYPERLINK("https://www.lazada.vn/products/socola-nama-nhan-trai-cay-5-vi-hop-158gr-dao-cam-xoai-dau-viet-quat-i2930897686.html", "https://www.lazada.vn/products/socola-nama-nhan-trai-cay-5-vi-hop-158gr-dao-cam-xoai-dau-viet-quat-i2930897686.html")</f>
        <v>https://www.lazada.vn/products/socola-nama-nhan-trai-cay-5-vi-hop-158gr-dao-cam-xoai-dau-viet-quat-i2930897686.html</v>
      </c>
      <c r="C3477" s="10" t="s">
        <v>3477</v>
      </c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8">
        <v>8332.0</v>
      </c>
      <c r="B3478" s="9" t="str">
        <f>HYPERLINK("https://www.lazada.vn/products/thach-rau-cau-long-hai-huong-trai-cay-tui-1kg-sieu-thi-lan-chi-i2598348060.html", "https://www.lazada.vn/products/thach-rau-cau-long-hai-huong-trai-cay-tui-1kg-sieu-thi-lan-chi-i2598348060.html")</f>
        <v>https://www.lazada.vn/products/thach-rau-cau-long-hai-huong-trai-cay-tui-1kg-sieu-thi-lan-chi-i2598348060.html</v>
      </c>
      <c r="C3478" s="10" t="s">
        <v>3478</v>
      </c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8">
        <v>8333.0</v>
      </c>
      <c r="B3479" s="9" t="str">
        <f>HYPERLINK("https://www.lazada.vn/products/ca-phe-trung-nguyen-s-chinh-phuc-thanh-cong-500g-i2713253928.html", "https://www.lazada.vn/products/ca-phe-trung-nguyen-s-chinh-phuc-thanh-cong-500g-i2713253928.html")</f>
        <v>https://www.lazada.vn/products/ca-phe-trung-nguyen-s-chinh-phuc-thanh-cong-500g-i2713253928.html</v>
      </c>
      <c r="C3479" s="10" t="s">
        <v>3479</v>
      </c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8">
        <v>8334.0</v>
      </c>
      <c r="B3480" s="9" t="str">
        <f>HYPERLINK("https://www.lazada.vn/products/strawberry-dried-frozen-38g-baking-dessert-small-bag-for-be-gais-dormitory-snacks-frozen-fruit-dry-cat-language-series-i2923783477.html", "https://www.lazada.vn/products/strawberry-dried-frozen-38g-baking-dessert-small-bag-for-be-gais-dormitory-snacks-frozen-fruit-dry-cat-language-series-i2923783477.html")</f>
        <v>https://www.lazada.vn/products/strawberry-dried-frozen-38g-baking-dessert-small-bag-for-be-gais-dormitory-snacks-frozen-fruit-dry-cat-language-series-i2923783477.html</v>
      </c>
      <c r="C3480" s="10" t="s">
        <v>3480</v>
      </c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8">
        <v>8335.0</v>
      </c>
      <c r="B3481" s="9" t="str">
        <f>HYPERLINK("https://www.lazada.vn/products/nuoc-cot-ga-brands-vi-truyen-thong-3-hu-x-42-ml-i2810023812.html", "https://www.lazada.vn/products/nuoc-cot-ga-brands-vi-truyen-thong-3-hu-x-42-ml-i2810023812.html")</f>
        <v>https://www.lazada.vn/products/nuoc-cot-ga-brands-vi-truyen-thong-3-hu-x-42-ml-i2810023812.html</v>
      </c>
      <c r="C3481" s="10" t="s">
        <v>3481</v>
      </c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8">
        <v>8336.0</v>
      </c>
      <c r="B3482" s="9" t="str">
        <f>HYPERLINK("https://www.lazada.vn/products/thach-rau-cau-con-ca-heo-dai-long-hu-235kg-huong-trai-cay-4-mau-shop-thai-ha-i2597984946.html", "https://www.lazada.vn/products/thach-rau-cau-con-ca-heo-dai-long-hu-235kg-huong-trai-cay-4-mau-shop-thai-ha-i2597984946.html")</f>
        <v>https://www.lazada.vn/products/thach-rau-cau-con-ca-heo-dai-long-hu-235kg-huong-trai-cay-4-mau-shop-thai-ha-i2597984946.html</v>
      </c>
      <c r="C3482" s="10" t="s">
        <v>3482</v>
      </c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8">
        <v>8337.0</v>
      </c>
      <c r="B3483" s="9" t="str">
        <f>HYPERLINK("https://www.lazada.vn/products/haldiram-samosa-indian-snacks-haldirams-samosa-20g-i2102060003.html", "https://www.lazada.vn/products/haldiram-samosa-indian-snacks-haldirams-samosa-20g-i2102060003.html")</f>
        <v>https://www.lazada.vn/products/haldiram-samosa-indian-snacks-haldirams-samosa-20g-i2102060003.html</v>
      </c>
      <c r="C3483" s="10" t="s">
        <v>3483</v>
      </c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8">
        <v>8338.0</v>
      </c>
      <c r="B3484" s="9" t="str">
        <f>HYPERLINK("https://www.lazada.vn/products/ca-phe-trung-nguyen-i-khat-vong-khoi-nghiep-500g-i2713253909.html", "https://www.lazada.vn/products/ca-phe-trung-nguyen-i-khat-vong-khoi-nghiep-500g-i2713253909.html")</f>
        <v>https://www.lazada.vn/products/ca-phe-trung-nguyen-i-khat-vong-khoi-nghiep-500g-i2713253909.html</v>
      </c>
      <c r="C3484" s="10" t="s">
        <v>3484</v>
      </c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8">
        <v>8339.0</v>
      </c>
      <c r="B3485" s="9" t="str">
        <f>HYPERLINK("https://www.lazada.vn/products/bim-bim-lon-tom-fuchi-thai-lan-48k-1-lon-110g-i2089232260.html", "https://www.lazada.vn/products/bim-bim-lon-tom-fuchi-thai-lan-48k-1-lon-110g-i2089232260.html")</f>
        <v>https://www.lazada.vn/products/bim-bim-lon-tom-fuchi-thai-lan-48k-1-lon-110g-i2089232260.html</v>
      </c>
      <c r="C3485" s="10" t="s">
        <v>3485</v>
      </c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8">
        <v>8340.0</v>
      </c>
      <c r="B3486" s="9" t="str">
        <f>HYPERLINK("https://www.lazada.vn/products/rong-bien-taokaenoi-season-laver-4g-i1887022985.html", "https://www.lazada.vn/products/rong-bien-taokaenoi-season-laver-4g-i1887022985.html")</f>
        <v>https://www.lazada.vn/products/rong-bien-taokaenoi-season-laver-4g-i1887022985.html</v>
      </c>
      <c r="C3486" s="10" t="s">
        <v>3486</v>
      </c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8">
        <v>8341.0</v>
      </c>
      <c r="B3487" s="9" t="str">
        <f>HYPERLINK("https://www.lazada.vn/products/chinh-hang-ruou-vang-do-chateau-bonsol-bordeaux-appellation-dorigine-protegee-2018-khong-hop-750ml-135-i2662699723.html", "https://www.lazada.vn/products/chinh-hang-ruou-vang-do-chateau-bonsol-bordeaux-appellation-dorigine-protegee-2018-khong-hop-750ml-135-i2662699723.html")</f>
        <v>https://www.lazada.vn/products/chinh-hang-ruou-vang-do-chateau-bonsol-bordeaux-appellation-dorigine-protegee-2018-khong-hop-750ml-135-i2662699723.html</v>
      </c>
      <c r="C3487" s="10" t="s">
        <v>3487</v>
      </c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8">
        <v>8342.0</v>
      </c>
      <c r="B3488" s="9" t="str">
        <f>HYPERLINK("https://www.lazada.vn/products/thung-24-chai-thuc-uong-bo-sung-ion-pocari-sweat-350ml-chai-i2579135139.html", "https://www.lazada.vn/products/thung-24-chai-thuc-uong-bo-sung-ion-pocari-sweat-350ml-chai-i2579135139.html")</f>
        <v>https://www.lazada.vn/products/thung-24-chai-thuc-uong-bo-sung-ion-pocari-sweat-350ml-chai-i2579135139.html</v>
      </c>
      <c r="C3488" s="10" t="s">
        <v>3488</v>
      </c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8">
        <v>8343.0</v>
      </c>
      <c r="B3489" s="9" t="str">
        <f>HYPERLINK("https://www.lazada.vn/products/kho-muc-song-doc-size-40con1kg-kho-muc-loai-trung-sieu-ngot-dac-san-tu-suong-phan-loai-1kg-500gr-300gr-100gr-1-con-i2027814786.html", "https://www.lazada.vn/products/kho-muc-song-doc-size-40con1kg-kho-muc-loai-trung-sieu-ngot-dac-san-tu-suong-phan-loai-1kg-500gr-300gr-100gr-1-con-i2027814786.html")</f>
        <v>https://www.lazada.vn/products/kho-muc-song-doc-size-40con1kg-kho-muc-loai-trung-sieu-ngot-dac-san-tu-suong-phan-loai-1kg-500gr-300gr-100gr-1-con-i2027814786.html</v>
      </c>
      <c r="C3489" s="10" t="s">
        <v>3489</v>
      </c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8">
        <v>8344.0</v>
      </c>
      <c r="B3490" s="9" t="str">
        <f>HYPERLINK("https://www.lazada.vn/products/banh-gery-pho-mai-cheese-cracker-270g-i2916104169.html", "https://www.lazada.vn/products/banh-gery-pho-mai-cheese-cracker-270g-i2916104169.html")</f>
        <v>https://www.lazada.vn/products/banh-gery-pho-mai-cheese-cracker-270g-i2916104169.html</v>
      </c>
      <c r="C3490" s="10" t="s">
        <v>3490</v>
      </c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8">
        <v>8345.0</v>
      </c>
      <c r="B3491" s="9" t="str">
        <f>HYPERLINK("https://www.lazada.vn/products/snack-khoai-tay-popped-crisps-giau-dam-pure-protein-1-goi-le-i2806300883.html", "https://www.lazada.vn/products/snack-khoai-tay-popped-crisps-giau-dam-pure-protein-1-goi-le-i2806300883.html")</f>
        <v>https://www.lazada.vn/products/snack-khoai-tay-popped-crisps-giau-dam-pure-protein-1-goi-le-i2806300883.html</v>
      </c>
      <c r="C3491" s="10" t="s">
        <v>3491</v>
      </c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8">
        <v>8346.0</v>
      </c>
      <c r="B3492" s="9" t="str">
        <f>HYPERLINK("https://www.lazada.vn/products/banh-quy-bo-danisa-454g-681g-kem-tui-giay-i2916097624.html", "https://www.lazada.vn/products/banh-quy-bo-danisa-454g-681g-kem-tui-giay-i2916097624.html")</f>
        <v>https://www.lazada.vn/products/banh-quy-bo-danisa-454g-681g-kem-tui-giay-i2916097624.html</v>
      </c>
      <c r="C3492" s="10" t="s">
        <v>3492</v>
      </c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8">
        <v>8347.0</v>
      </c>
      <c r="B3493" s="9" t="str">
        <f>HYPERLINK("https://www.lazada.vn/products/banh-dua-nuong-quang-nam-dac-san-hieu-phuc-dat-goi-180g-i2766676959.html", "https://www.lazada.vn/products/banh-dua-nuong-quang-nam-dac-san-hieu-phuc-dat-goi-180g-i2766676959.html")</f>
        <v>https://www.lazada.vn/products/banh-dua-nuong-quang-nam-dac-san-hieu-phuc-dat-goi-180g-i2766676959.html</v>
      </c>
      <c r="C3493" s="10" t="s">
        <v>3493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8">
        <v>8348.0</v>
      </c>
      <c r="B3494" s="9" t="str">
        <f>HYPERLINK("https://www.lazada.vn/products/5-vien-keo-hong-sam-a7-anpha-vi-xoai-usa-cao-cap-cuc-manh-date-moi-i3045595514.html", "https://www.lazada.vn/products/5-vien-keo-hong-sam-a7-anpha-vi-xoai-usa-cao-cap-cuc-manh-date-moi-i3045595514.html")</f>
        <v>https://www.lazada.vn/products/5-vien-keo-hong-sam-a7-anpha-vi-xoai-usa-cao-cap-cuc-manh-date-moi-i3045595514.html</v>
      </c>
      <c r="C3494" s="10" t="s">
        <v>3494</v>
      </c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8">
        <v>8349.0</v>
      </c>
      <c r="B3495" s="9" t="str">
        <f>HYPERLINK("https://www.lazada.vn/products/thach-zai-zai-tui-350g-duc-hanh-i2496353542.html", "https://www.lazada.vn/products/thach-zai-zai-tui-350g-duc-hanh-i2496353542.html")</f>
        <v>https://www.lazada.vn/products/thach-zai-zai-tui-350g-duc-hanh-i2496353542.html</v>
      </c>
      <c r="C3495" s="10" t="s">
        <v>3495</v>
      </c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8">
        <v>8350.0</v>
      </c>
      <c r="B3496" s="9" t="str">
        <f>HYPERLINK("https://www.lazada.vn/products/khong-trung-hop-thit-say-cao-cap-12-loai-thit-nhieu-ga-khong-trung-danh-cho-cho-meo-ken-an-680g-hana-pet-vn-i3040382672.html", "https://www.lazada.vn/products/khong-trung-hop-thit-say-cao-cap-12-loai-thit-nhieu-ga-khong-trung-danh-cho-cho-meo-ken-an-680g-hana-pet-vn-i3040382672.html")</f>
        <v>https://www.lazada.vn/products/khong-trung-hop-thit-say-cao-cap-12-loai-thit-nhieu-ga-khong-trung-danh-cho-cho-meo-ken-an-680g-hana-pet-vn-i3040382672.html</v>
      </c>
      <c r="C3496" s="10" t="s">
        <v>3496</v>
      </c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8">
        <v>8351.0</v>
      </c>
      <c r="B3497" s="9" t="str">
        <f>HYPERLINK("https://www.lazada.vn/products/vang-trang-jardin-du-sud-chardonnay-pays-doc-i2280192463.html", "https://www.lazada.vn/products/vang-trang-jardin-du-sud-chardonnay-pays-doc-i2280192463.html")</f>
        <v>https://www.lazada.vn/products/vang-trang-jardin-du-sud-chardonnay-pays-doc-i2280192463.html</v>
      </c>
      <c r="C3497" s="10" t="s">
        <v>3497</v>
      </c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8">
        <v>8352.0</v>
      </c>
      <c r="B3498" s="9" t="str">
        <f>HYPERLINK("https://www.lazada.vn/products/keo-miss-candy-my-chinh-hang-date-moi-nhat-hop-8-vien-i2994785594.html", "https://www.lazada.vn/products/keo-miss-candy-my-chinh-hang-date-moi-nhat-hop-8-vien-i2994785594.html")</f>
        <v>https://www.lazada.vn/products/keo-miss-candy-my-chinh-hang-date-moi-nhat-hop-8-vien-i2994785594.html</v>
      </c>
      <c r="C3498" s="10" t="s">
        <v>3498</v>
      </c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8">
        <v>8353.0</v>
      </c>
      <c r="B3499" s="9" t="str">
        <f>HYPERLINK("https://www.lazada.vn/products/vivazz-sparkling-juice-nuoc-nho-do-co-ga-275-ml-i2547681868.html", "https://www.lazada.vn/products/vivazz-sparkling-juice-nuoc-nho-do-co-ga-275-ml-i2547681868.html")</f>
        <v>https://www.lazada.vn/products/vivazz-sparkling-juice-nuoc-nho-do-co-ga-275-ml-i2547681868.html</v>
      </c>
      <c r="C3499" s="10" t="s">
        <v>3499</v>
      </c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8">
        <v>8354.0</v>
      </c>
      <c r="B3500" s="9" t="str">
        <f>HYPERLINK("https://www.lazada.vn/products/tinh-bot-diep-luc-unia-a62-i2709068833.html", "https://www.lazada.vn/products/tinh-bot-diep-luc-unia-a62-i2709068833.html")</f>
        <v>https://www.lazada.vn/products/tinh-bot-diep-luc-unia-a62-i2709068833.html</v>
      </c>
      <c r="C3500" s="10" t="s">
        <v>3500</v>
      </c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8">
        <v>8355.0</v>
      </c>
      <c r="B3501" s="9" t="str">
        <f>HYPERLINK("https://www.lazada.vn/products/hakushika-kiyuro-1800ml-i2525133963.html", "https://www.lazada.vn/products/hakushika-kiyuro-1800ml-i2525133963.html")</f>
        <v>https://www.lazada.vn/products/hakushika-kiyuro-1800ml-i2525133963.html</v>
      </c>
      <c r="C3501" s="10" t="s">
        <v>3501</v>
      </c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8">
        <v>8356.0</v>
      </c>
      <c r="B3502" s="9" t="str">
        <f>HYPERLINK("https://www.lazada.vn/products/thung-nuoc-ngot-co-gas-pepsi-coca-7up-xa-xi-bach-hoa-tong-hop-nhu-ngoc-i2544193862.html", "https://www.lazada.vn/products/thung-nuoc-ngot-co-gas-pepsi-coca-7up-xa-xi-bach-hoa-tong-hop-nhu-ngoc-i2544193862.html")</f>
        <v>https://www.lazada.vn/products/thung-nuoc-ngot-co-gas-pepsi-coca-7up-xa-xi-bach-hoa-tong-hop-nhu-ngoc-i2544193862.html</v>
      </c>
      <c r="C3502" s="10" t="s">
        <v>3502</v>
      </c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8">
        <v>8357.0</v>
      </c>
      <c r="B3503" s="9" t="str">
        <f>HYPERLINK("https://www.lazada.vn/products/bia-fuzzy-logic-ten-dogs-elvis-imperial-red-ale-83-thung-24-lon-lon-330ml-i2524320406.html", "https://www.lazada.vn/products/bia-fuzzy-logic-ten-dogs-elvis-imperial-red-ale-83-thung-24-lon-lon-330ml-i2524320406.html")</f>
        <v>https://www.lazada.vn/products/bia-fuzzy-logic-ten-dogs-elvis-imperial-red-ale-83-thung-24-lon-lon-330ml-i2524320406.html</v>
      </c>
      <c r="C3503" s="10" t="s">
        <v>3503</v>
      </c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8">
        <v>8358.0</v>
      </c>
      <c r="B3504" s="9" t="str">
        <f>HYPERLINK("https://www.lazada.vn/products/1bich-banh-trang-phoi-suong-muoi-sac-an-vat-ogi-food-chuyen-banh-trang-tay-ninh-cac-loai-i2651266555.html", "https://www.lazada.vn/products/1bich-banh-trang-phoi-suong-muoi-sac-an-vat-ogi-food-chuyen-banh-trang-tay-ninh-cac-loai-i2651266555.html")</f>
        <v>https://www.lazada.vn/products/1bich-banh-trang-phoi-suong-muoi-sac-an-vat-ogi-food-chuyen-banh-trang-tay-ninh-cac-loai-i2651266555.html</v>
      </c>
      <c r="C3504" s="10" t="s">
        <v>3504</v>
      </c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8">
        <v>8359.0</v>
      </c>
      <c r="B3505" s="9" t="str">
        <f>HYPERLINK("https://www.lazada.vn/products/combo-20-goi-canh-an-lien-canh-an-lien-isoup-canh-luoi-an-lien-mix-nhieu-vi-i2867232976.html", "https://www.lazada.vn/products/combo-20-goi-canh-an-lien-canh-an-lien-isoup-canh-luoi-an-lien-mix-nhieu-vi-i2867232976.html")</f>
        <v>https://www.lazada.vn/products/combo-20-goi-canh-an-lien-canh-an-lien-isoup-canh-luoi-an-lien-mix-nhieu-vi-i2867232976.html</v>
      </c>
      <c r="C3505" s="10" t="s">
        <v>3505</v>
      </c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8">
        <v>8360.0</v>
      </c>
      <c r="B3506" s="9" t="str">
        <f>HYPERLINK("https://www.lazada.vn/products/gia-si-thach-dua-soi-eurodeli-32-kg-i2723193991.html", "https://www.lazada.vn/products/gia-si-thach-dua-soi-eurodeli-32-kg-i2723193991.html")</f>
        <v>https://www.lazada.vn/products/gia-si-thach-dua-soi-eurodeli-32-kg-i2723193991.html</v>
      </c>
      <c r="C3506" s="10" t="s">
        <v>3506</v>
      </c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8">
        <v>8361.0</v>
      </c>
      <c r="B3507" s="9" t="str">
        <f>HYPERLINK("https://www.lazada.vn/products/nuoc-trai-cay-thach-dua-toptop-500ml-i2809632366.html", "https://www.lazada.vn/products/nuoc-trai-cay-thach-dua-toptop-500ml-i2809632366.html")</f>
        <v>https://www.lazada.vn/products/nuoc-trai-cay-thach-dua-toptop-500ml-i2809632366.html</v>
      </c>
      <c r="C3507" s="10" t="s">
        <v>3507</v>
      </c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8">
        <v>8362.0</v>
      </c>
      <c r="B3508" s="9" t="str">
        <f>HYPERLINK("https://www.lazada.vn/products/mao-dai-phi-thien-hop-qua-1-binh-500ml-i2596446156.html", "https://www.lazada.vn/products/mao-dai-phi-thien-hop-qua-1-binh-500ml-i2596446156.html")</f>
        <v>https://www.lazada.vn/products/mao-dai-phi-thien-hop-qua-1-binh-500ml-i2596446156.html</v>
      </c>
      <c r="C3508" s="10" t="s">
        <v>3508</v>
      </c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8">
        <v>8363.0</v>
      </c>
      <c r="B3509" s="9" t="str">
        <f>HYPERLINK("https://www.lazada.vn/products/ca-phe-trung-nguyen-chu-i-500-g-i2712154788.html", "https://www.lazada.vn/products/ca-phe-trung-nguyen-chu-i-500-g-i2712154788.html")</f>
        <v>https://www.lazada.vn/products/ca-phe-trung-nguyen-chu-i-500-g-i2712154788.html</v>
      </c>
      <c r="C3509" s="10" t="s">
        <v>3509</v>
      </c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8">
        <v>8364.0</v>
      </c>
      <c r="B3510" s="9" t="str">
        <f>HYPERLINK("https://www.lazada.vn/products/combo-10-chai-nuoc-uong-hong-sam-linh-chi-han-quoc-kgs-100ml-x-10-chai-i2576162086.html", "https://www.lazada.vn/products/combo-10-chai-nuoc-uong-hong-sam-linh-chi-han-quoc-kgs-100ml-x-10-chai-i2576162086.html")</f>
        <v>https://www.lazada.vn/products/combo-10-chai-nuoc-uong-hong-sam-linh-chi-han-quoc-kgs-100ml-x-10-chai-i2576162086.html</v>
      </c>
      <c r="C3510" s="10" t="s">
        <v>3510</v>
      </c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8">
        <v>8365.0</v>
      </c>
      <c r="B3511" s="9" t="str">
        <f>HYPERLINK("https://www.lazada.vn/products/vang-do-boccantino-primitivo-del-salento-i2280189543.html", "https://www.lazada.vn/products/vang-do-boccantino-primitivo-del-salento-i2280189543.html")</f>
        <v>https://www.lazada.vn/products/vang-do-boccantino-primitivo-del-salento-i2280189543.html</v>
      </c>
      <c r="C3511" s="10" t="s">
        <v>3511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8">
        <v>8366.0</v>
      </c>
      <c r="B3512" s="9" t="str">
        <f>HYPERLINK("https://www.lazada.vn/products/chinh-hang-ruou-vang-do-fenan-bordeaux-appellation-dorigine-protegee-2018-khong-hop-750ml-135-i2662331371.html", "https://www.lazada.vn/products/chinh-hang-ruou-vang-do-fenan-bordeaux-appellation-dorigine-protegee-2018-khong-hop-750ml-135-i2662331371.html")</f>
        <v>https://www.lazada.vn/products/chinh-hang-ruou-vang-do-fenan-bordeaux-appellation-dorigine-protegee-2018-khong-hop-750ml-135-i2662331371.html</v>
      </c>
      <c r="C3512" s="10" t="s">
        <v>3512</v>
      </c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8">
        <v>8367.0</v>
      </c>
      <c r="B3513" s="9" t="str">
        <f>HYPERLINK("https://www.lazada.vn/products/banh-quy-trung-gion-hat-dinh-duong-nutcake-nagano-hop-345g-i2916077664.html", "https://www.lazada.vn/products/banh-quy-trung-gion-hat-dinh-duong-nutcake-nagano-hop-345g-i2916077664.html")</f>
        <v>https://www.lazada.vn/products/banh-quy-trung-gion-hat-dinh-duong-nutcake-nagano-hop-345g-i2916077664.html</v>
      </c>
      <c r="C3513" s="10" t="s">
        <v>3513</v>
      </c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8">
        <v>8368.0</v>
      </c>
      <c r="B3514" s="9" t="str">
        <f>HYPERLINK("https://www.lazada.vn/products/banh-pia-dau-xanh-khoai-mon-sau-rieng-8-trung-hop-550g-i2766675903.html", "https://www.lazada.vn/products/banh-pia-dau-xanh-khoai-mon-sau-rieng-8-trung-hop-550g-i2766675903.html")</f>
        <v>https://www.lazada.vn/products/banh-pia-dau-xanh-khoai-mon-sau-rieng-8-trung-hop-550g-i2766675903.html</v>
      </c>
      <c r="C3514" s="10" t="s">
        <v>3514</v>
      </c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8">
        <v>8369.0</v>
      </c>
      <c r="B3515" s="9" t="str">
        <f>HYPERLINK("https://www.lazada.vn/products/haldirams-bhujia-sev-200g-i2073354078.html", "https://www.lazada.vn/products/haldirams-bhujia-sev-200g-i2073354078.html")</f>
        <v>https://www.lazada.vn/products/haldirams-bhujia-sev-200g-i2073354078.html</v>
      </c>
      <c r="C3515" s="10" t="s">
        <v>3515</v>
      </c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8">
        <v>8370.0</v>
      </c>
      <c r="B3516" s="9" t="str">
        <f>HYPERLINK("https://www.lazada.vn/products/banh-khoai-tay-potato-hang-chuan-hoang-gia-1kg-do-an-vat-sieu-ngon-i2801773462.html", "https://www.lazada.vn/products/banh-khoai-tay-potato-hang-chuan-hoang-gia-1kg-do-an-vat-sieu-ngon-i2801773462.html")</f>
        <v>https://www.lazada.vn/products/banh-khoai-tay-potato-hang-chuan-hoang-gia-1kg-do-an-vat-sieu-ngon-i2801773462.html</v>
      </c>
      <c r="C3516" s="10" t="s">
        <v>3516</v>
      </c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8">
        <v>8371.0</v>
      </c>
      <c r="B3517" s="9" t="str">
        <f>HYPERLINK("https://www.lazada.vn/products/nuoc-uong-collagen-nano-sakura-katakana-dep-da-sang-da-trang-da-hop-10-lo-i2024112711.html", "https://www.lazada.vn/products/nuoc-uong-collagen-nano-sakura-katakana-dep-da-sang-da-trang-da-hop-10-lo-i2024112711.html")</f>
        <v>https://www.lazada.vn/products/nuoc-uong-collagen-nano-sakura-katakana-dep-da-sang-da-trang-da-hop-10-lo-i2024112711.html</v>
      </c>
      <c r="C3517" s="10" t="s">
        <v>3517</v>
      </c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8">
        <v>8372.0</v>
      </c>
      <c r="B3518" s="9" t="str">
        <f>HYPERLINK("https://www.lazada.vn/products/khoai-tay-cat-soi-10mm-mity-fresh-goi-1kg-i2801650291.html", "https://www.lazada.vn/products/khoai-tay-cat-soi-10mm-mity-fresh-goi-1kg-i2801650291.html")</f>
        <v>https://www.lazada.vn/products/khoai-tay-cat-soi-10mm-mity-fresh-goi-1kg-i2801650291.html</v>
      </c>
      <c r="C3518" s="10" t="s">
        <v>3518</v>
      </c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8">
        <v>8373.0</v>
      </c>
      <c r="B3519" s="9" t="str">
        <f>HYPERLINK("https://www.lazada.vn/products/thach-rau-cau-trai-cay-fruzel-assorted-natural-fruit-juice-jelly-145kg-cua-my-i2495078137.html", "https://www.lazada.vn/products/thach-rau-cau-trai-cay-fruzel-assorted-natural-fruit-juice-jelly-145kg-cua-my-i2495078137.html")</f>
        <v>https://www.lazada.vn/products/thach-rau-cau-trai-cay-fruzel-assorted-natural-fruit-juice-jelly-145kg-cua-my-i2495078137.html</v>
      </c>
      <c r="C3519" s="10" t="s">
        <v>3519</v>
      </c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8">
        <v>8374.0</v>
      </c>
      <c r="B3520" s="9" t="str">
        <f>HYPERLINK("https://www.lazada.vn/products/date-112025-ca-bao-yamaki-nhat-ban-goi-70gr-i3040378553.html", "https://www.lazada.vn/products/date-112025-ca-bao-yamaki-nhat-ban-goi-70gr-i3040378553.html")</f>
        <v>https://www.lazada.vn/products/date-112025-ca-bao-yamaki-nhat-ban-goi-70gr-i3040378553.html</v>
      </c>
      <c r="C3520" s="10" t="s">
        <v>3520</v>
      </c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8">
        <v>8375.0</v>
      </c>
      <c r="B3521" s="9" t="str">
        <f>HYPERLINK("https://www.lazada.vn/products/hoa-toc-100gr-vien-ga-say-vit-say-tom-say-ca-say-rau-say-pho-mai-say-trung-say-cho-meo-cho-hana-pet-i3040372384.html", "https://www.lazada.vn/products/hoa-toc-100gr-vien-ga-say-vit-say-tom-say-ca-say-rau-say-pho-mai-say-trung-say-cho-meo-cho-hana-pet-i3040372384.html")</f>
        <v>https://www.lazada.vn/products/hoa-toc-100gr-vien-ga-say-vit-say-tom-say-ca-say-rau-say-pho-mai-say-trung-say-cho-meo-cho-hana-pet-i3040372384.html</v>
      </c>
      <c r="C3521" s="10" t="s">
        <v>3521</v>
      </c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8">
        <v>8376.0</v>
      </c>
      <c r="B3522" s="9" t="str">
        <f>HYPERLINK("https://www.lazada.vn/products/combo-sieu-bo-ca-hoi-mix-gan-danh-cho-thu-cung-cong-nghe-say-lanh-dong-kho-40c-thom-ngon-hana-pet-i3040370102.html", "https://www.lazada.vn/products/combo-sieu-bo-ca-hoi-mix-gan-danh-cho-thu-cung-cong-nghe-say-lanh-dong-kho-40c-thom-ngon-hana-pet-i3040370102.html")</f>
        <v>https://www.lazada.vn/products/combo-sieu-bo-ca-hoi-mix-gan-danh-cho-thu-cung-cong-nghe-say-lanh-dong-kho-40c-thom-ngon-hana-pet-i3040370102.html</v>
      </c>
      <c r="C3522" s="10" t="s">
        <v>3522</v>
      </c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8">
        <v>8377.0</v>
      </c>
      <c r="B3523" s="9" t="str">
        <f>HYPERLINK("https://www.lazada.vn/products/1kg-keo-khom-dau-phong-tac-_chua-ngot-dat-san-tan-phuoc-mua-nhieu-duoc-tang-qua-bat-ngo-khi-mua-1kg-i2983560109.html", "https://www.lazada.vn/products/1kg-keo-khom-dau-phong-tac-_chua-ngot-dat-san-tan-phuoc-mua-nhieu-duoc-tang-qua-bat-ngo-khi-mua-1kg-i2983560109.html")</f>
        <v>https://www.lazada.vn/products/1kg-keo-khom-dau-phong-tac-_chua-ngot-dat-san-tan-phuoc-mua-nhieu-duoc-tang-qua-bat-ngo-khi-mua-1kg-i2983560109.html</v>
      </c>
      <c r="C3523" s="10" t="s">
        <v>3523</v>
      </c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8">
        <v>8378.0</v>
      </c>
      <c r="B3524" s="9" t="str">
        <f>HYPERLINK("https://www.lazada.vn/products/1-hop-150g-bot-cu-ngai-den-cao-trung-son-chinh-hang-i2707799564.html", "https://www.lazada.vn/products/1-hop-150g-bot-cu-ngai-den-cao-trung-son-chinh-hang-i2707799564.html")</f>
        <v>https://www.lazada.vn/products/1-hop-150g-bot-cu-ngai-den-cao-trung-son-chinh-hang-i2707799564.html</v>
      </c>
      <c r="C3524" s="10" t="s">
        <v>3524</v>
      </c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8">
        <v>8379.0</v>
      </c>
      <c r="B3525" s="9" t="str">
        <f>HYPERLINK("https://www.lazada.vn/products/hakushika-josen-720ml-i2525129910.html", "https://www.lazada.vn/products/hakushika-josen-720ml-i2525129910.html")</f>
        <v>https://www.lazada.vn/products/hakushika-josen-720ml-i2525129910.html</v>
      </c>
      <c r="C3525" s="10" t="s">
        <v>3525</v>
      </c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8">
        <v>8380.0</v>
      </c>
      <c r="B3526" s="9" t="str">
        <f>HYPERLINK("https://www.lazada.vn/products/nuoc-ngot-fanta-nhat-500ml-vi-nho-thung-24-lon-leetrinh-i2541250019.html", "https://www.lazada.vn/products/nuoc-ngot-fanta-nhat-500ml-vi-nho-thung-24-lon-leetrinh-i2541250019.html")</f>
        <v>https://www.lazada.vn/products/nuoc-ngot-fanta-nhat-500ml-vi-nho-thung-24-lon-leetrinh-i2541250019.html</v>
      </c>
      <c r="C3526" s="10" t="s">
        <v>3526</v>
      </c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8">
        <v>8381.0</v>
      </c>
      <c r="B3527" s="9" t="str">
        <f>HYPERLINK("https://www.lazada.vn/products/bia-fuzzy-logic-celestial-blonde-47-thung-24-lon-lon-330ml-i2524236755.html", "https://www.lazada.vn/products/bia-fuzzy-logic-celestial-blonde-47-thung-24-lon-lon-330ml-i2524236755.html")</f>
        <v>https://www.lazada.vn/products/bia-fuzzy-logic-celestial-blonde-47-thung-24-lon-lon-330ml-i2524236755.html</v>
      </c>
      <c r="C3527" s="10" t="s">
        <v>3527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8">
        <v>8382.0</v>
      </c>
      <c r="B3528" s="9" t="str">
        <f>HYPERLINK("https://www.lazada.vn/products/banh-snack-an-lien-bhujia-sev-i2650328840.html", "https://www.lazada.vn/products/banh-snack-an-lien-bhujia-sev-i2650328840.html")</f>
        <v>https://www.lazada.vn/products/banh-snack-an-lien-bhujia-sev-i2650328840.html</v>
      </c>
      <c r="C3528" s="10" t="s">
        <v>3528</v>
      </c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8">
        <v>8383.0</v>
      </c>
      <c r="B3529" s="9" t="str">
        <f>HYPERLINK("https://www.lazada.vn/products/chao-trung-bong-mai-370-gr-i2866369145.html", "https://www.lazada.vn/products/chao-trung-bong-mai-370-gr-i2866369145.html")</f>
        <v>https://www.lazada.vn/products/chao-trung-bong-mai-370-gr-i2866369145.html</v>
      </c>
      <c r="C3529" s="10" t="s">
        <v>3529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8">
        <v>8384.0</v>
      </c>
      <c r="B3530" s="9" t="str">
        <f>HYPERLINK("https://www.lazada.vn/products/gia-tot-bot-kem-beo-ha-lan-bc-500g-i2723012381.html", "https://www.lazada.vn/products/gia-tot-bot-kem-beo-ha-lan-bc-500g-i2723012381.html")</f>
        <v>https://www.lazada.vn/products/gia-tot-bot-kem-beo-ha-lan-bc-500g-i2723012381.html</v>
      </c>
      <c r="C3530" s="10" t="s">
        <v>3530</v>
      </c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8">
        <v>8385.0</v>
      </c>
      <c r="B3531" s="9" t="str">
        <f>HYPERLINK("https://www.lazada.vn/products/chanh-vang-tuoi-nhap-khau-hang-tq-1kg-i2808304302.html", "https://www.lazada.vn/products/chanh-vang-tuoi-nhap-khau-hang-tq-1kg-i2808304302.html")</f>
        <v>https://www.lazada.vn/products/chanh-vang-tuoi-nhap-khau-hang-tq-1kg-i2808304302.html</v>
      </c>
      <c r="C3531" s="10" t="s">
        <v>3531</v>
      </c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8">
        <v>8386.0</v>
      </c>
      <c r="B3532" s="9" t="str">
        <f>HYPERLINK("https://www.lazada.vn/products/keo-deo-chupa-chups-goi-90gr-nhieu-vi-i2024931340.html", "https://www.lazada.vn/products/keo-deo-chupa-chups-goi-90gr-nhieu-vi-i2024931340.html")</f>
        <v>https://www.lazada.vn/products/keo-deo-chupa-chups-goi-90gr-nhieu-vi-i2024931340.html</v>
      </c>
      <c r="C3532" s="10" t="s">
        <v>3532</v>
      </c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8">
        <v>8387.0</v>
      </c>
      <c r="B3533" s="9" t="str">
        <f>HYPERLINK("https://www.lazada.vn/products/vang-do-chateau-ferran-pessac-leognan-i2280168280.html", "https://www.lazada.vn/products/vang-do-chateau-ferran-pessac-leognan-i2280168280.html")</f>
        <v>https://www.lazada.vn/products/vang-do-chateau-ferran-pessac-leognan-i2280168280.html</v>
      </c>
      <c r="C3533" s="10" t="s">
        <v>3533</v>
      </c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8">
        <v>8388.0</v>
      </c>
      <c r="B3534" s="9" t="str">
        <f>HYPERLINK("https://www.lazada.vn/products/mam-ruoc-tuoi-mam-tep-chua-binh-dinh-500gram-i2022236604.html", "https://www.lazada.vn/products/mam-ruoc-tuoi-mam-tep-chua-binh-dinh-500gram-i2022236604.html")</f>
        <v>https://www.lazada.vn/products/mam-ruoc-tuoi-mam-tep-chua-binh-dinh-500gram-i2022236604.html</v>
      </c>
      <c r="C3534" s="10" t="s">
        <v>3534</v>
      </c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8">
        <v>8389.0</v>
      </c>
      <c r="B3535" s="9" t="str">
        <f>HYPERLINK("https://www.lazada.vn/products/xi-ro-fructose-cho-tra-ca-phe-keo-kem-cocktail-pha-tron-i2595827349.html", "https://www.lazada.vn/products/xi-ro-fructose-cho-tra-ca-phe-keo-kem-cocktail-pha-tron-i2595827349.html")</f>
        <v>https://www.lazada.vn/products/xi-ro-fructose-cho-tra-ca-phe-keo-kem-cocktail-pha-tron-i2595827349.html</v>
      </c>
      <c r="C3535" s="10" t="s">
        <v>3535</v>
      </c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8">
        <v>8390.0</v>
      </c>
      <c r="B3536" s="9" t="str">
        <f>HYPERLINK("https://www.lazada.vn/products/500g-banh-khoai-tay-potato-hang-chuan-hoang-gia-do-an-vat-sieu-ngon-i2801602192.html", "https://www.lazada.vn/products/500g-banh-khoai-tay-potato-hang-chuan-hoang-gia-do-an-vat-sieu-ngon-i2801602192.html")</f>
        <v>https://www.lazada.vn/products/500g-banh-khoai-tay-potato-hang-chuan-hoang-gia-do-an-vat-sieu-ngon-i2801602192.html</v>
      </c>
      <c r="C3536" s="10" t="s">
        <v>3536</v>
      </c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8">
        <v>8391.0</v>
      </c>
      <c r="B3537" s="9" t="str">
        <f>HYPERLINK("https://www.lazada.vn/products/banh-cracker-baphanhkhoai-tayme-libra-230gr-i2916009500.html", "https://www.lazada.vn/products/banh-cracker-baphanhkhoai-tayme-libra-230gr-i2916009500.html")</f>
        <v>https://www.lazada.vn/products/banh-cracker-baphanhkhoai-tayme-libra-230gr-i2916009500.html</v>
      </c>
      <c r="C3537" s="10" t="s">
        <v>3537</v>
      </c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8">
        <v>8392.0</v>
      </c>
      <c r="B3538" s="9" t="str">
        <f>HYPERLINK("https://www.lazada.vn/products/thach-orihiro-dang-tui-dung-130g-nhieu-vi-i2492306944.html", "https://www.lazada.vn/products/thach-orihiro-dang-tui-dung-130g-nhieu-vi-i2492306944.html")</f>
        <v>https://www.lazada.vn/products/thach-orihiro-dang-tui-dung-130g-nhieu-vi-i2492306944.html</v>
      </c>
      <c r="C3538" s="10" t="s">
        <v>3538</v>
      </c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8">
        <v>8393.0</v>
      </c>
      <c r="B3539" s="9" t="str">
        <f>HYPERLINK("https://www.lazada.vn/products/01-chai-nuoc-uong-thanh-loc-co-the-kgs-good-morning-liver-120ml-i2576132168.html", "https://www.lazada.vn/products/01-chai-nuoc-uong-thanh-loc-co-the-kgs-good-morning-liver-120ml-i2576132168.html")</f>
        <v>https://www.lazada.vn/products/01-chai-nuoc-uong-thanh-loc-co-the-kgs-good-morning-liver-120ml-i2576132168.html</v>
      </c>
      <c r="C3539" s="10" t="s">
        <v>3539</v>
      </c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8">
        <v>8394.0</v>
      </c>
      <c r="B3540" s="9" t="str">
        <f>HYPERLINK("https://www.lazada.vn/products/hang-loai-1-200gr-vien-ga-say-vit-say-tom-say-ca-say-rau-say-pho-mai-say-trung-say-cho-meo-cho-hana-pet-i3040358656.html", "https://www.lazada.vn/products/hang-loai-1-200gr-vien-ga-say-vit-say-tom-say-ca-say-rau-say-pho-mai-say-trung-say-cho-meo-cho-hana-pet-i3040358656.html")</f>
        <v>https://www.lazada.vn/products/hang-loai-1-200gr-vien-ga-say-vit-say-tom-say-ca-say-rau-say-pho-mai-say-trung-say-cho-meo-cho-hana-pet-i3040358656.html</v>
      </c>
      <c r="C3540" s="10" t="s">
        <v>3540</v>
      </c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8">
        <v>8395.0</v>
      </c>
      <c r="B3541" s="9" t="str">
        <f>HYPERLINK("https://www.lazada.vn/products/keo-dau-phong-yen-nhi-loai-ngon-theo-leo-hang-moi-chinh-hang-khong-bi-gat-dau-i2965523534.html", "https://www.lazada.vn/products/keo-dau-phong-yen-nhi-loai-ngon-theo-leo-hang-moi-chinh-hang-khong-bi-gat-dau-i2965523534.html")</f>
        <v>https://www.lazada.vn/products/keo-dau-phong-yen-nhi-loai-ngon-theo-leo-hang-moi-chinh-hang-khong-bi-gat-dau-i2965523534.html</v>
      </c>
      <c r="C3541" s="10" t="s">
        <v>3541</v>
      </c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8">
        <v>8396.0</v>
      </c>
      <c r="B3542" s="9" t="str">
        <f>HYPERLINK("https://www.lazada.vn/products/bot-bu-nuoc-va-dien-giai-welstrong-hop-5-goi-i2706828751.html", "https://www.lazada.vn/products/bot-bu-nuoc-va-dien-giai-welstrong-hop-5-goi-i2706828751.html")</f>
        <v>https://www.lazada.vn/products/bot-bu-nuoc-va-dien-giai-welstrong-hop-5-goi-i2706828751.html</v>
      </c>
      <c r="C3542" s="10" t="s">
        <v>3542</v>
      </c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8">
        <v>8397.0</v>
      </c>
      <c r="B3543" s="9" t="str">
        <f>HYPERLINK("https://www.lazada.vn/products/sake-nhat-ban-kikyo-saku-junmai-ginjo-720ml-i2511065070.html", "https://www.lazada.vn/products/sake-nhat-ban-kikyo-saku-junmai-ginjo-720ml-i2511065070.html")</f>
        <v>https://www.lazada.vn/products/sake-nhat-ban-kikyo-saku-junmai-ginjo-720ml-i2511065070.html</v>
      </c>
      <c r="C3543" s="10" t="s">
        <v>3543</v>
      </c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8">
        <v>8398.0</v>
      </c>
      <c r="B3544" s="9" t="str">
        <f>HYPERLINK("https://www.lazada.vn/products/1-lon-i2537738070.html", "https://www.lazada.vn/products/1-lon-i2537738070.html")</f>
        <v>https://www.lazada.vn/products/1-lon-i2537738070.html</v>
      </c>
      <c r="C3544" s="10" t="s">
        <v>3544</v>
      </c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8">
        <v>8399.0</v>
      </c>
      <c r="B3545" s="9" t="str">
        <f>HYPERLINK("https://www.lazada.vn/products/bia-fuzzy-logic-thunderslap-ipa-68-thung-24-lon-lon-330ml-i2524229911.html", "https://www.lazada.vn/products/bia-fuzzy-logic-thunderslap-ipa-68-thung-24-lon-lon-330ml-i2524229911.html")</f>
        <v>https://www.lazada.vn/products/bia-fuzzy-logic-thunderslap-ipa-68-thung-24-lon-lon-330ml-i2524229911.html</v>
      </c>
      <c r="C3545" s="10" t="s">
        <v>3545</v>
      </c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8">
        <v>8400.0</v>
      </c>
      <c r="B3546" s="9" t="str">
        <f>HYPERLINK("https://www.lazada.vn/products/combo-10-goi-snack-mi-tom-enaak-tre-em-vi-ga-truyen-thong-30g-m04-chuyen-si-tpnk-i2643809043.html", "https://www.lazada.vn/products/combo-10-goi-snack-mi-tom-enaak-tre-em-vi-ga-truyen-thong-30g-m04-chuyen-si-tpnk-i2643809043.html")</f>
        <v>https://www.lazada.vn/products/combo-10-goi-snack-mi-tom-enaak-tre-em-vi-ga-truyen-thong-30g-m04-chuyen-si-tpnk-i2643809043.html</v>
      </c>
      <c r="C3546" s="10" t="s">
        <v>3546</v>
      </c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8">
        <v>8401.0</v>
      </c>
      <c r="B3547" s="9" t="str">
        <f>HYPERLINK("https://www.lazada.vn/products/mi-an-lien-thit-bam-mama-thai-lan-loc-5-goi-i2865350901.html", "https://www.lazada.vn/products/mi-an-lien-thit-bam-mama-thai-lan-loc-5-goi-i2865350901.html")</f>
        <v>https://www.lazada.vn/products/mi-an-lien-thit-bam-mama-thai-lan-loc-5-goi-i2865350901.html</v>
      </c>
      <c r="C3547" s="10" t="s">
        <v>3547</v>
      </c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8">
        <v>8402.0</v>
      </c>
      <c r="B3548" s="9" t="str">
        <f>HYPERLINK("https://www.lazada.vn/products/gia-tot-bot-kem-beo-mina-1kg-i2722943576.html", "https://www.lazada.vn/products/gia-tot-bot-kem-beo-mina-1kg-i2722943576.html")</f>
        <v>https://www.lazada.vn/products/gia-tot-bot-kem-beo-mina-1kg-i2722943576.html</v>
      </c>
      <c r="C3548" s="10" t="s">
        <v>3548</v>
      </c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8">
        <v>8403.0</v>
      </c>
      <c r="B3549" s="9" t="str">
        <f>HYPERLINK("https://www.lazada.vn/products/giam-15k-combo-dinh-duong-tac-gung-mat-ong-950gram-gac-chanh-day-900gram-bo-mat-sang-da-tang-de-khang-khoe-bung-i2806268026.html", "https://www.lazada.vn/products/giam-15k-combo-dinh-duong-tac-gung-mat-ong-950gram-gac-chanh-day-900gram-bo-mat-sang-da-tang-de-khang-khoe-bung-i2806268026.html")</f>
        <v>https://www.lazada.vn/products/giam-15k-combo-dinh-duong-tac-gung-mat-ong-950gram-gac-chanh-day-900gram-bo-mat-sang-da-tang-de-khang-khoe-bung-i2806268026.html</v>
      </c>
      <c r="C3549" s="10" t="s">
        <v>3549</v>
      </c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8">
        <v>8404.0</v>
      </c>
      <c r="B3550" s="9" t="str">
        <f>HYPERLINK("https://www.lazada.vn/products/keo-sua-non-lac-da-noi-mong-co-goi-158g-an-vat-492-i2924088285.html", "https://www.lazada.vn/products/keo-sua-non-lac-da-noi-mong-co-goi-158g-an-vat-492-i2924088285.html")</f>
        <v>https://www.lazada.vn/products/keo-sua-non-lac-da-noi-mong-co-goi-158g-an-vat-492-i2924088285.html</v>
      </c>
      <c r="C3550" s="10" t="s">
        <v>3550</v>
      </c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8">
        <v>8405.0</v>
      </c>
      <c r="B3551" s="9" t="str">
        <f>HYPERLINK("https://www.lazada.vn/products/gia-tot-thach-dua-gf-1kg-i2722921580.html", "https://www.lazada.vn/products/gia-tot-thach-dua-gf-1kg-i2722921580.html")</f>
        <v>https://www.lazada.vn/products/gia-tot-thach-dua-gf-1kg-i2722921580.html</v>
      </c>
      <c r="C3551" s="10" t="s">
        <v>3551</v>
      </c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8">
        <v>8406.0</v>
      </c>
      <c r="B3552" s="9" t="str">
        <f>HYPERLINK("https://www.lazada.vn/products/sake-nhat-ban-chorou-tan-junmai-ginjo-720ml-i2511022202.html", "https://www.lazada.vn/products/sake-nhat-ban-chorou-tan-junmai-ginjo-720ml-i2511022202.html")</f>
        <v>https://www.lazada.vn/products/sake-nhat-ban-chorou-tan-junmai-ginjo-720ml-i2511022202.html</v>
      </c>
      <c r="C3552" s="10" t="s">
        <v>3552</v>
      </c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8">
        <v>8407.0</v>
      </c>
      <c r="B3553" s="9" t="str">
        <f>HYPERLINK("https://www.lazada.vn/products/mam-muc-nguyen-chat-hu-500gram-dac-san-mien-trung-i2022233556.html", "https://www.lazada.vn/products/mam-muc-nguyen-chat-hu-500gram-dac-san-mien-trung-i2022233556.html")</f>
        <v>https://www.lazada.vn/products/mam-muc-nguyen-chat-hu-500gram-dac-san-mien-trung-i2022233556.html</v>
      </c>
      <c r="C3553" s="10" t="s">
        <v>3553</v>
      </c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8">
        <v>8408.0</v>
      </c>
      <c r="B3554" s="9" t="str">
        <f>HYPERLINK("https://www.lazada.vn/products/keo-thach-sohaku-384gr-goi-i2490409299.html", "https://www.lazada.vn/products/keo-thach-sohaku-384gr-goi-i2490409299.html")</f>
        <v>https://www.lazada.vn/products/keo-thach-sohaku-384gr-goi-i2490409299.html</v>
      </c>
      <c r="C3554" s="10" t="s">
        <v>3554</v>
      </c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8">
        <v>8409.0</v>
      </c>
      <c r="B3555" s="9" t="str">
        <f>HYPERLINK("https://www.lazada.vn/products/banh-trung-thu-2024-banh-trung-thu-thap-cam-trung-muoi-dau-xanh-khoai-mon-tra-xanh-banh-trung-thu-chay-thom-ngon-it-ngot-200gr-banh-tuoi-khong-chat-bao-quan-i2760110765.html", "https://www.lazada.vn/products/banh-trung-thu-2024-banh-trung-thu-thap-cam-trung-muoi-dau-xanh-khoai-mon-tra-xanh-banh-trung-thu-chay-thom-ngon-it-ngot-200gr-banh-tuoi-khong-chat-bao-quan-i2760110765.html")</f>
        <v>https://www.lazada.vn/products/banh-trung-thu-2024-banh-trung-thu-thap-cam-trung-muoi-dau-xanh-khoai-mon-tra-xanh-banh-trung-thu-chay-thom-ngon-it-ngot-200gr-banh-tuoi-khong-chat-bao-quan-i2760110765.html</v>
      </c>
      <c r="C3555" s="10" t="s">
        <v>3555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8">
        <v>8410.0</v>
      </c>
      <c r="B3556" s="9" t="str">
        <f>HYPERLINK("https://www.lazada.vn/products/bia-fuzzy-logic-pale-ale-54-thung-24-lon-lon-330ml-i2524206836.html", "https://www.lazada.vn/products/bia-fuzzy-logic-pale-ale-54-thung-24-lon-lon-330ml-i2524206836.html")</f>
        <v>https://www.lazada.vn/products/bia-fuzzy-logic-pale-ale-54-thung-24-lon-lon-330ml-i2524206836.html</v>
      </c>
      <c r="C3556" s="10" t="s">
        <v>3556</v>
      </c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8">
        <v>8411.0</v>
      </c>
      <c r="B3557" s="9" t="str">
        <f>HYPERLINK("https://www.lazada.vn/products/500gr-banh-trang-tay-ninh-du-vixi-ke-toi-ot-pho-mai-cuon-tom-i2640981940.html", "https://www.lazada.vn/products/500gr-banh-trang-tay-ninh-du-vixi-ke-toi-ot-pho-mai-cuon-tom-i2640981940.html")</f>
        <v>https://www.lazada.vn/products/500gr-banh-trang-tay-ninh-du-vixi-ke-toi-ot-pho-mai-cuon-tom-i2640981940.html</v>
      </c>
      <c r="C3557" s="10" t="s">
        <v>3557</v>
      </c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8">
        <v>8412.0</v>
      </c>
      <c r="B3558" s="9" t="str">
        <f>HYPERLINK("https://www.lazada.vn/products/vang-do-chateau-de-sales-pomerol-i2280148306.html", "https://www.lazada.vn/products/vang-do-chateau-de-sales-pomerol-i2280148306.html")</f>
        <v>https://www.lazada.vn/products/vang-do-chateau-de-sales-pomerol-i2280148306.html</v>
      </c>
      <c r="C3558" s="10" t="s">
        <v>3558</v>
      </c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8">
        <v>8413.0</v>
      </c>
      <c r="B3559" s="9" t="str">
        <f>HYPERLINK("https://www.lazada.vn/products/nuoc-ngot-coca-nhat-160ml-thung-30-lon-ly-trinh-15-i2532681004.html", "https://www.lazada.vn/products/nuoc-ngot-coca-nhat-160ml-thung-30-lon-ly-trinh-15-i2532681004.html")</f>
        <v>https://www.lazada.vn/products/nuoc-ngot-coca-nhat-160ml-thung-30-lon-ly-trinh-15-i2532681004.html</v>
      </c>
      <c r="C3559" s="10" t="s">
        <v>3559</v>
      </c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8">
        <v>8414.0</v>
      </c>
      <c r="B3560" s="9" t="str">
        <f>HYPERLINK("https://www.lazada.vn/products/thung-24-chai-thuc-uong-bo-sung-ion-pocari-sweat-500ml-chai-i2568709469.html", "https://www.lazada.vn/products/thung-24-chai-thuc-uong-bo-sung-ion-pocari-sweat-500ml-chai-i2568709469.html")</f>
        <v>https://www.lazada.vn/products/thung-24-chai-thuc-uong-bo-sung-ion-pocari-sweat-500ml-chai-i2568709469.html</v>
      </c>
      <c r="C3560" s="10" t="s">
        <v>3560</v>
      </c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8">
        <v>8415.0</v>
      </c>
      <c r="B3561" s="9" t="str">
        <f>HYPERLINK("https://www.lazada.vn/products/combo-5-10-goi-mi-tom-chua-cay-kokomi-90-goi-90gr-i2863918104.html", "https://www.lazada.vn/products/combo-5-10-goi-mi-tom-chua-cay-kokomi-90-goi-90gr-i2863918104.html")</f>
        <v>https://www.lazada.vn/products/combo-5-10-goi-mi-tom-chua-cay-kokomi-90-goi-90gr-i2863918104.html</v>
      </c>
      <c r="C3561" s="10" t="s">
        <v>3561</v>
      </c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8">
        <v>8416.0</v>
      </c>
      <c r="B3562" s="9" t="str">
        <f>HYPERLINK("https://www.lazada.vn/products/100gr-banh-quy-hoa-mai-nhan-mut-dua-thai-lan-i2916003530.html", "https://www.lazada.vn/products/100gr-banh-quy-hoa-mai-nhan-mut-dua-thai-lan-i2916003530.html")</f>
        <v>https://www.lazada.vn/products/100gr-banh-quy-hoa-mai-nhan-mut-dua-thai-lan-i2916003530.html</v>
      </c>
      <c r="C3562" s="10" t="s">
        <v>3562</v>
      </c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8">
        <v>8417.0</v>
      </c>
      <c r="B3563" s="9" t="str">
        <f>HYPERLINK("https://www.lazada.vn/products/250g-banh-khoai-tay-potato-hang-chuan-hoang-gia-do-an-vat-sieu-ngon-i2801578185.html", "https://www.lazada.vn/products/250g-banh-khoai-tay-potato-hang-chuan-hoang-gia-do-an-vat-sieu-ngon-i2801578185.html")</f>
        <v>https://www.lazada.vn/products/250g-banh-khoai-tay-potato-hang-chuan-hoang-gia-do-an-vat-sieu-ngon-i2801578185.html</v>
      </c>
      <c r="C3563" s="10" t="s">
        <v>3563</v>
      </c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8">
        <v>8418.0</v>
      </c>
      <c r="B3564" s="9" t="str">
        <f>HYPERLINK("https://www.lazada.vn/products/giam-10k-combo-dinh-duong-tac-gung-mat-ong-440gram-gac-chanh-day-600gram-bo-mat-sang-da-tang-de-khang-bung-khoe-i2806224298.html", "https://www.lazada.vn/products/giam-10k-combo-dinh-duong-tac-gung-mat-ong-440gram-gac-chanh-day-600gram-bo-mat-sang-da-tang-de-khang-bung-khoe-i2806224298.html")</f>
        <v>https://www.lazada.vn/products/giam-10k-combo-dinh-duong-tac-gung-mat-ong-440gram-gac-chanh-day-600gram-bo-mat-sang-da-tang-de-khang-bung-khoe-i2806224298.html</v>
      </c>
      <c r="C3564" s="10" t="s">
        <v>3564</v>
      </c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8">
        <v>8419.0</v>
      </c>
      <c r="B3565" s="9" t="str">
        <f>HYPERLINK("https://www.lazada.vn/products/all-in-one-namkeem-fresh-homemade-180g-i2002507589.html", "https://www.lazada.vn/products/all-in-one-namkeem-fresh-homemade-180g-i2002507589.html")</f>
        <v>https://www.lazada.vn/products/all-in-one-namkeem-fresh-homemade-180g-i2002507589.html</v>
      </c>
      <c r="C3565" s="10" t="s">
        <v>3565</v>
      </c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8">
        <v>8420.0</v>
      </c>
      <c r="B3566" s="9" t="str">
        <f>HYPERLINK("https://www.lazada.vn/products/siro-trai-cay-nhiet-doi-longbeach-tropical-punch-syrup-740ml-i2594247589.html", "https://www.lazada.vn/products/siro-trai-cay-nhiet-doi-longbeach-tropical-punch-syrup-740ml-i2594247589.html")</f>
        <v>https://www.lazada.vn/products/siro-trai-cay-nhiet-doi-longbeach-tropical-punch-syrup-740ml-i2594247589.html</v>
      </c>
      <c r="C3566" s="10" t="s">
        <v>3566</v>
      </c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8">
        <v>8421.0</v>
      </c>
      <c r="B3567" s="9" t="str">
        <f>HYPERLINK("https://www.lazada.vn/products/doc-lap-dong-goi-turkish-delight-khong-phai-keo-mem-keo-gelatin-trai-cay-pure-juice-qua-tang-keo-ngot-huong-vi-dac-biet-i2923648607.html", "https://www.lazada.vn/products/doc-lap-dong-goi-turkish-delight-khong-phai-keo-mem-keo-gelatin-trai-cay-pure-juice-qua-tang-keo-ngot-huong-vi-dac-biet-i2923648607.html")</f>
        <v>https://www.lazada.vn/products/doc-lap-dong-goi-turkish-delight-khong-phai-keo-mem-keo-gelatin-trai-cay-pure-juice-qua-tang-keo-ngot-huong-vi-dac-biet-i2923648607.html</v>
      </c>
      <c r="C3567" s="10" t="s">
        <v>3567</v>
      </c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8">
        <v>8422.0</v>
      </c>
      <c r="B3568" s="9" t="str">
        <f>HYPERLINK("https://www.lazada.vn/products/gia-tot-tran-chau-soi-krubo-800g-i2722892765.html", "https://www.lazada.vn/products/gia-tot-tran-chau-soi-krubo-800g-i2722892765.html")</f>
        <v>https://www.lazada.vn/products/gia-tot-tran-chau-soi-krubo-800g-i2722892765.html</v>
      </c>
      <c r="C3568" s="10" t="s">
        <v>3568</v>
      </c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8">
        <v>8423.0</v>
      </c>
      <c r="B3569" s="9" t="str">
        <f>HYPERLINK("https://www.lazada.vn/products/sake-nhat-ban-yasakaturu-kamenoo-kurabu-junmai-ginjo-720ml-i2510970400.html", "https://www.lazada.vn/products/sake-nhat-ban-yasakaturu-kamenoo-kurabu-junmai-ginjo-720ml-i2510970400.html")</f>
        <v>https://www.lazada.vn/products/sake-nhat-ban-yasakaturu-kamenoo-kurabu-junmai-ginjo-720ml-i2510970400.html</v>
      </c>
      <c r="C3569" s="10" t="s">
        <v>3569</v>
      </c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8">
        <v>8424.0</v>
      </c>
      <c r="B3570" s="9" t="str">
        <f>HYPERLINK("https://www.lazada.vn/products/keo-che-lam-dac-san-dai-dong-thach-that-ha-noi-goi-500g-i2019051768.html", "https://www.lazada.vn/products/keo-che-lam-dac-san-dai-dong-thach-that-ha-noi-goi-500g-i2019051768.html")</f>
        <v>https://www.lazada.vn/products/keo-che-lam-dac-san-dai-dong-thach-that-ha-noi-goi-500g-i2019051768.html</v>
      </c>
      <c r="C3570" s="10" t="s">
        <v>3570</v>
      </c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8">
        <v>8425.0</v>
      </c>
      <c r="B3571" s="9" t="str">
        <f>HYPERLINK("https://www.lazada.vn/products/mau-moibot-slim-60-goi-i2705120409.html", "https://www.lazada.vn/products/mau-moibot-slim-60-goi-i2705120409.html")</f>
        <v>https://www.lazada.vn/products/mau-moibot-slim-60-goi-i2705120409.html</v>
      </c>
      <c r="C3571" s="10" t="s">
        <v>3571</v>
      </c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8">
        <v>8426.0</v>
      </c>
      <c r="B3572" s="9" t="str">
        <f>HYPERLINK("https://www.lazada.vn/products/bia-gung-vgreen-i2519661030.html", "https://www.lazada.vn/products/bia-gung-vgreen-i2519661030.html")</f>
        <v>https://www.lazada.vn/products/bia-gung-vgreen-i2519661030.html</v>
      </c>
      <c r="C3572" s="10" t="s">
        <v>3572</v>
      </c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8">
        <v>8427.0</v>
      </c>
      <c r="B3573" s="9" t="str">
        <f>HYPERLINK("https://www.lazada.vn/products/siro-dua-non-longbeach-young-coconut-syrup-740ml-i2594176951.html", "https://www.lazada.vn/products/siro-dua-non-longbeach-young-coconut-syrup-740ml-i2594176951.html")</f>
        <v>https://www.lazada.vn/products/siro-dua-non-longbeach-young-coconut-syrup-740ml-i2594176951.html</v>
      </c>
      <c r="C3573" s="10" t="s">
        <v>3573</v>
      </c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8">
        <v>8428.0</v>
      </c>
      <c r="B3574" s="9" t="str">
        <f>HYPERLINK("https://www.lazada.vn/products/500gr-banh-trang-cuon-tom-hanh-tay-ninh-loai-1-sieu-ngon-i2637853402.html", "https://www.lazada.vn/products/500gr-banh-trang-cuon-tom-hanh-tay-ninh-loai-1-sieu-ngon-i2637853402.html")</f>
        <v>https://www.lazada.vn/products/500gr-banh-trang-cuon-tom-hanh-tay-ninh-loai-1-sieu-ngon-i2637853402.html</v>
      </c>
      <c r="C3574" s="10" t="s">
        <v>3574</v>
      </c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8">
        <v>8429.0</v>
      </c>
      <c r="B3575" s="9" t="str">
        <f>HYPERLINK("https://www.lazada.vn/products/vang-do-muret-de-mez-aoc-marmandais-i2280108149.html", "https://www.lazada.vn/products/vang-do-muret-de-mez-aoc-marmandais-i2280108149.html")</f>
        <v>https://www.lazada.vn/products/vang-do-muret-de-mez-aoc-marmandais-i2280108149.html</v>
      </c>
      <c r="C3575" s="10" t="s">
        <v>3575</v>
      </c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8">
        <v>8430.0</v>
      </c>
      <c r="B3576" s="9" t="str">
        <f>HYPERLINK("https://www.lazada.vn/products/kemcho-ratlami-sev-270g-i1982381192.html", "https://www.lazada.vn/products/kemcho-ratlami-sev-270g-i1982381192.html")</f>
        <v>https://www.lazada.vn/products/kemcho-ratlami-sev-270g-i1982381192.html</v>
      </c>
      <c r="C3576" s="10" t="s">
        <v>3576</v>
      </c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8">
        <v>8431.0</v>
      </c>
      <c r="B3577" s="9" t="str">
        <f>HYPERLINK("https://www.lazada.vn/products/snack-khoai-tay-vi-muoi-tu-nhien-gokochi-goi-35g-i2801017832.html", "https://www.lazada.vn/products/snack-khoai-tay-vi-muoi-tu-nhien-gokochi-goi-35g-i2801017832.html")</f>
        <v>https://www.lazada.vn/products/snack-khoai-tay-vi-muoi-tu-nhien-gokochi-goi-35g-i2801017832.html</v>
      </c>
      <c r="C3577" s="10" t="s">
        <v>3577</v>
      </c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8">
        <v>8432.0</v>
      </c>
      <c r="B3578" s="9" t="str">
        <f>HYPERLINK("https://www.lazada.vn/products/banh-quy-richy-kenju-gion-kem-deo-huong-vi-nhat-186gr-i2915980922.html", "https://www.lazada.vn/products/banh-quy-richy-kenju-gion-kem-deo-huong-vi-nhat-186gr-i2915980922.html")</f>
        <v>https://www.lazada.vn/products/banh-quy-richy-kenju-gion-kem-deo-huong-vi-nhat-186gr-i2915980922.html</v>
      </c>
      <c r="C3578" s="10" t="s">
        <v>3578</v>
      </c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8">
        <v>8433.0</v>
      </c>
      <c r="B3579" s="9" t="str">
        <f>HYPERLINK("https://www.lazada.vn/products/oppa-mi-tuong-den-vi-suon-heo-an-lien-ottogi-65g-i2861383233.html", "https://www.lazada.vn/products/oppa-mi-tuong-den-vi-suon-heo-an-lien-ottogi-65g-i2861383233.html")</f>
        <v>https://www.lazada.vn/products/oppa-mi-tuong-den-vi-suon-heo-an-lien-ottogi-65g-i2861383233.html</v>
      </c>
      <c r="C3579" s="10" t="s">
        <v>3579</v>
      </c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8">
        <v>8434.0</v>
      </c>
      <c r="B3580" s="9" t="str">
        <f>HYPERLINK("https://www.lazada.vn/products/bo-huc-thai-thung-24-lon-i2567973919.html", "https://www.lazada.vn/products/bo-huc-thai-thung-24-lon-i2567973919.html")</f>
        <v>https://www.lazada.vn/products/bo-huc-thai-thung-24-lon-i2567973919.html</v>
      </c>
      <c r="C3580" s="10" t="s">
        <v>3580</v>
      </c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8">
        <v>8435.0</v>
      </c>
      <c r="B3581" s="9" t="str">
        <f>HYPERLINK("https://www.lazada.vn/products/nuoc-ngot-coca-cola-nhat-500ml-24-lon-ly-trinh-15-i2532673040.html", "https://www.lazada.vn/products/nuoc-ngot-coca-cola-nhat-500ml-24-lon-ly-trinh-15-i2532673040.html")</f>
        <v>https://www.lazada.vn/products/nuoc-ngot-coca-cola-nhat-500ml-24-lon-ly-trinh-15-i2532673040.html</v>
      </c>
      <c r="C3581" s="10" t="s">
        <v>3581</v>
      </c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8">
        <v>8436.0</v>
      </c>
      <c r="B3582" s="9" t="str">
        <f>HYPERLINK("https://www.lazada.vn/products/nguyen-hop-20-goi-keo-mat-cuoi-huong-vi-trai-cay-thom-matxinh-xan-i2863741758.html", "https://www.lazada.vn/products/nguyen-hop-20-goi-keo-mat-cuoi-huong-vi-trai-cay-thom-matxinh-xan-i2863741758.html")</f>
        <v>https://www.lazada.vn/products/nguyen-hop-20-goi-keo-mat-cuoi-huong-vi-trai-cay-thom-matxinh-xan-i2863741758.html</v>
      </c>
      <c r="C3582" s="10" t="s">
        <v>3582</v>
      </c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8">
        <v>8437.0</v>
      </c>
      <c r="B3583" s="9" t="str">
        <f>HYPERLINK("https://www.lazada.vn/products/tui-luoi-780g-thach-mieng-trai-cay-suso-mix-nhieu-vi-thom-ngon-san-sat-i2489756338.html", "https://www.lazada.vn/products/tui-luoi-780g-thach-mieng-trai-cay-suso-mix-nhieu-vi-thom-ngon-san-sat-i2489756338.html")</f>
        <v>https://www.lazada.vn/products/tui-luoi-780g-thach-mieng-trai-cay-suso-mix-nhieu-vi-thom-ngon-san-sat-i2489756338.html</v>
      </c>
      <c r="C3583" s="10" t="s">
        <v>3583</v>
      </c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8">
        <v>8438.0</v>
      </c>
      <c r="B3584" s="9" t="str">
        <f>HYPERLINK("https://www.lazada.vn/products/vang-bich-mucho-mas-3-lit-i2652631046.html", "https://www.lazada.vn/products/vang-bich-mucho-mas-3-lit-i2652631046.html")</f>
        <v>https://www.lazada.vn/products/vang-bich-mucho-mas-3-lit-i2652631046.html</v>
      </c>
      <c r="C3584" s="10" t="s">
        <v>3584</v>
      </c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8">
        <v>8439.0</v>
      </c>
      <c r="B3585" s="9" t="str">
        <f>HYPERLINK("https://www.lazada.vn/products/1kg-banh-liu-trung-chay-noi-dia-trung-i2756858250.html", "https://www.lazada.vn/products/1kg-banh-liu-trung-chay-noi-dia-trung-i2756858250.html")</f>
        <v>https://www.lazada.vn/products/1kg-banh-liu-trung-chay-noi-dia-trung-i2756858250.html</v>
      </c>
      <c r="C3585" s="10" t="s">
        <v>3585</v>
      </c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8">
        <v>8440.0</v>
      </c>
      <c r="B3586" s="9" t="str">
        <f>HYPERLINK("https://www.lazada.vn/products/bot-tra-xanh-matcha-nguyen-chat-itoen-giam-hap-thu-chat-beo-goi-80g-nhat-ban-i2704524131.html", "https://www.lazada.vn/products/bot-tra-xanh-matcha-nguyen-chat-itoen-giam-hap-thu-chat-beo-goi-80g-nhat-ban-i2704524131.html")</f>
        <v>https://www.lazada.vn/products/bot-tra-xanh-matcha-nguyen-chat-itoen-giam-hap-thu-chat-beo-goi-80g-nhat-ban-i2704524131.html</v>
      </c>
      <c r="C3586" s="10" t="s">
        <v>3586</v>
      </c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8">
        <v>8441.0</v>
      </c>
      <c r="B3587" s="9" t="str">
        <f>HYPERLINK("https://www.lazada.vn/products/gia-tot-tran-chau-andes-dai-loan-du-loai-3kg-i2722822935.html", "https://www.lazada.vn/products/gia-tot-tran-chau-andes-dai-loan-du-loai-3kg-i2722822935.html")</f>
        <v>https://www.lazada.vn/products/gia-tot-tran-chau-andes-dai-loan-du-loai-3kg-i2722822935.html</v>
      </c>
      <c r="C3587" s="10" t="s">
        <v>3587</v>
      </c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8">
        <v>8442.0</v>
      </c>
      <c r="B3588" s="9" t="str">
        <f>HYPERLINK("https://www.lazada.vn/products/sake-nhat-ban-yoshinoyama-tokubetsu-junmaishu-720ml-i2510933569.html", "https://www.lazada.vn/products/sake-nhat-ban-yoshinoyama-tokubetsu-junmaishu-720ml-i2510933569.html")</f>
        <v>https://www.lazada.vn/products/sake-nhat-ban-yoshinoyama-tokubetsu-junmaishu-720ml-i2510933569.html</v>
      </c>
      <c r="C3588" s="10" t="s">
        <v>3588</v>
      </c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8">
        <v>8443.0</v>
      </c>
      <c r="B3589" s="9" t="str">
        <f>HYPERLINK("https://www.lazada.vn/products/coop-online-keo-deo-haribo-gold-bear-160g-i2860252600.html", "https://www.lazada.vn/products/coop-online-keo-deo-haribo-gold-bear-160g-i2860252600.html")</f>
        <v>https://www.lazada.vn/products/coop-online-keo-deo-haribo-gold-bear-160g-i2860252600.html</v>
      </c>
      <c r="C3589" s="10" t="s">
        <v>3589</v>
      </c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8">
        <v>8444.0</v>
      </c>
      <c r="B3590" s="9" t="str">
        <f>HYPERLINK("https://www.lazada.vn/products/hcm-thung-12-lon-bia-thu-cong-east-west-i2489651338.html", "https://www.lazada.vn/products/hcm-thung-12-lon-bia-thu-cong-east-west-i2489651338.html")</f>
        <v>https://www.lazada.vn/products/hcm-thung-12-lon-bia-thu-cong-east-west-i2489651338.html</v>
      </c>
      <c r="C3590" s="10" t="s">
        <v>3590</v>
      </c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8">
        <v>8445.0</v>
      </c>
      <c r="B3591" s="9" t="str">
        <f>HYPERLINK("https://www.lazada.vn/products/mao-dai-1935-va-hoang-tu-1-binh-500ml-i2593777047.html", "https://www.lazada.vn/products/mao-dai-1935-va-hoang-tu-1-binh-500ml-i2593777047.html")</f>
        <v>https://www.lazada.vn/products/mao-dai-1935-va-hoang-tu-1-binh-500ml-i2593777047.html</v>
      </c>
      <c r="C3591" s="10" t="s">
        <v>3591</v>
      </c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8">
        <v>8446.0</v>
      </c>
      <c r="B3592" s="9" t="str">
        <f>HYPERLINK("https://www.lazada.vn/products/10-bich-banh-trang-muoi-toi-banh-trang-xi-ke-hot-hit-i2636413587.html", "https://www.lazada.vn/products/10-bich-banh-trang-muoi-toi-banh-trang-xi-ke-hot-hit-i2636413587.html")</f>
        <v>https://www.lazada.vn/products/10-bich-banh-trang-muoi-toi-banh-trang-xi-ke-hot-hit-i2636413587.html</v>
      </c>
      <c r="C3592" s="10" t="s">
        <v>3592</v>
      </c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8">
        <v>8447.0</v>
      </c>
      <c r="B3593" s="9" t="str">
        <f>HYPERLINK("https://www.lazada.vn/products/vang-do-chile-ramirana-cabernet-sauvignon-135-chai-750ml-i2651647313.html", "https://www.lazada.vn/products/vang-do-chile-ramirana-cabernet-sauvignon-135-chai-750ml-i2651647313.html")</f>
        <v>https://www.lazada.vn/products/vang-do-chile-ramirana-cabernet-sauvignon-135-chai-750ml-i2651647313.html</v>
      </c>
      <c r="C3593" s="10" t="s">
        <v>3593</v>
      </c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8">
        <v>8448.0</v>
      </c>
      <c r="B3594" s="9" t="str">
        <f>HYPERLINK("https://www.lazada.vn/products/100gr-gao-lut-say-gion-tam-vi-thom-ngon-i2756790494.html", "https://www.lazada.vn/products/100gr-gao-lut-say-gion-tam-vi-thom-ngon-i2756790494.html")</f>
        <v>https://www.lazada.vn/products/100gr-gao-lut-say-gion-tam-vi-thom-ngon-i2756790494.html</v>
      </c>
      <c r="C3594" s="10" t="s">
        <v>3594</v>
      </c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8">
        <v>8449.0</v>
      </c>
      <c r="B3595" s="9" t="str">
        <f>HYPERLINK("https://www.lazada.vn/products/rang-thom-bot-dau-nanh-100-nguyen-chat-ho-tro-giam-can-mau-canh-gian-hop-500gr-i2702770361.html", "https://www.lazada.vn/products/rang-thom-bot-dau-nanh-100-nguyen-chat-ho-tro-giam-can-mau-canh-gian-hop-500gr-i2702770361.html")</f>
        <v>https://www.lazada.vn/products/rang-thom-bot-dau-nanh-100-nguyen-chat-ho-tro-giam-can-mau-canh-gian-hop-500gr-i2702770361.html</v>
      </c>
      <c r="C3595" s="10" t="s">
        <v>3595</v>
      </c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8">
        <v>8450.0</v>
      </c>
      <c r="B3596" s="9" t="str">
        <f>HYPERLINK("https://www.lazada.vn/products/anvil-5sc-1l-tru-nam-hong-ri-sat-suong-mai-cho-cay-trong-anvil-5sc-i3040299939.html", "https://www.lazada.vn/products/anvil-5sc-1l-tru-nam-hong-ri-sat-suong-mai-cho-cay-trong-anvil-5sc-i3040299939.html")</f>
        <v>https://www.lazada.vn/products/anvil-5sc-1l-tru-nam-hong-ri-sat-suong-mai-cho-cay-trong-anvil-5sc-i3040299939.html</v>
      </c>
      <c r="C3596" s="10" t="s">
        <v>3596</v>
      </c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8">
        <v>8451.0</v>
      </c>
      <c r="B3597" s="9" t="str">
        <f>HYPERLINK("https://www.lazada.vn/products/sake-nhat-ban-ayaume-umeshu-720ml-i2510909949.html", "https://www.lazada.vn/products/sake-nhat-ban-ayaume-umeshu-720ml-i2510909949.html")</f>
        <v>https://www.lazada.vn/products/sake-nhat-ban-ayaume-umeshu-720ml-i2510909949.html</v>
      </c>
      <c r="C3597" s="10" t="s">
        <v>3597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8">
        <v>8452.0</v>
      </c>
      <c r="B3598" s="9" t="str">
        <f>HYPERLINK("https://www.lazada.vn/products/mem-ngon-combo-500g-keo-le-an-phe-mat-ong-giup-thanh-nhiet-mat-hong-tot-cho-suc-khoe-i2859524197.html", "https://www.lazada.vn/products/mem-ngon-combo-500g-keo-le-an-phe-mat-ong-giup-thanh-nhiet-mat-hong-tot-cho-suc-khoe-i2859524197.html")</f>
        <v>https://www.lazada.vn/products/mem-ngon-combo-500g-keo-le-an-phe-mat-ong-giup-thanh-nhiet-mat-hong-tot-cho-suc-khoe-i2859524197.html</v>
      </c>
      <c r="C3598" s="10" t="s">
        <v>3598</v>
      </c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8">
        <v>8453.0</v>
      </c>
      <c r="B3599" s="9" t="str">
        <f>HYPERLINK("https://www.lazada.vn/products/bia-hoi-ha-noi-lon-500ml-loc-5-lon-i2476776354.html", "https://www.lazada.vn/products/bia-hoi-ha-noi-lon-500ml-loc-5-lon-i2476776354.html")</f>
        <v>https://www.lazada.vn/products/bia-hoi-ha-noi-lon-500ml-loc-5-lon-i2476776354.html</v>
      </c>
      <c r="C3599" s="10" t="s">
        <v>3599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8">
        <v>8454.0</v>
      </c>
      <c r="B3600" s="9" t="str">
        <f>HYPERLINK("https://www.lazada.vn/products/freeship-max-banh-ngu-coc-dinh-duong-12-loai-dau-an-kieng-me-den-160gr-goldfood-shop-i1902445908.html", "https://www.lazada.vn/products/freeship-max-banh-ngu-coc-dinh-duong-12-loai-dau-an-kieng-me-den-160gr-goldfood-shop-i1902445908.html")</f>
        <v>https://www.lazada.vn/products/freeship-max-banh-ngu-coc-dinh-duong-12-loai-dau-an-kieng-me-den-160gr-goldfood-shop-i1902445908.html</v>
      </c>
      <c r="C3600" s="10" t="s">
        <v>3600</v>
      </c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8">
        <v>8455.0</v>
      </c>
      <c r="B3601" s="9" t="str">
        <f>HYPERLINK("https://www.lazada.vn/products/nuoc-cot-dau-tay-loai-dac-biet-thanh-mat-chua-chua-ngot-dam-thom-dau-bo-sung-vitamin-c-dac-san-thao-da-lat-i2593672328.html", "https://www.lazada.vn/products/nuoc-cot-dau-tay-loai-dac-biet-thanh-mat-chua-chua-ngot-dam-thom-dau-bo-sung-vitamin-c-dac-san-thao-da-lat-i2593672328.html")</f>
        <v>https://www.lazada.vn/products/nuoc-cot-dau-tay-loai-dac-biet-thanh-mat-chua-chua-ngot-dam-thom-dau-bo-sung-vitamin-c-dac-san-thao-da-lat-i2593672328.html</v>
      </c>
      <c r="C3601" s="10" t="s">
        <v>3601</v>
      </c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8">
        <v>8456.0</v>
      </c>
      <c r="B3602" s="9" t="str">
        <f>HYPERLINK("https://www.lazada.vn/products/10-bich-banh-trang-muoi-nhuyen-hanh-phi-i2636373815.html", "https://www.lazada.vn/products/10-bich-banh-trang-muoi-nhuyen-hanh-phi-i2636373815.html")</f>
        <v>https://www.lazada.vn/products/10-bich-banh-trang-muoi-nhuyen-hanh-phi-i2636373815.html</v>
      </c>
      <c r="C3602" s="10" t="s">
        <v>3602</v>
      </c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8">
        <v>8457.0</v>
      </c>
      <c r="B3603" s="9" t="str">
        <f>HYPERLINK("https://www.lazada.vn/products/vang-phap-1982-ug-bordeaux-i2648339152.html", "https://www.lazada.vn/products/vang-phap-1982-ug-bordeaux-i2648339152.html")</f>
        <v>https://www.lazada.vn/products/vang-phap-1982-ug-bordeaux-i2648339152.html</v>
      </c>
      <c r="C3603" s="10" t="s">
        <v>3603</v>
      </c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8">
        <v>8458.0</v>
      </c>
      <c r="B3604" s="9" t="str">
        <f>HYPERLINK("https://www.lazada.vn/products/thung-25kg-banh-liu-trung-chay-noi-dia-trung-i2756760548.html", "https://www.lazada.vn/products/thung-25kg-banh-liu-trung-chay-noi-dia-trung-i2756760548.html")</f>
        <v>https://www.lazada.vn/products/thung-25kg-banh-liu-trung-chay-noi-dia-trung-i2756760548.html</v>
      </c>
      <c r="C3604" s="10" t="s">
        <v>3604</v>
      </c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8">
        <v>8459.0</v>
      </c>
      <c r="B3605" s="9" t="str">
        <f>HYPERLINK("https://www.lazada.vn/products/combo-10-goi-pate-mix-vi-snappy-tom-ciao-happy-100-wanpy-hana-pet-i3040283257.html", "https://www.lazada.vn/products/combo-10-goi-pate-mix-vi-snappy-tom-ciao-happy-100-wanpy-hana-pet-i3040283257.html")</f>
        <v>https://www.lazada.vn/products/combo-10-goi-pate-mix-vi-snappy-tom-ciao-happy-100-wanpy-hana-pet-i3040283257.html</v>
      </c>
      <c r="C3605" s="10" t="s">
        <v>3605</v>
      </c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8">
        <v>8460.0</v>
      </c>
      <c r="B3606" s="9" t="str">
        <f>HYPERLINK("https://www.lazada.vn/products/mam-dau-nanh-bich-1-kg-i2018516023.html", "https://www.lazada.vn/products/mam-dau-nanh-bich-1-kg-i2018516023.html")</f>
        <v>https://www.lazada.vn/products/mam-dau-nanh-bich-1-kg-i2018516023.html</v>
      </c>
      <c r="C3606" s="10" t="s">
        <v>3606</v>
      </c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8">
        <v>8461.0</v>
      </c>
      <c r="B3607" s="9" t="str">
        <f>HYPERLINK("https://www.lazada.vn/products/bot-socola-nestle-bich-900g-i2348063962.html", "https://www.lazada.vn/products/bot-socola-nestle-bich-900g-i2348063962.html")</f>
        <v>https://www.lazada.vn/products/bot-socola-nestle-bich-900g-i2348063962.html</v>
      </c>
      <c r="C3607" s="10" t="s">
        <v>3607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8">
        <v>8462.0</v>
      </c>
      <c r="B3608" s="9" t="str">
        <f>HYPERLINK("https://www.lazada.vn/products/bia-heart-of-darkness-kurtzs-insane-ipa-71-thung-24-lon-lon-330ml-i2472748096.html", "https://www.lazada.vn/products/bia-heart-of-darkness-kurtzs-insane-ipa-71-thung-24-lon-lon-330ml-i2472748096.html")</f>
        <v>https://www.lazada.vn/products/bia-heart-of-darkness-kurtzs-insane-ipa-71-thung-24-lon-lon-330ml-i2472748096.html</v>
      </c>
      <c r="C3608" s="10" t="s">
        <v>3608</v>
      </c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8">
        <v>8463.0</v>
      </c>
      <c r="B3609" s="9" t="str">
        <f>HYPERLINK("https://www.lazada.vn/products/haldirams-nut-cracker-200g-i1982354466.html", "https://www.lazada.vn/products/haldirams-nut-cracker-200g-i1982354466.html")</f>
        <v>https://www.lazada.vn/products/haldirams-nut-cracker-200g-i1982354466.html</v>
      </c>
      <c r="C3609" s="10" t="s">
        <v>3609</v>
      </c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8">
        <v>8464.0</v>
      </c>
      <c r="B3610" s="9" t="str">
        <f>HYPERLINK("https://www.lazada.vn/products/coca-cola-lon-mini-original-taste-160ml-x-30-lon-cua-nhat-date-072025-i2532671280.html", "https://www.lazada.vn/products/coca-cola-lon-mini-original-taste-160ml-x-30-lon-cua-nhat-date-072025-i2532671280.html")</f>
        <v>https://www.lazada.vn/products/coca-cola-lon-mini-original-taste-160ml-x-30-lon-cua-nhat-date-072025-i2532671280.html</v>
      </c>
      <c r="C3610" s="10" t="s">
        <v>3610</v>
      </c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8">
        <v>8465.0</v>
      </c>
      <c r="B3611" s="9" t="str">
        <f>HYPERLINK("https://www.lazada.vn/products/vang-da-lat-strong-red-wine_thung-6-chai-i2648114314.html", "https://www.lazada.vn/products/vang-da-lat-strong-red-wine_thung-6-chai-i2648114314.html")</f>
        <v>https://www.lazada.vn/products/vang-da-lat-strong-red-wine_thung-6-chai-i2648114314.html</v>
      </c>
      <c r="C3611" s="10" t="s">
        <v>3611</v>
      </c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8">
        <v>8466.0</v>
      </c>
      <c r="B3612" s="9" t="str">
        <f>HYPERLINK("https://www.lazada.vn/products/keo-le-an-phe-mat-ong-thanh-nhiet-tieu-dom-mem-deo-i2852238111.html", "https://www.lazada.vn/products/keo-le-an-phe-mat-ong-thanh-nhiet-tieu-dom-mem-deo-i2852238111.html")</f>
        <v>https://www.lazada.vn/products/keo-le-an-phe-mat-ong-thanh-nhiet-tieu-dom-mem-deo-i2852238111.html</v>
      </c>
      <c r="C3612" s="10" t="s">
        <v>3612</v>
      </c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8">
        <v>8467.0</v>
      </c>
      <c r="B3613" s="9" t="str">
        <f>HYPERLINK("https://www.lazada.vn/products/thung-24-lon-bo-huc-250ml-i2562892771.html", "https://www.lazada.vn/products/thung-24-lon-bo-huc-250ml-i2562892771.html")</f>
        <v>https://www.lazada.vn/products/thung-24-lon-bo-huc-250ml-i2562892771.html</v>
      </c>
      <c r="C3613" s="10" t="s">
        <v>3613</v>
      </c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8">
        <v>8468.0</v>
      </c>
      <c r="B3614" s="9" t="str">
        <f>HYPERLINK("https://www.lazada.vn/products/banh-cracker-khoai-tay-libra-atela-tui-500g1kg-gion-thom-i2915952427.html", "https://www.lazada.vn/products/banh-cracker-khoai-tay-libra-atela-tui-500g1kg-gion-thom-i2915952427.html")</f>
        <v>https://www.lazada.vn/products/banh-cracker-khoai-tay-libra-atela-tui-500g1kg-gion-thom-i2915952427.html</v>
      </c>
      <c r="C3614" s="10" t="s">
        <v>3614</v>
      </c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8">
        <v>8469.0</v>
      </c>
      <c r="B3615" s="9" t="str">
        <f>HYPERLINK("https://www.lazada.vn/products/cha-bong-ruoc-ca-loc-cb-hu-80g-i2861257056.html", "https://www.lazada.vn/products/cha-bong-ruoc-ca-loc-cb-hu-80g-i2861257056.html")</f>
        <v>https://www.lazada.vn/products/cha-bong-ruoc-ca-loc-cb-hu-80g-i2861257056.html</v>
      </c>
      <c r="C3615" s="10" t="s">
        <v>3615</v>
      </c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8">
        <v>8470.0</v>
      </c>
      <c r="B3616" s="9" t="str">
        <f>HYPERLINK("https://www.lazada.vn/products/bim-bim-pho-mai-cay-vi-thai-ntfood-hu-250gr-nhat-tin-food-i2797286912.html", "https://www.lazada.vn/products/bim-bim-pho-mai-cay-vi-thai-ntfood-hu-250gr-nhat-tin-food-i2797286912.html")</f>
        <v>https://www.lazada.vn/products/bim-bim-pho-mai-cay-vi-thai-ntfood-hu-250gr-nhat-tin-food-i2797286912.html</v>
      </c>
      <c r="C3616" s="10" t="s">
        <v>3616</v>
      </c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8">
        <v>8471.0</v>
      </c>
      <c r="B3617" s="9" t="str">
        <f>HYPERLINK("https://www.lazada.vn/products/vang-do-tertio-dmontrose-saint-estephe-3eme-i2280106039.html", "https://www.lazada.vn/products/vang-do-tertio-dmontrose-saint-estephe-3eme-i2280106039.html")</f>
        <v>https://www.lazada.vn/products/vang-do-tertio-dmontrose-saint-estephe-3eme-i2280106039.html</v>
      </c>
      <c r="C3617" s="10" t="s">
        <v>3617</v>
      </c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8">
        <v>8472.0</v>
      </c>
      <c r="B3618" s="9" t="str">
        <f>HYPERLINK("https://www.lazada.vn/products/200gr-banh-thuyen-mix-nhieu-hat-dinh-duong-thom-ngon-i2756710283.html", "https://www.lazada.vn/products/200gr-banh-thuyen-mix-nhieu-hat-dinh-duong-thom-ngon-i2756710283.html")</f>
        <v>https://www.lazada.vn/products/200gr-banh-thuyen-mix-nhieu-hat-dinh-duong-thom-ngon-i2756710283.html</v>
      </c>
      <c r="C3618" s="10" t="s">
        <v>3618</v>
      </c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8">
        <v>8473.0</v>
      </c>
      <c r="B3619" s="9" t="str">
        <f>HYPERLINK("https://www.lazada.vn/products/500gr-banh-trang-muoi-toi-xi-ke-sieu-cay-cuc-hot-sai-gon-i2633561491.html", "https://www.lazada.vn/products/500gr-banh-trang-muoi-toi-xi-ke-sieu-cay-cuc-hot-sai-gon-i2633561491.html")</f>
        <v>https://www.lazada.vn/products/500gr-banh-trang-muoi-toi-xi-ke-sieu-cay-cuc-hot-sai-gon-i2633561491.html</v>
      </c>
      <c r="C3619" s="10" t="s">
        <v>3619</v>
      </c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8">
        <v>8474.0</v>
      </c>
      <c r="B3620" s="9" t="str">
        <f>HYPERLINK("https://www.lazada.vn/products/mao-dai-trang-chuan-vi-1binh-i2593642718.html", "https://www.lazada.vn/products/mao-dai-trang-chuan-vi-1binh-i2593642718.html")</f>
        <v>https://www.lazada.vn/products/mao-dai-trang-chuan-vi-1binh-i2593642718.html</v>
      </c>
      <c r="C3620" s="10" t="s">
        <v>3620</v>
      </c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8">
        <v>8475.0</v>
      </c>
      <c r="B3621" s="9" t="str">
        <f>HYPERLINK("https://www.lazada.vn/products/banh-kem-xop-17g-pho-mai-richeese-nabati-cheese-cream-wafer-loc-10-goi-x-17g-i1895322391.html", "https://www.lazada.vn/products/banh-kem-xop-17g-pho-mai-richeese-nabati-cheese-cream-wafer-loc-10-goi-x-17g-i1895322391.html")</f>
        <v>https://www.lazada.vn/products/banh-kem-xop-17g-pho-mai-richeese-nabati-cheese-cream-wafer-loc-10-goi-x-17g-i1895322391.html</v>
      </c>
      <c r="C3621" s="10" t="s">
        <v>3621</v>
      </c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8">
        <v>8476.0</v>
      </c>
      <c r="B3622" s="9" t="str">
        <f>HYPERLINK("https://www.lazada.vn/products/bia-heart-of-darkness-all-malt-craft-lager-5-thung-24-lon-lon-330ml-i2472746121.html", "https://www.lazada.vn/products/bia-heart-of-darkness-all-malt-craft-lager-5-thung-24-lon-lon-330ml-i2472746121.html")</f>
        <v>https://www.lazada.vn/products/bia-heart-of-darkness-all-malt-craft-lager-5-thung-24-lon-lon-330ml-i2472746121.html</v>
      </c>
      <c r="C3622" s="10" t="s">
        <v>3622</v>
      </c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8">
        <v>8477.0</v>
      </c>
      <c r="B3623" s="9" t="str">
        <f>HYPERLINK("https://www.lazada.vn/products/combo-12-goi-pate-ciao-goi-60gr-danh-cho-meo-6-vi-sieu-ngon-hana-pet-i3040272280.html", "https://www.lazada.vn/products/combo-12-goi-pate-ciao-goi-60gr-danh-cho-meo-6-vi-sieu-ngon-hana-pet-i3040272280.html")</f>
        <v>https://www.lazada.vn/products/combo-12-goi-pate-ciao-goi-60gr-danh-cho-meo-6-vi-sieu-ngon-hana-pet-i3040272280.html</v>
      </c>
      <c r="C3623" s="10" t="s">
        <v>3623</v>
      </c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8">
        <v>8478.0</v>
      </c>
      <c r="B3624" s="9" t="str">
        <f>HYPERLINK("https://www.lazada.vn/products/keo-sua-bo-non-vien-nen-mong-co-250g-k73-beegin-food-i2785779814.html", "https://www.lazada.vn/products/keo-sua-bo-non-vien-nen-mong-co-250g-k73-beegin-food-i2785779814.html")</f>
        <v>https://www.lazada.vn/products/keo-sua-bo-non-vien-nen-mong-co-250g-k73-beegin-food-i2785779814.html</v>
      </c>
      <c r="C3624" s="10" t="s">
        <v>3624</v>
      </c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8">
        <v>8479.0</v>
      </c>
      <c r="B3625" s="9" t="str">
        <f>HYPERLINK("https://www.lazada.vn/products/vang-bich-3-lit-cua-phap-g1970-cabernet-sauvignon-i2648113204.html", "https://www.lazada.vn/products/vang-bich-3-lit-cua-phap-g1970-cabernet-sauvignon-i2648113204.html")</f>
        <v>https://www.lazada.vn/products/vang-bich-3-lit-cua-phap-g1970-cabernet-sauvignon-i2648113204.html</v>
      </c>
      <c r="C3625" s="10" t="s">
        <v>3625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8">
        <v>8480.0</v>
      </c>
      <c r="B3626" s="9" t="str">
        <f>HYPERLINK("https://www.lazada.vn/products/1-hu-800-gram-mam-tep-chua-con-ruot-dac-san-ben-tre-i2018097152.html", "https://www.lazada.vn/products/1-hu-800-gram-mam-tep-chua-con-ruot-dac-san-ben-tre-i2018097152.html")</f>
        <v>https://www.lazada.vn/products/1-hu-800-gram-mam-tep-chua-con-ruot-dac-san-ben-tre-i2018097152.html</v>
      </c>
      <c r="C3626" s="10" t="s">
        <v>3626</v>
      </c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8">
        <v>8481.0</v>
      </c>
      <c r="B3627" s="9" t="str">
        <f>HYPERLINK("https://www.lazada.vn/products/chinh-hang-thach-hito-yum-bo-sung-canxi-vi-ngon-ngot-de-su-dung-khong-co-danh-gia-green-pharma-i2488434492.html", "https://www.lazada.vn/products/chinh-hang-thach-hito-yum-bo-sung-canxi-vi-ngon-ngot-de-su-dung-khong-co-danh-gia-green-pharma-i2488434492.html")</f>
        <v>https://www.lazada.vn/products/chinh-hang-thach-hito-yum-bo-sung-canxi-vi-ngon-ngot-de-su-dung-khong-co-danh-gia-green-pharma-i2488434492.html</v>
      </c>
      <c r="C3627" s="10" t="s">
        <v>3627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8">
        <v>8482.0</v>
      </c>
      <c r="B3628" s="9" t="str">
        <f>HYPERLINK("https://www.lazada.vn/products/nuoc-ngot-fanta-nhat-cam-160ml-thung-30-lon-leetrinh-i2532643119.html", "https://www.lazada.vn/products/nuoc-ngot-fanta-nhat-cam-160ml-thung-30-lon-leetrinh-i2532643119.html")</f>
        <v>https://www.lazada.vn/products/nuoc-ngot-fanta-nhat-cam-160ml-thung-30-lon-leetrinh-i2532643119.html</v>
      </c>
      <c r="C3628" s="10" t="s">
        <v>3628</v>
      </c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8">
        <v>8483.0</v>
      </c>
      <c r="B3629" s="9" t="str">
        <f>HYPERLINK("https://www.lazada.vn/products/sua-milo-thai-thung-48-hop-180ml-i2338571694.html", "https://www.lazada.vn/products/sua-milo-thai-thung-48-hop-180ml-i2338571694.html")</f>
        <v>https://www.lazada.vn/products/sua-milo-thai-thung-48-hop-180ml-i2338571694.html</v>
      </c>
      <c r="C3629" s="10" t="s">
        <v>3629</v>
      </c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8">
        <v>8484.0</v>
      </c>
      <c r="B3630" s="9" t="str">
        <f>HYPERLINK("https://www.lazada.vn/products/sake-nhat-ban-yamahaijunmai-muroka-genshu-720ml-i2506412017.html", "https://www.lazada.vn/products/sake-nhat-ban-yamahaijunmai-muroka-genshu-720ml-i2506412017.html")</f>
        <v>https://www.lazada.vn/products/sake-nhat-ban-yamahaijunmai-muroka-genshu-720ml-i2506412017.html</v>
      </c>
      <c r="C3630" s="10" t="s">
        <v>3630</v>
      </c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8">
        <v>8485.0</v>
      </c>
      <c r="B3631" s="9" t="str">
        <f>HYPERLINK("https://www.lazada.vn/products/kemcho-mini-bakharwadi-270g-i1982280436.html", "https://www.lazada.vn/products/kemcho-mini-bakharwadi-270g-i1982280436.html")</f>
        <v>https://www.lazada.vn/products/kemcho-mini-bakharwadi-270g-i1982280436.html</v>
      </c>
      <c r="C3631" s="10" t="s">
        <v>3631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8">
        <v>8486.0</v>
      </c>
      <c r="B3632" s="9" t="str">
        <f>HYPERLINK("https://www.lazada.vn/products/dung-thu-50gr-thit-say-hon-hop-ga-vit-tom-ca-gan-rau-ca-hoi-ca-nguyen-con-cho-cho-meo-hana-pet-shop-i3040243118.html", "https://www.lazada.vn/products/dung-thu-50gr-thit-say-hon-hop-ga-vit-tom-ca-gan-rau-ca-hoi-ca-nguyen-con-cho-cho-meo-hana-pet-shop-i3040243118.html")</f>
        <v>https://www.lazada.vn/products/dung-thu-50gr-thit-say-hon-hop-ga-vit-tom-ca-gan-rau-ca-hoi-ca-nguyen-con-cho-cho-meo-hana-pet-shop-i3040243118.html</v>
      </c>
      <c r="C3632" s="10" t="s">
        <v>3632</v>
      </c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8">
        <v>8487.0</v>
      </c>
      <c r="B3633" s="9" t="str">
        <f>HYPERLINK("https://www.lazada.vn/products/bia-east-west-rose-42-lon-330ml-thung-12-lon-i2472739047.html", "https://www.lazada.vn/products/bia-east-west-rose-42-lon-330ml-thung-12-lon-i2472739047.html")</f>
        <v>https://www.lazada.vn/products/bia-east-west-rose-42-lon-330ml-thung-12-lon-i2472739047.html</v>
      </c>
      <c r="C3633" s="10" t="s">
        <v>3633</v>
      </c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8">
        <v>8488.0</v>
      </c>
      <c r="B3634" s="9" t="str">
        <f>HYPERLINK("https://www.lazada.vn/products/keo-lotte-anytime-han-quoc-goi-60g-i2782905477.html", "https://www.lazada.vn/products/keo-lotte-anytime-han-quoc-goi-60g-i2782905477.html")</f>
        <v>https://www.lazada.vn/products/keo-lotte-anytime-han-quoc-goi-60g-i2782905477.html</v>
      </c>
      <c r="C3634" s="10" t="s">
        <v>3634</v>
      </c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8">
        <v>8489.0</v>
      </c>
      <c r="B3635" s="9" t="str">
        <f>HYPERLINK("https://www.lazada.vn/products/vang-uc-hill-harrington-cabernet-sauvignon_750ml-i2648100102.html", "https://www.lazada.vn/products/vang-uc-hill-harrington-cabernet-sauvignon_750ml-i2648100102.html")</f>
        <v>https://www.lazada.vn/products/vang-uc-hill-harrington-cabernet-sauvignon_750ml-i2648100102.html</v>
      </c>
      <c r="C3635" s="10" t="s">
        <v>3635</v>
      </c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8">
        <v>8490.0</v>
      </c>
      <c r="B3636" s="9" t="str">
        <f>HYPERLINK("https://www.lazada.vn/products/combo-nau-mi-cay-cho-60to-gom-4-gia-vi-i2017422892.html", "https://www.lazada.vn/products/combo-nau-mi-cay-cho-60to-gom-4-gia-vi-i2017422892.html")</f>
        <v>https://www.lazada.vn/products/combo-nau-mi-cay-cho-60to-gom-4-gia-vi-i2017422892.html</v>
      </c>
      <c r="C3636" s="10" t="s">
        <v>3636</v>
      </c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8">
        <v>8491.0</v>
      </c>
      <c r="B3637" s="9" t="str">
        <f>HYPERLINK("https://www.lazada.vn/products/combo-5-cai-banh-liu-trung-chay-noi-dia-trung-i2756688761.html", "https://www.lazada.vn/products/combo-5-cai-banh-liu-trung-chay-noi-dia-trung-i2756688761.html")</f>
        <v>https://www.lazada.vn/products/combo-5-cai-banh-liu-trung-chay-noi-dia-trung-i2756688761.html</v>
      </c>
      <c r="C3637" s="10" t="s">
        <v>3637</v>
      </c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8">
        <v>8492.0</v>
      </c>
      <c r="B3638" s="9" t="str">
        <f>HYPERLINK("https://www.lazada.vn/products/banh-nabati-phonaiphuc-bon-tutime-break-50g-i1885562652.html", "https://www.lazada.vn/products/banh-nabati-phonaiphuc-bon-tutime-break-50g-i1885562652.html")</f>
        <v>https://www.lazada.vn/products/banh-nabati-phonaiphuc-bon-tutime-break-50g-i1885562652.html</v>
      </c>
      <c r="C3638" s="10" t="s">
        <v>3638</v>
      </c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8">
        <v>8493.0</v>
      </c>
      <c r="B3639" s="9" t="str">
        <f>HYPERLINK("https://www.lazada.vn/products/combo-10-goi-snack-an-vat-mai-ton-dui-ga-mai-bo-lo-an-vat-cung-ba-tuyet-i2627647529.html", "https://www.lazada.vn/products/combo-10-goi-snack-an-vat-mai-ton-dui-ga-mai-bo-lo-an-vat-cung-ba-tuyet-i2627647529.html")</f>
        <v>https://www.lazada.vn/products/combo-10-goi-snack-an-vat-mai-ton-dui-ga-mai-bo-lo-an-vat-cung-ba-tuyet-i2627647529.html</v>
      </c>
      <c r="C3639" s="10" t="s">
        <v>3639</v>
      </c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8">
        <v>8494.0</v>
      </c>
      <c r="B3640" s="9" t="str">
        <f>HYPERLINK("https://www.lazada.vn/products/nuoc-cot-dau-tam-loai-dac-biet-thanh-mat-chua-chua-ngot-dam-thom-dau-ho-tro-giam-dau-lung-dac-san-thao-da-lat-i2593616524.html", "https://www.lazada.vn/products/nuoc-cot-dau-tam-loai-dac-biet-thanh-mat-chua-chua-ngot-dam-thom-dau-ho-tro-giam-dau-lung-dac-san-thao-da-lat-i2593616524.html")</f>
        <v>https://www.lazada.vn/products/nuoc-cot-dau-tam-loai-dac-biet-thanh-mat-chua-chua-ngot-dam-thom-dau-ho-tro-giam-dau-lung-dac-san-thao-da-lat-i2593616524.html</v>
      </c>
      <c r="C3640" s="10" t="s">
        <v>3640</v>
      </c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8">
        <v>8495.0</v>
      </c>
      <c r="B3641" s="9" t="str">
        <f>HYPERLINK("https://www.lazada.vn/products/nuoc-ngot-coca-cola-nhat-500ml-thung-24-lon-leetrinh-i2532606388.html", "https://www.lazada.vn/products/nuoc-ngot-coca-cola-nhat-500ml-thung-24-lon-leetrinh-i2532606388.html")</f>
        <v>https://www.lazada.vn/products/nuoc-ngot-coca-cola-nhat-500ml-thung-24-lon-leetrinh-i2532606388.html</v>
      </c>
      <c r="C3641" s="10" t="s">
        <v>3641</v>
      </c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8">
        <v>8496.0</v>
      </c>
      <c r="B3642" s="9" t="str">
        <f>HYPERLINK("https://www.lazada.vn/products/kemcho-garlic-sev-mamra-270g-puffed-rice-with-garlic-i1982247378.html", "https://www.lazada.vn/products/kemcho-garlic-sev-mamra-270g-puffed-rice-with-garlic-i1982247378.html")</f>
        <v>https://www.lazada.vn/products/kemcho-garlic-sev-mamra-270g-puffed-rice-with-garlic-i1982247378.html</v>
      </c>
      <c r="C3642" s="10" t="s">
        <v>3642</v>
      </c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8">
        <v>8497.0</v>
      </c>
      <c r="B3643" s="9" t="str">
        <f>HYPERLINK("https://www.lazada.vn/products/ruou-sake-nhat-suginomori-narai-kinmon-i2493561763.html", "https://www.lazada.vn/products/ruou-sake-nhat-suginomori-narai-kinmon-i2493561763.html")</f>
        <v>https://www.lazada.vn/products/ruou-sake-nhat-suginomori-narai-kinmon-i2493561763.html</v>
      </c>
      <c r="C3643" s="10" t="s">
        <v>3643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8">
        <v>8498.0</v>
      </c>
      <c r="B3644" s="9" t="str">
        <f>HYPERLINK("https://www.lazada.vn/products/bia-heart-of-darkness-tropical-pilsner-5-thung-24-lon-lon-330ml-i2472738051.html", "https://www.lazada.vn/products/bia-heart-of-darkness-tropical-pilsner-5-thung-24-lon-lon-330ml-i2472738051.html")</f>
        <v>https://www.lazada.vn/products/bia-heart-of-darkness-tropical-pilsner-5-thung-24-lon-lon-330ml-i2472738051.html</v>
      </c>
      <c r="C3644" s="10" t="s">
        <v>3644</v>
      </c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8">
        <v>8499.0</v>
      </c>
      <c r="B3645" s="9" t="str">
        <f>HYPERLINK("https://www.lazada.vn/products/giao-nhanh-thit-say-kho-cao-cap-mix-du-loai-hop-660gr-hon-hop-say-lanh-cho-cho-meo-i3040228158.html", "https://www.lazada.vn/products/giao-nhanh-thit-say-kho-cao-cap-mix-du-loai-hop-660gr-hon-hop-say-lanh-cho-cho-meo-i3040228158.html")</f>
        <v>https://www.lazada.vn/products/giao-nhanh-thit-say-kho-cao-cap-mix-du-loai-hop-660gr-hon-hop-say-lanh-cho-cho-meo-i3040228158.html</v>
      </c>
      <c r="C3645" s="10" t="s">
        <v>3645</v>
      </c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8">
        <v>8500.0</v>
      </c>
      <c r="B3646" s="9" t="str">
        <f>HYPERLINK("https://www.lazada.vn/products/vang-santo-molina-5-lit-i2648085182.html", "https://www.lazada.vn/products/vang-santo-molina-5-lit-i2648085182.html")</f>
        <v>https://www.lazada.vn/products/vang-santo-molina-5-lit-i2648085182.html</v>
      </c>
      <c r="C3646" s="10" t="s">
        <v>3646</v>
      </c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8">
        <v>8501.0</v>
      </c>
      <c r="B3647" s="9" t="str">
        <f>HYPERLINK("https://www.lazada.vn/products/cot-bao-ngu-trung-quoc-380ml-i2016269956.html", "https://www.lazada.vn/products/cot-bao-ngu-trung-quoc-380ml-i2016269956.html")</f>
        <v>https://www.lazada.vn/products/cot-bao-ngu-trung-quoc-380ml-i2016269956.html</v>
      </c>
      <c r="C3647" s="10" t="s">
        <v>3647</v>
      </c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8">
        <v>8502.0</v>
      </c>
      <c r="B3648" s="9" t="str">
        <f>HYPERLINK("https://www.lazada.vn/products/keo-sap-ong-nhan-trai-cay-mix-nhieu-vi-1kg-banh-keo-an-vat-hottrend-i2781389331.html", "https://www.lazada.vn/products/keo-sap-ong-nhan-trai-cay-mix-nhieu-vi-1kg-banh-keo-an-vat-hottrend-i2781389331.html")</f>
        <v>https://www.lazada.vn/products/keo-sap-ong-nhan-trai-cay-mix-nhieu-vi-1kg-banh-keo-an-vat-hottrend-i2781389331.html</v>
      </c>
      <c r="C3648" s="10" t="s">
        <v>3648</v>
      </c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8">
        <v>8503.0</v>
      </c>
      <c r="B3649" s="9" t="str">
        <f>HYPERLINK("https://www.lazada.vn/products/chinh-hang-thach-hito-yum-bo-sung-canxi-vi-ngon-ngot-de-su-dung-i2488397592.html", "https://www.lazada.vn/products/chinh-hang-thach-hito-yum-bo-sung-canxi-vi-ngon-ngot-de-su-dung-i2488397592.html")</f>
        <v>https://www.lazada.vn/products/chinh-hang-thach-hito-yum-bo-sung-canxi-vi-ngon-ngot-de-su-dung-i2488397592.html</v>
      </c>
      <c r="C3649" s="10" t="s">
        <v>3649</v>
      </c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8">
        <v>8504.0</v>
      </c>
      <c r="B3650" s="9" t="str">
        <f>HYPERLINK("https://www.lazada.vn/products/nuoc-ngot-coca-nhat-160ml-thung-30-lon-leetrinh-i2532391992.html", "https://www.lazada.vn/products/nuoc-ngot-coca-nhat-160ml-thung-30-lon-leetrinh-i2532391992.html")</f>
        <v>https://www.lazada.vn/products/nuoc-ngot-coca-nhat-160ml-thung-30-lon-leetrinh-i2532391992.html</v>
      </c>
      <c r="C3650" s="10" t="s">
        <v>3650</v>
      </c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8">
        <v>8505.0</v>
      </c>
      <c r="B3651" s="9" t="str">
        <f>HYPERLINK("https://www.lazada.vn/products/chana-jor-namkeen-270g-i1978843061.html", "https://www.lazada.vn/products/chana-jor-namkeen-270g-i1978843061.html")</f>
        <v>https://www.lazada.vn/products/chana-jor-namkeen-270g-i1978843061.html</v>
      </c>
      <c r="C3651" s="10" t="s">
        <v>3651</v>
      </c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8">
        <v>8506.0</v>
      </c>
      <c r="B3652" s="9" t="str">
        <f>HYPERLINK("https://www.lazada.vn/products/ruou-mo-xanh-nhat-ban-hang-cong-ty-i2481139018.html", "https://www.lazada.vn/products/ruou-mo-xanh-nhat-ban-hang-cong-ty-i2481139018.html")</f>
        <v>https://www.lazada.vn/products/ruou-mo-xanh-nhat-ban-hang-cong-ty-i2481139018.html</v>
      </c>
      <c r="C3652" s="10" t="s">
        <v>3652</v>
      </c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8">
        <v>8507.0</v>
      </c>
      <c r="B3653" s="9" t="str">
        <f>HYPERLINK("https://www.lazada.vn/products/set-2-lo-ruoc-thit-ga-sot-ngot-torisoboro-nissui-nhat-ban-52gr-x-2-i3040225275.html", "https://www.lazada.vn/products/set-2-lo-ruoc-thit-ga-sot-ngot-torisoboro-nissui-nhat-ban-52gr-x-2-i3040225275.html")</f>
        <v>https://www.lazada.vn/products/set-2-lo-ruoc-thit-ga-sot-ngot-torisoboro-nissui-nhat-ban-52gr-x-2-i3040225275.html</v>
      </c>
      <c r="C3653" s="10" t="s">
        <v>3653</v>
      </c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8">
        <v>8508.0</v>
      </c>
      <c r="B3654" s="9" t="str">
        <f>HYPERLINK("https://www.lazada.vn/products/vang-bich-chile-la-roca-cabernet-sauvignon-5-lit-i2648028349.html", "https://www.lazada.vn/products/vang-bich-chile-la-roca-cabernet-sauvignon-5-lit-i2648028349.html")</f>
        <v>https://www.lazada.vn/products/vang-bich-chile-la-roca-cabernet-sauvignon-5-lit-i2648028349.html</v>
      </c>
      <c r="C3654" s="10" t="s">
        <v>3654</v>
      </c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8">
        <v>8509.0</v>
      </c>
      <c r="B3655" s="9" t="str">
        <f>HYPERLINK("https://www.lazada.vn/products/bia-heart-of-darkness-dream-alone-pale-ale-57-thung-24-lon-lon-330ml-i2472685315.html", "https://www.lazada.vn/products/bia-heart-of-darkness-dream-alone-pale-ale-57-thung-24-lon-lon-330ml-i2472685315.html")</f>
        <v>https://www.lazada.vn/products/bia-heart-of-darkness-dream-alone-pale-ale-57-thung-24-lon-lon-330ml-i2472685315.html</v>
      </c>
      <c r="C3655" s="10" t="s">
        <v>3655</v>
      </c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8">
        <v>8510.0</v>
      </c>
      <c r="B3656" s="9" t="str">
        <f>HYPERLINK("https://www.lazada.vn/products/1kg-keo-socola-soi-i2780056128.html", "https://www.lazada.vn/products/1kg-keo-socola-soi-i2780056128.html")</f>
        <v>https://www.lazada.vn/products/1kg-keo-socola-soi-i2780056128.html</v>
      </c>
      <c r="C3656" s="10" t="s">
        <v>3656</v>
      </c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8">
        <v>8511.0</v>
      </c>
      <c r="B3657" s="9" t="str">
        <f>HYPERLINK("https://www.lazada.vn/products/qua-oliu-den-tach-hat-no-brand-340g-i2013227020.html", "https://www.lazada.vn/products/qua-oliu-den-tach-hat-no-brand-340g-i2013227020.html")</f>
        <v>https://www.lazada.vn/products/qua-oliu-den-tach-hat-no-brand-340g-i2013227020.html</v>
      </c>
      <c r="C3657" s="10" t="s">
        <v>3657</v>
      </c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8">
        <v>8512.0</v>
      </c>
      <c r="B3658" s="9" t="str">
        <f>HYPERLINK("https://www.lazada.vn/products/haldirams-kaju-mixture-200g-i1978824096.html", "https://www.lazada.vn/products/haldirams-kaju-mixture-200g-i1978824096.html")</f>
        <v>https://www.lazada.vn/products/haldirams-kaju-mixture-200g-i1978824096.html</v>
      </c>
      <c r="C3658" s="10" t="s">
        <v>3658</v>
      </c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8">
        <v>8513.0</v>
      </c>
      <c r="B3659" s="9" t="str">
        <f>HYPERLINK("https://www.lazada.vn/products/thach-trai-cay-gau-dau-vi-cam-dau-cuc-thom-i2486906567.html", "https://www.lazada.vn/products/thach-trai-cay-gau-dau-vi-cam-dau-cuc-thom-i2486906567.html")</f>
        <v>https://www.lazada.vn/products/thach-trai-cay-gau-dau-vi-cam-dau-cuc-thom-i2486906567.html</v>
      </c>
      <c r="C3659" s="10" t="s">
        <v>3659</v>
      </c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8">
        <v>8514.0</v>
      </c>
      <c r="B3660" s="9" t="str">
        <f>HYPERLINK("https://www.lazada.vn/products/ruou-sake-kanpai-140-chai-300-ml-720-ml-18-l-i2480821623.html", "https://www.lazada.vn/products/ruou-sake-kanpai-140-chai-300-ml-720-ml-18-l-i2480821623.html")</f>
        <v>https://www.lazada.vn/products/ruou-sake-kanpai-140-chai-300-ml-720-ml-18-l-i2480821623.html</v>
      </c>
      <c r="C3660" s="10" t="s">
        <v>3660</v>
      </c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8">
        <v>8515.0</v>
      </c>
      <c r="B3661" s="9" t="str">
        <f>HYPERLINK("https://www.lazada.vn/products/gia-dung-thu-ca-hoi-vien-say-kho-nguyen-vi-cho-cho-meo-bo-sung-omega-3-giup-muot-long-hanapet-i3040198772.html", "https://www.lazada.vn/products/gia-dung-thu-ca-hoi-vien-say-kho-nguyen-vi-cho-cho-meo-bo-sung-omega-3-giup-muot-long-hanapet-i3040198772.html")</f>
        <v>https://www.lazada.vn/products/gia-dung-thu-ca-hoi-vien-say-kho-nguyen-vi-cho-cho-meo-bo-sung-omega-3-giup-muot-long-hanapet-i3040198772.html</v>
      </c>
      <c r="C3661" s="10" t="s">
        <v>3661</v>
      </c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8">
        <v>8516.0</v>
      </c>
      <c r="B3662" s="9" t="str">
        <f>HYPERLINK("https://www.lazada.vn/products/bia-heart-of-darkness-the-river-india-pale-ale-57-thung-24-lon-lon-330ml-i2472479839.html", "https://www.lazada.vn/products/bia-heart-of-darkness-the-river-india-pale-ale-57-thung-24-lon-lon-330ml-i2472479839.html")</f>
        <v>https://www.lazada.vn/products/bia-heart-of-darkness-the-river-india-pale-ale-57-thung-24-lon-lon-330ml-i2472479839.html</v>
      </c>
      <c r="C3662" s="10" t="s">
        <v>3662</v>
      </c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8">
        <v>8517.0</v>
      </c>
      <c r="B3663" s="9" t="str">
        <f>HYPERLINK("https://www.lazada.vn/products/combo-2-thung-tuborg-thung-24-lon-i2468384327.html", "https://www.lazada.vn/products/combo-2-thung-tuborg-thung-24-lon-i2468384327.html")</f>
        <v>https://www.lazada.vn/products/combo-2-thung-tuborg-thung-24-lon-i2468384327.html</v>
      </c>
      <c r="C3663" s="10" t="s">
        <v>3663</v>
      </c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8">
        <v>8518.0</v>
      </c>
      <c r="B3664" s="9" t="str">
        <f>HYPERLINK("https://www.lazada.vn/products/bot-cacao-sua-5in1-goldzherbs-14-goi-500g-i2338399950.html", "https://www.lazada.vn/products/bot-cacao-sua-5in1-goldzherbs-14-goi-500g-i2338399950.html")</f>
        <v>https://www.lazada.vn/products/bot-cacao-sua-5in1-goldzherbs-14-goi-500g-i2338399950.html</v>
      </c>
      <c r="C3664" s="10" t="s">
        <v>3664</v>
      </c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8">
        <v>8519.0</v>
      </c>
      <c r="B3665" s="9" t="str">
        <f>HYPERLINK("https://www.lazada.vn/products/vang-no-torley-charmant-i2648025340.html", "https://www.lazada.vn/products/vang-no-torley-charmant-i2648025340.html")</f>
        <v>https://www.lazada.vn/products/vang-no-torley-charmant-i2648025340.html</v>
      </c>
      <c r="C3665" s="10" t="s">
        <v>3665</v>
      </c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8">
        <v>8520.0</v>
      </c>
      <c r="B3666" s="9" t="str">
        <f>HYPERLINK("https://www.lazada.vn/products/combo-2-lo-keo-nhat-i2774311562.html", "https://www.lazada.vn/products/combo-2-lo-keo-nhat-i2774311562.html")</f>
        <v>https://www.lazada.vn/products/combo-2-lo-keo-nhat-i2774311562.html</v>
      </c>
      <c r="C3666" s="10" t="s">
        <v>3666</v>
      </c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8">
        <v>8521.0</v>
      </c>
      <c r="B3667" s="9" t="str">
        <f>HYPERLINK("https://www.lazada.vn/products/nuoc-mam-ca-com-tams-nuoc-mam-ca-com-than-phu-quoc-hanh-phuc-ca-na-an-com-cham-thit-luoc-chai-900ml-tap-hoa-keo-i2010519589.html", "https://www.lazada.vn/products/nuoc-mam-ca-com-tams-nuoc-mam-ca-com-than-phu-quoc-hanh-phuc-ca-na-an-com-cham-thit-luoc-chai-900ml-tap-hoa-keo-i2010519589.html")</f>
        <v>https://www.lazada.vn/products/nuoc-mam-ca-com-tams-nuoc-mam-ca-com-than-phu-quoc-hanh-phuc-ca-na-an-com-cham-thit-luoc-chai-900ml-tap-hoa-keo-i2010519589.html</v>
      </c>
      <c r="C3667" s="10" t="s">
        <v>3667</v>
      </c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8">
        <v>8522.0</v>
      </c>
      <c r="B3668" s="9" t="str">
        <f>HYPERLINK("https://www.lazada.vn/products/banh-gao-nhat-ichi-100g-i2915879677.html", "https://www.lazada.vn/products/banh-gao-nhat-ichi-100g-i2915879677.html")</f>
        <v>https://www.lazada.vn/products/banh-gao-nhat-ichi-100g-i2915879677.html</v>
      </c>
      <c r="C3668" s="10" t="s">
        <v>3668</v>
      </c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8">
        <v>8523.0</v>
      </c>
      <c r="B3669" s="9" t="str">
        <f>HYPERLINK("https://www.lazada.vn/products/hop-thuc-uong-bo-sung-nang-luong-tsport-bu-nuoc-dien-giai-i2561031348.html", "https://www.lazada.vn/products/hop-thuc-uong-bo-sung-nang-luong-tsport-bu-nuoc-dien-giai-i2561031348.html")</f>
        <v>https://www.lazada.vn/products/hop-thuc-uong-bo-sung-nang-luong-tsport-bu-nuoc-dien-giai-i2561031348.html</v>
      </c>
      <c r="C3669" s="10" t="s">
        <v>3669</v>
      </c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8">
        <v>8524.0</v>
      </c>
      <c r="B3670" s="9" t="str">
        <f>HYPERLINK("https://www.lazada.vn/products/500gr-banh-thuyen-mix-nhieu-hat-dinh-duong-thom-ngon-i2756604770.html", "https://www.lazada.vn/products/500gr-banh-thuyen-mix-nhieu-hat-dinh-duong-thom-ngon-i2756604770.html")</f>
        <v>https://www.lazada.vn/products/500gr-banh-thuyen-mix-nhieu-hat-dinh-duong-thom-ngon-i2756604770.html</v>
      </c>
      <c r="C3670" s="10" t="s">
        <v>3670</v>
      </c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8">
        <v>8525.0</v>
      </c>
      <c r="B3671" s="9" t="str">
        <f>HYPERLINK("https://www.lazada.vn/products/luong-kho-mini-didian-luong-kho-mini-cac-vi-405g-1-goi-i1879507864.html", "https://www.lazada.vn/products/luong-kho-mini-didian-luong-kho-mini-cac-vi-405g-1-goi-i1879507864.html")</f>
        <v>https://www.lazada.vn/products/luong-kho-mini-didian-luong-kho-mini-cac-vi-405g-1-goi-i1879507864.html</v>
      </c>
      <c r="C3671" s="10" t="s">
        <v>3671</v>
      </c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8">
        <v>8526.0</v>
      </c>
      <c r="B3672" s="9" t="str">
        <f>HYPERLINK("https://www.lazada.vn/products/vang-do-margaux-de-brane-margaux-2nd-vin-i2280084849.html", "https://www.lazada.vn/products/vang-do-margaux-de-brane-margaux-2nd-vin-i2280084849.html")</f>
        <v>https://www.lazada.vn/products/vang-do-margaux-de-brane-margaux-2nd-vin-i2280084849.html</v>
      </c>
      <c r="C3672" s="10" t="s">
        <v>3672</v>
      </c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8">
        <v>8527.0</v>
      </c>
      <c r="B3673" s="9" t="str">
        <f>HYPERLINK("https://www.lazada.vn/products/coop-online-pho-vifon-sot-thit-vi-bo-75g-i2860380164.html", "https://www.lazada.vn/products/coop-online-pho-vifon-sot-thit-vi-bo-75g-i2860380164.html")</f>
        <v>https://www.lazada.vn/products/coop-online-pho-vifon-sot-thit-vi-bo-75g-i2860380164.html</v>
      </c>
      <c r="C3673" s="10" t="s">
        <v>3673</v>
      </c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8">
        <v>8528.0</v>
      </c>
      <c r="B3674" s="9" t="str">
        <f>HYPERLINK("https://www.lazada.vn/products/khoai-lang-sua-1-kg-i2792560452.html", "https://www.lazada.vn/products/khoai-lang-sua-1-kg-i2792560452.html")</f>
        <v>https://www.lazada.vn/products/khoai-lang-sua-1-kg-i2792560452.html</v>
      </c>
      <c r="C3674" s="10" t="s">
        <v>3674</v>
      </c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8">
        <v>8529.0</v>
      </c>
      <c r="B3675" s="9" t="str">
        <f>HYPERLINK("https://www.lazada.vn/products/murukku-270g-i1978798190.html", "https://www.lazada.vn/products/murukku-270g-i1978798190.html")</f>
        <v>https://www.lazada.vn/products/murukku-270g-i1978798190.html</v>
      </c>
      <c r="C3675" s="10" t="s">
        <v>3675</v>
      </c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8">
        <v>8530.0</v>
      </c>
      <c r="B3676" s="9" t="str">
        <f>HYPERLINK("https://www.lazada.vn/products/thach-rau-cau-pha-san-thach-dao-uc-1-goi-500gr-khong-can-dun-nau-du-vi-cost-thap-de-pha-chi-20k1kg-thach-thanh-pham-i2485466182.html", "https://www.lazada.vn/products/thach-rau-cau-pha-san-thach-dao-uc-1-goi-500gr-khong-can-dun-nau-du-vi-cost-thap-de-pha-chi-20k1kg-thach-thanh-pham-i2485466182.html")</f>
        <v>https://www.lazada.vn/products/thach-rau-cau-pha-san-thach-dao-uc-1-goi-500gr-khong-can-dun-nau-du-vi-cost-thap-de-pha-chi-20k1kg-thach-thanh-pham-i2485466182.html</v>
      </c>
      <c r="C3676" s="10" t="s">
        <v>3676</v>
      </c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8">
        <v>8531.0</v>
      </c>
      <c r="B3677" s="9" t="str">
        <f>HYPERLINK("https://www.lazada.vn/products/keo-me-xi-muoi-cay-chua-ngot-tps-food-400g-an-vat-ngon-i2627199703.html", "https://www.lazada.vn/products/keo-me-xi-muoi-cay-chua-ngot-tps-food-400g-an-vat-ngon-i2627199703.html")</f>
        <v>https://www.lazada.vn/products/keo-me-xi-muoi-cay-chua-ngot-tps-food-400g-an-vat-ngon-i2627199703.html</v>
      </c>
      <c r="C3677" s="10" t="s">
        <v>3677</v>
      </c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8">
        <v>8532.0</v>
      </c>
      <c r="B3678" s="9" t="str">
        <f>HYPERLINK("https://www.lazada.vn/products/sirosyrup-torani-vai-750ml-torani-lychee-i2591628088.html", "https://www.lazada.vn/products/sirosyrup-torani-vai-750ml-torani-lychee-i2591628088.html")</f>
        <v>https://www.lazada.vn/products/sirosyrup-torani-vai-750ml-torani-lychee-i2591628088.html</v>
      </c>
      <c r="C3678" s="10" t="s">
        <v>3678</v>
      </c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8">
        <v>8533.0</v>
      </c>
      <c r="B3679" s="9" t="str">
        <f>HYPERLINK("https://www.lazada.vn/products/nuoc-ngot-fanta-my-355ml-vi-cam-loc-12-lon-ly-trinh-15-i2531740000.html", "https://www.lazada.vn/products/nuoc-ngot-fanta-my-355ml-vi-cam-loc-12-lon-ly-trinh-15-i2531740000.html")</f>
        <v>https://www.lazada.vn/products/nuoc-ngot-fanta-my-355ml-vi-cam-loc-12-lon-ly-trinh-15-i2531740000.html</v>
      </c>
      <c r="C3679" s="10" t="s">
        <v>3679</v>
      </c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8">
        <v>8534.0</v>
      </c>
      <c r="B3680" s="9" t="str">
        <f>HYPERLINK("https://www.lazada.vn/products/sake-nhat-ban-sasanokawa-ginjo-720ml-i2457076791.html", "https://www.lazada.vn/products/sake-nhat-ban-sasanokawa-ginjo-720ml-i2457076791.html")</f>
        <v>https://www.lazada.vn/products/sake-nhat-ban-sasanokawa-ginjo-720ml-i2457076791.html</v>
      </c>
      <c r="C3680" s="10" t="s">
        <v>3680</v>
      </c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8">
        <v>8535.0</v>
      </c>
      <c r="B3681" s="9" t="str">
        <f>HYPERLINK("https://www.lazada.vn/products/chum-ruot-ngao-duong-hu-500gr-i3040165630.html", "https://www.lazada.vn/products/chum-ruot-ngao-duong-hu-500gr-i3040165630.html")</f>
        <v>https://www.lazada.vn/products/chum-ruot-ngao-duong-hu-500gr-i3040165630.html</v>
      </c>
      <c r="C3681" s="10" t="s">
        <v>3681</v>
      </c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8">
        <v>8536.0</v>
      </c>
      <c r="B3682" s="9" t="str">
        <f>HYPERLINK("https://www.lazada.vn/products/1-thung-tuborg-ice-330ml-thung-24-lon-i2468353032.html", "https://www.lazada.vn/products/1-thung-tuborg-ice-330ml-thung-24-lon-i2468353032.html")</f>
        <v>https://www.lazada.vn/products/1-thung-tuborg-ice-330ml-thung-24-lon-i2468353032.html</v>
      </c>
      <c r="C3682" s="10" t="s">
        <v>3682</v>
      </c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8">
        <v>8537.0</v>
      </c>
      <c r="B3683" s="9" t="str">
        <f>HYPERLINK("https://www.lazada.vn/products/bot-cacao-nguyen-chat-thom-ngon-hop-500g-hang-loai-1-i2335945399.html", "https://www.lazada.vn/products/bot-cacao-nguyen-chat-thom-ngon-hop-500g-hang-loai-1-i2335945399.html")</f>
        <v>https://www.lazada.vn/products/bot-cacao-nguyen-chat-thom-ngon-hop-500g-hang-loai-1-i2335945399.html</v>
      </c>
      <c r="C3683" s="10" t="s">
        <v>3683</v>
      </c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8">
        <v>8538.0</v>
      </c>
      <c r="B3684" s="9" t="str">
        <f>HYPERLINK("https://www.lazada.vn/products/vang-da-lat-export-do_thung-6-chai-i2648024293.html", "https://www.lazada.vn/products/vang-da-lat-export-do_thung-6-chai-i2648024293.html")</f>
        <v>https://www.lazada.vn/products/vang-da-lat-export-do_thung-6-chai-i2648024293.html</v>
      </c>
      <c r="C3684" s="10" t="s">
        <v>3684</v>
      </c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8">
        <v>8539.0</v>
      </c>
      <c r="B3685" s="9" t="str">
        <f>HYPERLINK("https://www.lazada.vn/products/keo-chanh-muoi-bien-bigfood-sea-salt-lemon-candy-i2772893907.html", "https://www.lazada.vn/products/keo-chanh-muoi-bien-bigfood-sea-salt-lemon-candy-i2772893907.html")</f>
        <v>https://www.lazada.vn/products/keo-chanh-muoi-bien-bigfood-sea-salt-lemon-candy-i2772893907.html</v>
      </c>
      <c r="C3685" s="10" t="s">
        <v>3685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8">
        <v>8540.0</v>
      </c>
      <c r="B3686" s="9" t="str">
        <f>HYPERLINK("https://www.lazada.vn/products/ca-gai-leo-vien-mat-nhan-hu-500gam-i2005593135.html", "https://www.lazada.vn/products/ca-gai-leo-vien-mat-nhan-hu-500gam-i2005593135.html")</f>
        <v>https://www.lazada.vn/products/ca-gai-leo-vien-mat-nhan-hu-500gam-i2005593135.html</v>
      </c>
      <c r="C3686" s="10" t="s">
        <v>3686</v>
      </c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8">
        <v>8541.0</v>
      </c>
      <c r="B3687" s="9" t="str">
        <f>HYPERLINK("https://www.lazada.vn/products/vang-bich-chile-la-roca-cabernet-sauvignon-3-lit-i2648011373.html", "https://www.lazada.vn/products/vang-bich-chile-la-roca-cabernet-sauvignon-3-lit-i2648011373.html")</f>
        <v>https://www.lazada.vn/products/vang-bich-chile-la-roca-cabernet-sauvignon-3-lit-i2648011373.html</v>
      </c>
      <c r="C3687" s="10" t="s">
        <v>3687</v>
      </c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8">
        <v>8542.0</v>
      </c>
      <c r="B3688" s="9" t="str">
        <f>HYPERLINK("https://www.lazada.vn/products/242-xuan-2025-1-thung-bia-tuborg-330ml-thung-24-lon-i2468323132.html", "https://www.lazada.vn/products/242-xuan-2025-1-thung-bia-tuborg-330ml-thung-24-lon-i2468323132.html")</f>
        <v>https://www.lazada.vn/products/242-xuan-2025-1-thung-bia-tuborg-330ml-thung-24-lon-i2468323132.html</v>
      </c>
      <c r="C3688" s="10" t="s">
        <v>3688</v>
      </c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8">
        <v>8543.0</v>
      </c>
      <c r="B3689" s="9" t="str">
        <f>HYPERLINK("https://www.lazada.vn/products/ca-cao-giam-can-kohi-moka-slim-_-hop-20-goi-i2316782422.html", "https://www.lazada.vn/products/ca-cao-giam-can-kohi-moka-slim-_-hop-20-goi-i2316782422.html")</f>
        <v>https://www.lazada.vn/products/ca-cao-giam-can-kohi-moka-slim-_-hop-20-goi-i2316782422.html</v>
      </c>
      <c r="C3689" s="10" t="s">
        <v>3689</v>
      </c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8">
        <v>8544.0</v>
      </c>
      <c r="B3690" s="9" t="str">
        <f>HYPERLINK("https://www.lazada.vn/products/keo-ngam-sting-dau-thai-lan-tang-luc-styng-goi-320g-tam-95-vien-do-an-vat-i2772874677.html", "https://www.lazada.vn/products/keo-ngam-sting-dau-thai-lan-tang-luc-styng-goi-320g-tam-95-vien-do-an-vat-i2772874677.html")</f>
        <v>https://www.lazada.vn/products/keo-ngam-sting-dau-thai-lan-tang-luc-styng-goi-320g-tam-95-vien-do-an-vat-i2772874677.html</v>
      </c>
      <c r="C3690" s="10" t="s">
        <v>3690</v>
      </c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8">
        <v>8545.0</v>
      </c>
      <c r="B3691" s="9" t="str">
        <f>HYPERLINK("https://www.lazada.vn/products/ca-ri-ni-ba-tam-70g-6-hu-i2005511571.html", "https://www.lazada.vn/products/ca-ri-ni-ba-tam-70g-6-hu-i2005511571.html")</f>
        <v>https://www.lazada.vn/products/ca-ri-ni-ba-tam-70g-6-hu-i2005511571.html</v>
      </c>
      <c r="C3691" s="10" t="s">
        <v>3691</v>
      </c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8">
        <v>8546.0</v>
      </c>
      <c r="B3692" s="9" t="str">
        <f>HYPERLINK("https://www.lazada.vn/products/voi-rot-ruou-cao-cap-voi-ruou-thung-go-soi-i2464494831.html", "https://www.lazada.vn/products/voi-rot-ruou-cao-cap-voi-ruou-thung-go-soi-i2464494831.html")</f>
        <v>https://www.lazada.vn/products/voi-rot-ruou-cao-cap-voi-ruou-thung-go-soi-i2464494831.html</v>
      </c>
      <c r="C3692" s="10" t="s">
        <v>3692</v>
      </c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8">
        <v>8547.0</v>
      </c>
      <c r="B3693" s="9" t="str">
        <f>HYPERLINK("https://www.lazada.vn/products/vang-trong-chile-santa-loreto-3l-i2648004304.html", "https://www.lazada.vn/products/vang-trong-chile-santa-loreto-3l-i2648004304.html")</f>
        <v>https://www.lazada.vn/products/vang-trong-chile-santa-loreto-3l-i2648004304.html</v>
      </c>
      <c r="C3693" s="10" t="s">
        <v>3693</v>
      </c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8">
        <v>8548.0</v>
      </c>
      <c r="B3694" s="9" t="str">
        <f>HYPERLINK("https://www.lazada.vn/products/bot-cacao-nguyen-chat-dalat-cordyceps-loai-thuong-hang-i2311888962.html", "https://www.lazada.vn/products/bot-cacao-nguyen-chat-dalat-cordyceps-loai-thuong-hang-i2311888962.html")</f>
        <v>https://www.lazada.vn/products/bot-cacao-nguyen-chat-dalat-cordyceps-loai-thuong-hang-i2311888962.html</v>
      </c>
      <c r="C3694" s="10" t="s">
        <v>3694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8">
        <v>8549.0</v>
      </c>
      <c r="B3695" s="9" t="str">
        <f>HYPERLINK("https://www.lazada.vn/products/keo-ngam-niem-tu-am-hieu-tu-xuyen-boi-ty-ba-cao-thong-co-mat-hong-nin-jiom-pei-pa-koa-an-vat-492-i2770940164.html", "https://www.lazada.vn/products/keo-ngam-niem-tu-am-hieu-tu-xuyen-boi-ty-ba-cao-thong-co-mat-hong-nin-jiom-pei-pa-koa-an-vat-492-i2770940164.html")</f>
        <v>https://www.lazada.vn/products/keo-ngam-niem-tu-am-hieu-tu-xuyen-boi-ty-ba-cao-thong-co-mat-hong-nin-jiom-pei-pa-koa-an-vat-492-i2770940164.html</v>
      </c>
      <c r="C3695" s="10" t="s">
        <v>3695</v>
      </c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8">
        <v>8550.0</v>
      </c>
      <c r="B3696" s="9" t="str">
        <f>HYPERLINK("https://www.lazada.vn/products/mat-tao-ninh-thuan-330ml-i2001303882.html", "https://www.lazada.vn/products/mat-tao-ninh-thuan-330ml-i2001303882.html")</f>
        <v>https://www.lazada.vn/products/mat-tao-ninh-thuan-330ml-i2001303882.html</v>
      </c>
      <c r="C3696" s="10" t="s">
        <v>3696</v>
      </c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8">
        <v>8551.0</v>
      </c>
      <c r="B3697" s="9" t="str">
        <f>HYPERLINK("https://www.lazada.vn/products/1kg-banh-thuyen-mix-nhieu-hat-dinh-duong-thom-ngon-i2756579874.html", "https://www.lazada.vn/products/1kg-banh-thuyen-mix-nhieu-hat-dinh-duong-thom-ngon-i2756579874.html")</f>
        <v>https://www.lazada.vn/products/1kg-banh-thuyen-mix-nhieu-hat-dinh-duong-thom-ngon-i2756579874.html</v>
      </c>
      <c r="C3697" s="10" t="s">
        <v>3697</v>
      </c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8">
        <v>8552.0</v>
      </c>
      <c r="B3698" s="9" t="str">
        <f>HYPERLINK("https://www.lazada.vn/products/bia-7-bridges-dragon-ipa-48-lon-330ml-thung-24-lon-i2460498010.html", "https://www.lazada.vn/products/bia-7-bridges-dragon-ipa-48-lon-330ml-thung-24-lon-i2460498010.html")</f>
        <v>https://www.lazada.vn/products/bia-7-bridges-dragon-ipa-48-lon-330ml-thung-24-lon-i2460498010.html</v>
      </c>
      <c r="C3698" s="10" t="s">
        <v>3698</v>
      </c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8">
        <v>8553.0</v>
      </c>
      <c r="B3699" s="9" t="str">
        <f>HYPERLINK("https://www.lazada.vn/products/ruou-mo-nhat-ban-umeshu-set-3-chai-huong-hoa-hong-jasmine-lavender-i2455680515.html", "https://www.lazada.vn/products/ruou-mo-nhat-ban-umeshu-set-3-chai-huong-hoa-hong-jasmine-lavender-i2455680515.html")</f>
        <v>https://www.lazada.vn/products/ruou-mo-nhat-ban-umeshu-set-3-chai-huong-hoa-hong-jasmine-lavender-i2455680515.html</v>
      </c>
      <c r="C3699" s="10" t="s">
        <v>3699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8">
        <v>8554.0</v>
      </c>
      <c r="B3700" s="9" t="str">
        <f>HYPERLINK("https://www.lazada.vn/products/vang-phap-domaine-laurence-i2647911351.html", "https://www.lazada.vn/products/vang-phap-domaine-laurence-i2647911351.html")</f>
        <v>https://www.lazada.vn/products/vang-phap-domaine-laurence-i2647911351.html</v>
      </c>
      <c r="C3700" s="10" t="s">
        <v>3700</v>
      </c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8">
        <v>8555.0</v>
      </c>
      <c r="B3701" s="9" t="str">
        <f>HYPERLINK("https://www.lazada.vn/products/ngu-coc-loi-sua-anpaso-500gr-i2302173036.html", "https://www.lazada.vn/products/ngu-coc-loi-sua-anpaso-500gr-i2302173036.html")</f>
        <v>https://www.lazada.vn/products/ngu-coc-loi-sua-anpaso-500gr-i2302173036.html</v>
      </c>
      <c r="C3701" s="10" t="s">
        <v>3701</v>
      </c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8">
        <v>8556.0</v>
      </c>
      <c r="B3702" s="9" t="str">
        <f>HYPERLINK("https://www.lazada.vn/products/le-1-cai-keo-mut-sua-chua-vi-pho-mai-thom-ngon-an-vat-492-i2770905383.html", "https://www.lazada.vn/products/le-1-cai-keo-mut-sua-chua-vi-pho-mai-thom-ngon-an-vat-492-i2770905383.html")</f>
        <v>https://www.lazada.vn/products/le-1-cai-keo-mut-sua-chua-vi-pho-mai-thom-ngon-an-vat-492-i2770905383.html</v>
      </c>
      <c r="C3702" s="10" t="s">
        <v>3702</v>
      </c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8">
        <v>8557.0</v>
      </c>
      <c r="B3703" s="9" t="str">
        <f>HYPERLINK("https://www.lazada.vn/products/dua-baby-nguyen-con-100-khong-man-vi-vua-an-i2000044267.html", "https://www.lazada.vn/products/dua-baby-nguyen-con-100-khong-man-vi-vua-an-i2000044267.html")</f>
        <v>https://www.lazada.vn/products/dua-baby-nguyen-con-100-khong-man-vi-vua-an-i2000044267.html</v>
      </c>
      <c r="C3703" s="10" t="s">
        <v>3703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8">
        <v>8558.0</v>
      </c>
      <c r="B3704" s="9" t="str">
        <f>HYPERLINK("https://www.lazada.vn/products/20-banh-pia-mini-cong-phat-nhan-dau-xanh-sau-rieng-khong-trung-cake-food-thuc-an-vat-ngon-i2751760872.html", "https://www.lazada.vn/products/20-banh-pia-mini-cong-phat-nhan-dau-xanh-sau-rieng-khong-trung-cake-food-thuc-an-vat-ngon-i2751760872.html")</f>
        <v>https://www.lazada.vn/products/20-banh-pia-mini-cong-phat-nhan-dau-xanh-sau-rieng-khong-trung-cake-food-thuc-an-vat-ngon-i2751760872.html</v>
      </c>
      <c r="C3704" s="10" t="s">
        <v>3704</v>
      </c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8">
        <v>8559.0</v>
      </c>
      <c r="B3705" s="9" t="str">
        <f>HYPERLINK("https://www.lazada.vn/products/sake-nhat-ban-midorikawa-junmai-720ml-i2418992035.html", "https://www.lazada.vn/products/sake-nhat-ban-midorikawa-junmai-720ml-i2418992035.html")</f>
        <v>https://www.lazada.vn/products/sake-nhat-ban-midorikawa-junmai-720ml-i2418992035.html</v>
      </c>
      <c r="C3705" s="10" t="s">
        <v>3705</v>
      </c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8">
        <v>8560.0</v>
      </c>
      <c r="B3706" s="9" t="str">
        <f>HYPERLINK("https://www.lazada.vn/products/sirosyrup-ding-fong-chanh-day-760ml-siro-tha-lan-i2591617112.html", "https://www.lazada.vn/products/sirosyrup-ding-fong-chanh-day-760ml-siro-tha-lan-i2591617112.html")</f>
        <v>https://www.lazada.vn/products/sirosyrup-ding-fong-chanh-day-760ml-siro-tha-lan-i2591617112.html</v>
      </c>
      <c r="C3706" s="10" t="s">
        <v>3706</v>
      </c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8">
        <v>8561.0</v>
      </c>
      <c r="B3707" s="9" t="str">
        <f>HYPERLINK("https://www.lazada.vn/products/banh-trang-tay-ninh-deo-ot-cuon-bo-bo-banh-trang-trinh-nguyen-i2622441809.html", "https://www.lazada.vn/products/banh-trang-tay-ninh-deo-ot-cuon-bo-bo-banh-trang-trinh-nguyen-i2622441809.html")</f>
        <v>https://www.lazada.vn/products/banh-trang-tay-ninh-deo-ot-cuon-bo-bo-banh-trang-trinh-nguyen-i2622441809.html</v>
      </c>
      <c r="C3707" s="10" t="s">
        <v>3707</v>
      </c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8">
        <v>8562.0</v>
      </c>
      <c r="B3708" s="9" t="str">
        <f>HYPERLINK("https://www.lazada.vn/products/bia-7-bridges-beach-blonde-ale-5-lon-330ml-thung-24-lon-i2460445037.html", "https://www.lazada.vn/products/bia-7-bridges-beach-blonde-ale-5-lon-330ml-thung-24-lon-i2460445037.html")</f>
        <v>https://www.lazada.vn/products/bia-7-bridges-beach-blonde-ale-5-lon-330ml-thung-24-lon-i2460445037.html</v>
      </c>
      <c r="C3708" s="10" t="s">
        <v>3708</v>
      </c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8">
        <v>8563.0</v>
      </c>
      <c r="B3709" s="9" t="str">
        <f>HYPERLINK("https://www.lazada.vn/products/vang-da-lat-strong-i2647865352.html", "https://www.lazada.vn/products/vang-da-lat-strong-i2647865352.html")</f>
        <v>https://www.lazada.vn/products/vang-da-lat-strong-i2647865352.html</v>
      </c>
      <c r="C3709" s="10" t="s">
        <v>3709</v>
      </c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8">
        <v>8564.0</v>
      </c>
      <c r="B3710" s="9" t="str">
        <f>HYPERLINK("https://www.lazada.vn/products/sale-soc-goi-mix-ga-trung-say-lanh-ho-tro-tieu-hoa-giam-mui-phan-nuoc-tieu-hana-pet-i3040143559.html", "https://www.lazada.vn/products/sale-soc-goi-mix-ga-trung-say-lanh-ho-tro-tieu-hoa-giam-mui-phan-nuoc-tieu-hana-pet-i3040143559.html")</f>
        <v>https://www.lazada.vn/products/sale-soc-goi-mix-ga-trung-say-lanh-ho-tro-tieu-hoa-giam-mui-phan-nuoc-tieu-hana-pet-i3040143559.html</v>
      </c>
      <c r="C3710" s="10" t="s">
        <v>3710</v>
      </c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8">
        <v>8565.0</v>
      </c>
      <c r="B3711" s="9" t="str">
        <f>HYPERLINK("https://www.lazada.vn/products/banh-snack-ngu-coc-an-sang-nestle-loc-12-goi-i1867568977.html", "https://www.lazada.vn/products/banh-snack-ngu-coc-an-sang-nestle-loc-12-goi-i1867568977.html")</f>
        <v>https://www.lazada.vn/products/banh-snack-ngu-coc-an-sang-nestle-loc-12-goi-i1867568977.html</v>
      </c>
      <c r="C3711" s="10" t="s">
        <v>3711</v>
      </c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8">
        <v>8566.0</v>
      </c>
      <c r="B3712" s="9" t="str">
        <f>HYPERLINK("https://www.lazada.vn/products/loc-4-hop-thuc-uong-lua-mach-milo-active-go-180ml-i2298498925.html", "https://www.lazada.vn/products/loc-4-hop-thuc-uong-lua-mach-milo-active-go-180ml-i2298498925.html")</f>
        <v>https://www.lazada.vn/products/loc-4-hop-thuc-uong-lua-mach-milo-active-go-180ml-i2298498925.html</v>
      </c>
      <c r="C3712" s="10" t="s">
        <v>3712</v>
      </c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8">
        <v>8567.0</v>
      </c>
      <c r="B3713" s="9" t="str">
        <f>HYPERLINK("https://www.lazada.vn/products/chao-mon-bong-mai-170g-i1999953273.html", "https://www.lazada.vn/products/chao-mon-bong-mai-170g-i1999953273.html")</f>
        <v>https://www.lazada.vn/products/chao-mon-bong-mai-170g-i1999953273.html</v>
      </c>
      <c r="C3713" s="10" t="s">
        <v>3713</v>
      </c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8">
        <v>8568.0</v>
      </c>
      <c r="B3714" s="9" t="str">
        <f>HYPERLINK("https://www.lazada.vn/products/keo-le-an-phe-nha-ho-chu-thanh-nhiet-tieu-dom-tui-250g-cho-mua-dong-an-vat-492-i2770882191.html", "https://www.lazada.vn/products/keo-le-an-phe-nha-ho-chu-thanh-nhiet-tieu-dom-tui-250g-cho-mua-dong-an-vat-492-i2770882191.html")</f>
        <v>https://www.lazada.vn/products/keo-le-an-phe-nha-ho-chu-thanh-nhiet-tieu-dom-tui-250g-cho-mua-dong-an-vat-492-i2770882191.html</v>
      </c>
      <c r="C3714" s="10" t="s">
        <v>3714</v>
      </c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8">
        <v>8569.0</v>
      </c>
      <c r="B3715" s="9" t="str">
        <f>HYPERLINK("https://www.lazada.vn/products/20-banh-pia-mini-khong-trung-an-chay-duoc-cake-food-thuc-an-vat-ngon-i2751697958.html", "https://www.lazada.vn/products/20-banh-pia-mini-khong-trung-an-chay-duoc-cake-food-thuc-an-vat-ngon-i2751697958.html")</f>
        <v>https://www.lazada.vn/products/20-banh-pia-mini-khong-trung-an-chay-duoc-cake-food-thuc-an-vat-ngon-i2751697958.html</v>
      </c>
      <c r="C3715" s="10" t="s">
        <v>3715</v>
      </c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8">
        <v>8570.0</v>
      </c>
      <c r="B3716" s="9" t="str">
        <f>HYPERLINK("https://www.lazada.vn/products/sake-nhat-ban-midorikawa-cask-collection-720ml-i2418939250.html", "https://www.lazada.vn/products/sake-nhat-ban-midorikawa-cask-collection-720ml-i2418939250.html")</f>
        <v>https://www.lazada.vn/products/sake-nhat-ban-midorikawa-cask-collection-720ml-i2418939250.html</v>
      </c>
      <c r="C3716" s="10" t="s">
        <v>3716</v>
      </c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8">
        <v>8571.0</v>
      </c>
      <c r="B3717" s="9" t="str">
        <f>HYPERLINK("https://www.lazada.vn/products/banh-quy-man-ritz-247g-i2915855783.html", "https://www.lazada.vn/products/banh-quy-man-ritz-247g-i2915855783.html")</f>
        <v>https://www.lazada.vn/products/banh-quy-man-ritz-247g-i2915855783.html</v>
      </c>
      <c r="C3717" s="10" t="s">
        <v>3717</v>
      </c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8">
        <v>8572.0</v>
      </c>
      <c r="B3718" s="9" t="str">
        <f>HYPERLINK("https://www.lazada.vn/products/combo-15-goi-pate-wanpy-cho-meo-goi-80g-pate-cho-meo-wanpy-mix-du-vi-i3040118914.html", "https://www.lazada.vn/products/combo-15-goi-pate-wanpy-cho-meo-goi-80g-pate-cho-meo-wanpy-mix-du-vi-i3040118914.html")</f>
        <v>https://www.lazada.vn/products/combo-15-goi-pate-wanpy-cho-meo-goi-80g-pate-cho-meo-wanpy-mix-du-vi-i3040118914.html</v>
      </c>
      <c r="C3718" s="10" t="s">
        <v>3718</v>
      </c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8">
        <v>8573.0</v>
      </c>
      <c r="B3719" s="9" t="str">
        <f>HYPERLINK("https://www.lazada.vn/products/hcm-thung-20-chai-nuoc-khoang-man-cong-doan-quang-hanh-500-ml-i2560243169.html", "https://www.lazada.vn/products/hcm-thung-20-chai-nuoc-khoang-man-cong-doan-quang-hanh-500-ml-i2560243169.html")</f>
        <v>https://www.lazada.vn/products/hcm-thung-20-chai-nuoc-khoang-man-cong-doan-quang-hanh-500-ml-i2560243169.html</v>
      </c>
      <c r="C3719" s="10" t="s">
        <v>3719</v>
      </c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8">
        <v>8574.0</v>
      </c>
      <c r="B3720" s="9" t="str">
        <f>HYPERLINK("https://www.lazada.vn/products/an-vat-nam-chien-20g-nam-moi-nam-tung-nhung-nam-gan-bo-cang-nhai-cang-thom-i2792433176.html", "https://www.lazada.vn/products/an-vat-nam-chien-20g-nam-moi-nam-tung-nhung-nam-gan-bo-cang-nhai-cang-thom-i2792433176.html")</f>
        <v>https://www.lazada.vn/products/an-vat-nam-chien-20g-nam-moi-nam-tung-nhung-nam-gan-bo-cang-nhai-cang-thom-i2792433176.html</v>
      </c>
      <c r="C3720" s="10" t="s">
        <v>3720</v>
      </c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8">
        <v>8575.0</v>
      </c>
      <c r="B3721" s="9" t="str">
        <f>HYPERLINK("https://www.lazada.vn/products/navratna-mix-270g-i1978714441.html", "https://www.lazada.vn/products/navratna-mix-270g-i1978714441.html")</f>
        <v>https://www.lazada.vn/products/navratna-mix-270g-i1978714441.html</v>
      </c>
      <c r="C3721" s="10" t="s">
        <v>3721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8">
        <v>8576.0</v>
      </c>
      <c r="B3722" s="9" t="str">
        <f>HYPERLINK("https://www.lazada.vn/products/coop-online-mi-wai-wai-chay-60g-i2860380159.html", "https://www.lazada.vn/products/coop-online-mi-wai-wai-chay-60g-i2860380159.html")</f>
        <v>https://www.lazada.vn/products/coop-online-mi-wai-wai-chay-60g-i2860380159.html</v>
      </c>
      <c r="C3722" s="10" t="s">
        <v>3722</v>
      </c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8">
        <v>8577.0</v>
      </c>
      <c r="B3723" s="9" t="str">
        <f>HYPERLINK("https://www.lazada.vn/products/nuoc-ngot-co-ga-coca-6lon-i2527143891.html", "https://www.lazada.vn/products/nuoc-ngot-co-ga-coca-6lon-i2527143891.html")</f>
        <v>https://www.lazada.vn/products/nuoc-ngot-co-ga-coca-6lon-i2527143891.html</v>
      </c>
      <c r="C3723" s="10" t="s">
        <v>3723</v>
      </c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8">
        <v>8578.0</v>
      </c>
      <c r="B3724" s="9" t="str">
        <f>HYPERLINK("https://www.lazada.vn/products/sirosyrup-dingfong-phuc-bon-tu-760ml-siro-tha-lan-i2591570282.html", "https://www.lazada.vn/products/sirosyrup-dingfong-phuc-bon-tu-760ml-siro-tha-lan-i2591570282.html")</f>
        <v>https://www.lazada.vn/products/sirosyrup-dingfong-phuc-bon-tu-760ml-siro-tha-lan-i2591570282.html</v>
      </c>
      <c r="C3724" s="10" t="s">
        <v>3724</v>
      </c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8">
        <v>8579.0</v>
      </c>
      <c r="B3725" s="9" t="str">
        <f>HYPERLINK("https://www.lazada.vn/products/vang-do-jardin-du-sud-merlot-pays-doc-i2280079533.html", "https://www.lazada.vn/products/vang-do-jardin-du-sud-merlot-pays-doc-i2280079533.html")</f>
        <v>https://www.lazada.vn/products/vang-do-jardin-du-sud-merlot-pays-doc-i2280079533.html</v>
      </c>
      <c r="C3725" s="10" t="s">
        <v>3725</v>
      </c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8">
        <v>8580.0</v>
      </c>
      <c r="B3726" s="9" t="str">
        <f>HYPERLINK("https://www.lazada.vn/products/banh-sua-chua-ong-gia-horsh-an-vat-noi-dia-trng-i1867542599.html", "https://www.lazada.vn/products/banh-sua-chua-ong-gia-horsh-an-vat-noi-dia-trng-i1867542599.html")</f>
        <v>https://www.lazada.vn/products/banh-sua-chua-ong-gia-horsh-an-vat-noi-dia-trng-i1867542599.html</v>
      </c>
      <c r="C3726" s="10" t="s">
        <v>3726</v>
      </c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8">
        <v>8581.0</v>
      </c>
      <c r="B3727" s="9" t="str">
        <f>HYPERLINK("https://www.lazada.vn/products/khuyen-mai-1kg-theo-leo-cay-banh-quay-mam-ot-sieu-ngon-i2621762324.html", "https://www.lazada.vn/products/khuyen-mai-1kg-theo-leo-cay-banh-quay-mam-ot-sieu-ngon-i2621762324.html")</f>
        <v>https://www.lazada.vn/products/khuyen-mai-1kg-theo-leo-cay-banh-quay-mam-ot-sieu-ngon-i2621762324.html</v>
      </c>
      <c r="C3727" s="10" t="s">
        <v>3727</v>
      </c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8">
        <v>8582.0</v>
      </c>
      <c r="B3728" s="9" t="str">
        <f>HYPERLINK("https://www.lazada.vn/products/bot-so-co-la-acacao-hoa-tan-vi-bac-ha-uong-lien-dinh-duong-bot-so-co-la-vi-the-mat-sang-khoai-tui-96g-hop-286g-i2286242005.html", "https://www.lazada.vn/products/bot-so-co-la-acacao-hoa-tan-vi-bac-ha-uong-lien-dinh-duong-bot-so-co-la-vi-the-mat-sang-khoai-tui-96g-hop-286g-i2286242005.html")</f>
        <v>https://www.lazada.vn/products/bot-so-co-la-acacao-hoa-tan-vi-bac-ha-uong-lien-dinh-duong-bot-so-co-la-vi-the-mat-sang-khoai-tui-96g-hop-286g-i2286242005.html</v>
      </c>
      <c r="C3728" s="10" t="s">
        <v>3728</v>
      </c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8">
        <v>8583.0</v>
      </c>
      <c r="B3729" s="9" t="str">
        <f>HYPERLINK("https://www.lazada.vn/products/thung-vang-da-lat-6-chai-dankia-i2647860468.html", "https://www.lazada.vn/products/thung-vang-da-lat-6-chai-dankia-i2647860468.html")</f>
        <v>https://www.lazada.vn/products/thung-vang-da-lat-6-chai-dankia-i2647860468.html</v>
      </c>
      <c r="C3729" s="10" t="s">
        <v>3729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8">
        <v>8584.0</v>
      </c>
      <c r="B3730" s="9" t="str">
        <f>HYPERLINK("https://www.lazada.vn/products/bia-7-bridges-imperial-ipa-9-lon-330ml-thung-24-lon-i2460431556.html", "https://www.lazada.vn/products/bia-7-bridges-imperial-ipa-9-lon-330ml-thung-24-lon-i2460431556.html")</f>
        <v>https://www.lazada.vn/products/bia-7-bridges-imperial-ipa-9-lon-330ml-thung-24-lon-i2460431556.html</v>
      </c>
      <c r="C3730" s="10" t="s">
        <v>3730</v>
      </c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8">
        <v>8585.0</v>
      </c>
      <c r="B3731" s="9" t="str">
        <f>HYPERLINK("https://www.lazada.vn/products/cot-tao-meo-ngam-12-thang-loai-1-lit-tang-kem-nua-lit-nep-cai-hoa-vang-ngam-6-thang-i1999567653.html", "https://www.lazada.vn/products/cot-tao-meo-ngam-12-thang-loai-1-lit-tang-kem-nua-lit-nep-cai-hoa-vang-ngam-6-thang-i1999567653.html")</f>
        <v>https://www.lazada.vn/products/cot-tao-meo-ngam-12-thang-loai-1-lit-tang-kem-nua-lit-nep-cai-hoa-vang-ngam-6-thang-i1999567653.html</v>
      </c>
      <c r="C3731" s="10" t="s">
        <v>3731</v>
      </c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8">
        <v>8586.0</v>
      </c>
      <c r="B3732" s="9" t="str">
        <f>HYPERLINK("https://www.lazada.vn/products/bia-budweiser-budvar-original-5-nhap-khau-tiep-1-thung-24-lon-330ml-i2975237692.html", "https://www.lazada.vn/products/bia-budweiser-budvar-original-5-nhap-khau-tiep-1-thung-24-lon-330ml-i2975237692.html")</f>
        <v>https://www.lazada.vn/products/bia-budweiser-budvar-original-5-nhap-khau-tiep-1-thung-24-lon-330ml-i2975237692.html</v>
      </c>
      <c r="C3732" s="10" t="s">
        <v>3732</v>
      </c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8">
        <v>8587.0</v>
      </c>
      <c r="B3733" s="9" t="str">
        <f>HYPERLINK("https://www.lazada.vn/products/1kg-keo-sap-ong-trai-cay-du-vi-an-vat-492-i2770878281.html", "https://www.lazada.vn/products/1kg-keo-sap-ong-trai-cay-du-vi-an-vat-492-i2770878281.html")</f>
        <v>https://www.lazada.vn/products/1kg-keo-sap-ong-trai-cay-du-vi-an-vat-492-i2770878281.html</v>
      </c>
      <c r="C3733" s="10" t="s">
        <v>3733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8">
        <v>8588.0</v>
      </c>
      <c r="B3734" s="9" t="str">
        <f>HYPERLINK("https://www.lazada.vn/products/combo-5-banh-mi-tuoi-vi-ca-phe-mach-nha-tang-1-banh-pho-mai-hsd-25052025-i2666615648.html", "https://www.lazada.vn/products/combo-5-banh-mi-tuoi-vi-ca-phe-mach-nha-tang-1-banh-pho-mai-hsd-25052025-i2666615648.html")</f>
        <v>https://www.lazada.vn/products/combo-5-banh-mi-tuoi-vi-ca-phe-mach-nha-tang-1-banh-pho-mai-hsd-25052025-i2666615648.html</v>
      </c>
      <c r="C3734" s="10" t="s">
        <v>3734</v>
      </c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8">
        <v>8589.0</v>
      </c>
      <c r="B3735" s="9" t="str">
        <f>HYPERLINK("https://www.lazada.vn/products/combo-5-cai-banh-mi-tuoi-ngan-lop-vi-sua-viet-quoc-umiki-hsd-18062025-tang-1-banh-pho-mai-man-nhe-i2666562608.html", "https://www.lazada.vn/products/combo-5-cai-banh-mi-tuoi-ngan-lop-vi-sua-viet-quoc-umiki-hsd-18062025-tang-1-banh-pho-mai-man-nhe-i2666562608.html")</f>
        <v>https://www.lazada.vn/products/combo-5-cai-banh-mi-tuoi-ngan-lop-vi-sua-viet-quoc-umiki-hsd-18062025-tang-1-banh-pho-mai-man-nhe-i2666562608.html</v>
      </c>
      <c r="C3735" s="10" t="s">
        <v>3735</v>
      </c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8">
        <v>8590.0</v>
      </c>
      <c r="B3736" s="9" t="str">
        <f>HYPERLINK("https://www.lazada.vn/products/sake-vay-vang-takara-shozu-mat-troi-do-18-lit-hang-noi-dia-nhat-100-i2415603768.html", "https://www.lazada.vn/products/sake-vay-vang-takara-shozu-mat-troi-do-18-lit-hang-noi-dia-nhat-100-i2415603768.html")</f>
        <v>https://www.lazada.vn/products/sake-vay-vang-takara-shozu-mat-troi-do-18-lit-hang-noi-dia-nhat-100-i2415603768.html</v>
      </c>
      <c r="C3736" s="10" t="s">
        <v>3736</v>
      </c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8">
        <v>8591.0</v>
      </c>
      <c r="B3737" s="9" t="str">
        <f>HYPERLINK("https://www.lazada.vn/products/bia-budweiser-budvar-original-5-nhap-khau-tiep-1-thung-24-lon-330ml-i2975174933.html", "https://www.lazada.vn/products/bia-budweiser-budvar-original-5-nhap-khau-tiep-1-thung-24-lon-330ml-i2975174933.html")</f>
        <v>https://www.lazada.vn/products/bia-budweiser-budvar-original-5-nhap-khau-tiep-1-thung-24-lon-330ml-i2975174933.html</v>
      </c>
      <c r="C3737" s="10" t="s">
        <v>3737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8">
        <v>8592.0</v>
      </c>
      <c r="B3738" s="9" t="str">
        <f>HYPERLINK("https://www.lazada.vn/products/banh-lat-snack-khoai-tay-slide-vi-ngau-nhien-tu-nhien-thit-nuong-pho-mai-kem-chua-hanh-thom-cay-combo-5-lon-x-90g-i2792379969.html", "https://www.lazada.vn/products/banh-lat-snack-khoai-tay-slide-vi-ngau-nhien-tu-nhien-thit-nuong-pho-mai-kem-chua-hanh-thom-cay-combo-5-lon-x-90g-i2792379969.html")</f>
        <v>https://www.lazada.vn/products/banh-lat-snack-khoai-tay-slide-vi-ngau-nhien-tu-nhien-thit-nuong-pho-mai-kem-chua-hanh-thom-cay-combo-5-lon-x-90g-i2792379969.html</v>
      </c>
      <c r="C3738" s="10" t="s">
        <v>3738</v>
      </c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8">
        <v>8593.0</v>
      </c>
      <c r="B3739" s="9" t="str">
        <f>HYPERLINK("https://www.lazada.vn/products/coop-online-hu-tieu-vifon-tom-muc-goi-65g-i2860376163.html", "https://www.lazada.vn/products/coop-online-hu-tieu-vifon-tom-muc-goi-65g-i2860376163.html")</f>
        <v>https://www.lazada.vn/products/coop-online-hu-tieu-vifon-tom-muc-goi-65g-i2860376163.html</v>
      </c>
      <c r="C3739" s="10" t="s">
        <v>3739</v>
      </c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8">
        <v>8594.0</v>
      </c>
      <c r="B3740" s="9" t="str">
        <f>HYPERLINK("https://www.lazada.vn/products/tea-time-puri-270g-i1978687696.html", "https://www.lazada.vn/products/tea-time-puri-270g-i1978687696.html")</f>
        <v>https://www.lazada.vn/products/tea-time-puri-270g-i1978687696.html</v>
      </c>
      <c r="C3740" s="10" t="s">
        <v>3740</v>
      </c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8">
        <v>8595.0</v>
      </c>
      <c r="B3741" s="9" t="str">
        <f>HYPERLINK("https://www.lazada.vn/products/nuoc-ngot-fanta-nhat-nho-160ml-thung-30-lon-ly-trinh-15-i2526441191.html", "https://www.lazada.vn/products/nuoc-ngot-fanta-nhat-nho-160ml-thung-30-lon-ly-trinh-15-i2526441191.html")</f>
        <v>https://www.lazada.vn/products/nuoc-ngot-fanta-nhat-nho-160ml-thung-30-lon-ly-trinh-15-i2526441191.html</v>
      </c>
      <c r="C3741" s="10" t="s">
        <v>3741</v>
      </c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8">
        <v>8596.0</v>
      </c>
      <c r="B3742" s="9" t="str">
        <f>HYPERLINK("https://www.lazada.vn/products/da-me-deo-rim-dac-hu-1kg-thom-ngon-i3040096958.html", "https://www.lazada.vn/products/da-me-deo-rim-dac-hu-1kg-thom-ngon-i3040096958.html")</f>
        <v>https://www.lazada.vn/products/da-me-deo-rim-dac-hu-1kg-thom-ngon-i3040096958.html</v>
      </c>
      <c r="C3742" s="10" t="s">
        <v>3742</v>
      </c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8">
        <v>8597.0</v>
      </c>
      <c r="B3743" s="9" t="str">
        <f>HYPERLINK("https://www.lazada.vn/products/vang-do-chateau-les-pradines-saint-estephe-750ml-i2280044494.html", "https://www.lazada.vn/products/vang-do-chateau-les-pradines-saint-estephe-750ml-i2280044494.html")</f>
        <v>https://www.lazada.vn/products/vang-do-chateau-les-pradines-saint-estephe-750ml-i2280044494.html</v>
      </c>
      <c r="C3743" s="10" t="s">
        <v>3743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8">
        <v>8598.0</v>
      </c>
      <c r="B3744" s="9" t="str">
        <f>HYPERLINK("https://www.lazada.vn/products/sirosyrup-torani-chanh-vang-750ml-torani-lemon-i2591563365.html", "https://www.lazada.vn/products/sirosyrup-torani-chanh-vang-750ml-torani-lemon-i2591563365.html")</f>
        <v>https://www.lazada.vn/products/sirosyrup-torani-chanh-vang-750ml-torani-lemon-i2591563365.html</v>
      </c>
      <c r="C3744" s="10" t="s">
        <v>3744</v>
      </c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8">
        <v>8599.0</v>
      </c>
      <c r="B3745" s="9" t="str">
        <f>HYPERLINK("https://www.lazada.vn/products/nuoc-tang-luc-m150-thai-lan-150ml-loc-10-chai-i2560114341.html", "https://www.lazada.vn/products/nuoc-tang-luc-m150-thai-lan-150ml-loc-10-chai-i2560114341.html")</f>
        <v>https://www.lazada.vn/products/nuoc-tang-luc-m150-thai-lan-150ml-loc-10-chai-i2560114341.html</v>
      </c>
      <c r="C3745" s="10" t="s">
        <v>3745</v>
      </c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8">
        <v>8600.0</v>
      </c>
      <c r="B3746" s="9" t="str">
        <f>HYPERLINK("https://www.lazada.vn/products/300g-banh-gau-phat-tai-mix-nhieu-mau-co-nhan-vi-socola-sua-dau-sua-chua-i2915467691.html", "https://www.lazada.vn/products/300g-banh-gau-phat-tai-mix-nhieu-mau-co-nhan-vi-socola-sua-dau-sua-chua-i2915467691.html")</f>
        <v>https://www.lazada.vn/products/300g-banh-gau-phat-tai-mix-nhieu-mau-co-nhan-vi-socola-sua-dau-sua-chua-i2915467691.html</v>
      </c>
      <c r="C3746" s="10" t="s">
        <v>3746</v>
      </c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8">
        <v>8601.0</v>
      </c>
      <c r="B3747" s="9" t="str">
        <f>HYPERLINK("https://www.lazada.vn/products/h560-combo-banh-trang-phoi-suong-i2620591093.html", "https://www.lazada.vn/products/h560-combo-banh-trang-phoi-suong-i2620591093.html")</f>
        <v>https://www.lazada.vn/products/h560-combo-banh-trang-phoi-suong-i2620591093.html</v>
      </c>
      <c r="C3747" s="10" t="s">
        <v>3747</v>
      </c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8">
        <v>8602.0</v>
      </c>
      <c r="B3748" s="9" t="str">
        <f>HYPERLINK("https://www.lazada.vn/products/banh-quy-an-kieng-9-loai-rau-cu-qua-sieu-ngon-328g-an-vat-healthy-ngon-re-i1865958364.html", "https://www.lazada.vn/products/banh-quy-an-kieng-9-loai-rau-cu-qua-sieu-ngon-328g-an-vat-healthy-ngon-re-i1865958364.html")</f>
        <v>https://www.lazada.vn/products/banh-quy-an-kieng-9-loai-rau-cu-qua-sieu-ngon-328g-an-vat-healthy-ngon-re-i1865958364.html</v>
      </c>
      <c r="C3748" s="10" t="s">
        <v>3748</v>
      </c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8">
        <v>8603.0</v>
      </c>
      <c r="B3749" s="9" t="str">
        <f>HYPERLINK("https://www.lazada.vn/products/bot-so-co-la-acacao-hoa-tan-vi-sua-dua-uong-lien-dinh-duong-thom-ngot-tu-nhien-tui-96g-hop-286g-i2286163592.html", "https://www.lazada.vn/products/bot-so-co-la-acacao-hoa-tan-vi-sua-dua-uong-lien-dinh-duong-thom-ngot-tu-nhien-tui-96g-hop-286g-i2286163592.html")</f>
        <v>https://www.lazada.vn/products/bot-so-co-la-acacao-hoa-tan-vi-sua-dua-uong-lien-dinh-duong-thom-ngot-tu-nhien-tui-96g-hop-286g-i2286163592.html</v>
      </c>
      <c r="C3749" s="10" t="s">
        <v>3749</v>
      </c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8">
        <v>8604.0</v>
      </c>
      <c r="B3750" s="9" t="str">
        <f>HYPERLINK("https://www.lazada.vn/products/vang-chile-do-camio-cabernet-sauvignon-750ml-i2647858146.html", "https://www.lazada.vn/products/vang-chile-do-camio-cabernet-sauvignon-750ml-i2647858146.html")</f>
        <v>https://www.lazada.vn/products/vang-chile-do-camio-cabernet-sauvignon-750ml-i2647858146.html</v>
      </c>
      <c r="C3750" s="10" t="s">
        <v>3750</v>
      </c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8">
        <v>8605.0</v>
      </c>
      <c r="B3751" s="9" t="str">
        <f>HYPERLINK("https://www.lazada.vn/products/bia-7-bridges-sunset-tangerine-42-lon-330ml-thung-24-lon-i2460217844.html", "https://www.lazada.vn/products/bia-7-bridges-sunset-tangerine-42-lon-330ml-thung-24-lon-i2460217844.html")</f>
        <v>https://www.lazada.vn/products/bia-7-bridges-sunset-tangerine-42-lon-330ml-thung-24-lon-i2460217844.html</v>
      </c>
      <c r="C3751" s="10" t="s">
        <v>3751</v>
      </c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8">
        <v>8606.0</v>
      </c>
      <c r="B3752" s="9" t="str">
        <f>HYPERLINK("https://www.lazada.vn/products/lap-xuong-heo-ben-tre-dang-kho-loai-ngon-hao-hang-phan-loai-1kg-500gram-i1998216587.html", "https://www.lazada.vn/products/lap-xuong-heo-ben-tre-dang-kho-loai-ngon-hao-hang-phan-loai-1kg-500gram-i1998216587.html")</f>
        <v>https://www.lazada.vn/products/lap-xuong-heo-ben-tre-dang-kho-loai-ngon-hao-hang-phan-loai-1kg-500gram-i1998216587.html</v>
      </c>
      <c r="C3752" s="10" t="s">
        <v>3752</v>
      </c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8">
        <v>8607.0</v>
      </c>
      <c r="B3753" s="9" t="str">
        <f>HYPERLINK("https://www.lazada.vn/products/keo-bac-ha-vi-chanh-muoi-vi-cam-muoi-vi-muoi-bien-an-vat-492-i2770844681.html", "https://www.lazada.vn/products/keo-bac-ha-vi-chanh-muoi-vi-cam-muoi-vi-muoi-bien-an-vat-492-i2770844681.html")</f>
        <v>https://www.lazada.vn/products/keo-bac-ha-vi-chanh-muoi-vi-cam-muoi-vi-muoi-bien-an-vat-492-i2770844681.html</v>
      </c>
      <c r="C3753" s="10" t="s">
        <v>3753</v>
      </c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8">
        <v>8608.0</v>
      </c>
      <c r="B3754" s="9" t="str">
        <f>HYPERLINK("https://www.lazada.vn/products/combo-12-cai-banh-mi-ngan-lop-bo-sua-marcena-thom-ngon-l-an-vat-nha-heo-i2664230306.html", "https://www.lazada.vn/products/combo-12-cai-banh-mi-ngan-lop-bo-sua-marcena-thom-ngon-l-an-vat-nha-heo-i2664230306.html")</f>
        <v>https://www.lazada.vn/products/combo-12-cai-banh-mi-ngan-lop-bo-sua-marcena-thom-ngon-l-an-vat-nha-heo-i2664230306.html</v>
      </c>
      <c r="C3754" s="10" t="s">
        <v>3754</v>
      </c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8">
        <v>8609.0</v>
      </c>
      <c r="B3755" s="9" t="str">
        <f>HYPERLINK("https://www.lazada.vn/products/soju-han-quoc-good-day-strawberry-135-360ml-vi-dau-i2397307413.html", "https://www.lazada.vn/products/soju-han-quoc-good-day-strawberry-135-360ml-vi-dau-i2397307413.html")</f>
        <v>https://www.lazada.vn/products/soju-han-quoc-good-day-strawberry-135-360ml-vi-dau-i2397307413.html</v>
      </c>
      <c r="C3755" s="10" t="s">
        <v>3755</v>
      </c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8">
        <v>8610.0</v>
      </c>
      <c r="B3756" s="9" t="str">
        <f>HYPERLINK("https://www.lazada.vn/products/sake-nhat-ban-mandara-topaz-720ml-i2395453442.html", "https://www.lazada.vn/products/sake-nhat-ban-mandara-topaz-720ml-i2395453442.html")</f>
        <v>https://www.lazada.vn/products/sake-nhat-ban-mandara-topaz-720ml-i2395453442.html</v>
      </c>
      <c r="C3756" s="10" t="s">
        <v>3756</v>
      </c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8">
        <v>8611.0</v>
      </c>
      <c r="B3757" s="9" t="str">
        <f>HYPERLINK("https://www.lazada.vn/products/bia-tsingtao-special-edition-phien-ban-nam-ty-2025-i2975048808.html", "https://www.lazada.vn/products/bia-tsingtao-special-edition-phien-ban-nam-ty-2025-i2975048808.html")</f>
        <v>https://www.lazada.vn/products/bia-tsingtao-special-edition-phien-ban-nam-ty-2025-i2975048808.html</v>
      </c>
      <c r="C3757" s="10" t="s">
        <v>3757</v>
      </c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8">
        <v>8612.0</v>
      </c>
      <c r="B3758" s="9" t="str">
        <f>HYPERLINK("https://www.lazada.vn/products/classic-beer-leather-espresso-i2974039948.html", "https://www.lazada.vn/products/classic-beer-leather-espresso-i2974039948.html")</f>
        <v>https://www.lazada.vn/products/classic-beer-leather-espresso-i2974039948.html</v>
      </c>
      <c r="C3758" s="10" t="s">
        <v>3758</v>
      </c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8">
        <v>8613.0</v>
      </c>
      <c r="B3759" s="9" t="str">
        <f>HYPERLINK("https://www.lazada.vn/products/snack-da-heo-kari-kari-chien-gion-goi-20g-i2788925754.html", "https://www.lazada.vn/products/snack-da-heo-kari-kari-chien-gion-goi-20g-i2788925754.html")</f>
        <v>https://www.lazada.vn/products/snack-da-heo-kari-kari-chien-gion-goi-20g-i2788925754.html</v>
      </c>
      <c r="C3759" s="10" t="s">
        <v>3759</v>
      </c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8">
        <v>8614.0</v>
      </c>
      <c r="B3760" s="9" t="str">
        <f>HYPERLINK("https://www.lazada.vn/products/haldiram-falahari-mixture-200g-i1978687662.html", "https://www.lazada.vn/products/haldiram-falahari-mixture-200g-i1978687662.html")</f>
        <v>https://www.lazada.vn/products/haldiram-falahari-mixture-200g-i1978687662.html</v>
      </c>
      <c r="C3760" s="10" t="s">
        <v>3760</v>
      </c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8">
        <v>8615.0</v>
      </c>
      <c r="B3761" s="9" t="str">
        <f>HYPERLINK("https://www.lazada.vn/products/nuoc-ngot-fanta-nhat-nho-160ml-thung-30-lon-leetrinh-i2526397410.html", "https://www.lazada.vn/products/nuoc-ngot-fanta-nhat-nho-160ml-thung-30-lon-leetrinh-i2526397410.html")</f>
        <v>https://www.lazada.vn/products/nuoc-ngot-fanta-nhat-nho-160ml-thung-30-lon-leetrinh-i2526397410.html</v>
      </c>
      <c r="C3761" s="10" t="s">
        <v>3761</v>
      </c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8">
        <v>8616.0</v>
      </c>
      <c r="B3762" s="9" t="str">
        <f>HYPERLINK("https://www.lazada.vn/products/loc-10-chai-nuoc-tang-luc-bo-huc-red-bull-thai-lan-koslant-i2557829210.html", "https://www.lazada.vn/products/loc-10-chai-nuoc-tang-luc-bo-huc-red-bull-thai-lan-koslant-i2557829210.html")</f>
        <v>https://www.lazada.vn/products/loc-10-chai-nuoc-tang-luc-bo-huc-red-bull-thai-lan-koslant-i2557829210.html</v>
      </c>
      <c r="C3762" s="10" t="s">
        <v>3762</v>
      </c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8">
        <v>8617.0</v>
      </c>
      <c r="B3763" s="9" t="str">
        <f>HYPERLINK("https://www.lazada.vn/products/vang-sui-bot-domini-del-leone-proseccobiologique-750ml-i2280034528.html", "https://www.lazada.vn/products/vang-sui-bot-domini-del-leone-proseccobiologique-750ml-i2280034528.html")</f>
        <v>https://www.lazada.vn/products/vang-sui-bot-domini-del-leone-proseccobiologique-750ml-i2280034528.html</v>
      </c>
      <c r="C3763" s="10" t="s">
        <v>3763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8">
        <v>8618.0</v>
      </c>
      <c r="B3764" s="9" t="str">
        <f>HYPERLINK("https://www.lazada.vn/products/h350-combo-banh-trang-phoi-suong-i2620534271.html", "https://www.lazada.vn/products/h350-combo-banh-trang-phoi-suong-i2620534271.html")</f>
        <v>https://www.lazada.vn/products/h350-combo-banh-trang-phoi-suong-i2620534271.html</v>
      </c>
      <c r="C3764" s="10" t="s">
        <v>3764</v>
      </c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8">
        <v>8619.0</v>
      </c>
      <c r="B3765" s="9" t="str">
        <f>HYPERLINK("https://www.lazada.vn/products/ca-chua-dong-hop-nguyen-trai-boc-vo-colavita-whole-peeled-tomatoes-hop-400gr-i3040091915.html", "https://www.lazada.vn/products/ca-chua-dong-hop-nguyen-trai-boc-vo-colavita-whole-peeled-tomatoes-hop-400gr-i3040091915.html")</f>
        <v>https://www.lazada.vn/products/ca-chua-dong-hop-nguyen-trai-boc-vo-colavita-whole-peeled-tomatoes-hop-400gr-i3040091915.html</v>
      </c>
      <c r="C3765" s="10" t="s">
        <v>3765</v>
      </c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8">
        <v>8620.0</v>
      </c>
      <c r="B3766" s="9" t="str">
        <f>HYPERLINK("https://www.lazada.vn/products/snack-khoai-tay-90g-slide-vi-thit-nuong-lon-90g-i1857365931.html", "https://www.lazada.vn/products/snack-khoai-tay-90g-slide-vi-thit-nuong-lon-90g-i1857365931.html")</f>
        <v>https://www.lazada.vn/products/snack-khoai-tay-90g-slide-vi-thit-nuong-lon-90g-i1857365931.html</v>
      </c>
      <c r="C3766" s="10" t="s">
        <v>3766</v>
      </c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8">
        <v>8621.0</v>
      </c>
      <c r="B3767" s="9" t="str">
        <f>HYPERLINK("https://www.lazada.vn/products/bot-so-co-la-acacao-hoa-tan-vi-nguyen-ban-uong-lien-dinh-duong-khong-chat-beo-chuyen-hoa-tui-96g-hop-286g-i2286139790.html", "https://www.lazada.vn/products/bot-so-co-la-acacao-hoa-tan-vi-nguyen-ban-uong-lien-dinh-duong-khong-chat-beo-chuyen-hoa-tui-96g-hop-286g-i2286139790.html")</f>
        <v>https://www.lazada.vn/products/bot-so-co-la-acacao-hoa-tan-vi-nguyen-ban-uong-lien-dinh-duong-khong-chat-beo-chuyen-hoa-tui-96g-hop-286g-i2286139790.html</v>
      </c>
      <c r="C3767" s="10" t="s">
        <v>3767</v>
      </c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8">
        <v>8622.0</v>
      </c>
      <c r="B3768" s="9" t="str">
        <f>HYPERLINK("https://www.lazada.vn/products/con-rong-thuyen-brandy-xo-armenia-i2647843053.html", "https://www.lazada.vn/products/con-rong-thuyen-brandy-xo-armenia-i2647843053.html")</f>
        <v>https://www.lazada.vn/products/con-rong-thuyen-brandy-xo-armenia-i2647843053.html</v>
      </c>
      <c r="C3768" s="10" t="s">
        <v>3768</v>
      </c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8">
        <v>8623.0</v>
      </c>
      <c r="B3769" s="9" t="str">
        <f>HYPERLINK("https://www.lazada.vn/products/ruou-kho-qua-rung-nguyen-chat-shop-thao-duoc-nong-do-alc-400-1000ml-i2291011955.html", "https://www.lazada.vn/products/ruou-kho-qua-rung-nguyen-chat-shop-thao-duoc-nong-do-alc-400-1000ml-i2291011955.html")</f>
        <v>https://www.lazada.vn/products/ruou-kho-qua-rung-nguyen-chat-shop-thao-duoc-nong-do-alc-400-1000ml-i2291011955.html</v>
      </c>
      <c r="C3769" s="10" t="s">
        <v>3769</v>
      </c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8">
        <v>8624.0</v>
      </c>
      <c r="B3770" s="9" t="str">
        <f>HYPERLINK("https://www.lazada.vn/products/340g-nap-cam-bo-dau-phong-min-usa-american-garden-peanut-i1998023106.html", "https://www.lazada.vn/products/340g-nap-cam-bo-dau-phong-min-usa-american-garden-peanut-i1998023106.html")</f>
        <v>https://www.lazada.vn/products/340g-nap-cam-bo-dau-phong-min-usa-american-garden-peanut-i1998023106.html</v>
      </c>
      <c r="C3770" s="10" t="s">
        <v>3770</v>
      </c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8">
        <v>8625.0</v>
      </c>
      <c r="B3771" s="9" t="str">
        <f>HYPERLINK("https://www.lazada.vn/products/keo-cao-su-nhai-hinh-qua-tao-qua-nhot-sac-mau-tuoi-tho-an-vat-492-i2770824528.html", "https://www.lazada.vn/products/keo-cao-su-nhai-hinh-qua-tao-qua-nhot-sac-mau-tuoi-tho-an-vat-492-i2770824528.html")</f>
        <v>https://www.lazada.vn/products/keo-cao-su-nhai-hinh-qua-tao-qua-nhot-sac-mau-tuoi-tho-an-vat-492-i2770824528.html</v>
      </c>
      <c r="C3771" s="10" t="s">
        <v>3771</v>
      </c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8">
        <v>8626.0</v>
      </c>
      <c r="B3772" s="9" t="str">
        <f>HYPERLINK("https://www.lazada.vn/products/socola-dubai-nhan-soi-kataifi-hop-60gr-socola-dubai-hot-trend-i2930477530.html", "https://www.lazada.vn/products/socola-dubai-nhan-soi-kataifi-hop-60gr-socola-dubai-hot-trend-i2930477530.html")</f>
        <v>https://www.lazada.vn/products/socola-dubai-nhan-soi-kataifi-hop-60gr-socola-dubai-hot-trend-i2930477530.html</v>
      </c>
      <c r="C3772" s="10" t="s">
        <v>3772</v>
      </c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8">
        <v>8627.0</v>
      </c>
      <c r="B3773" s="9" t="str">
        <f>HYPERLINK("https://www.lazada.vn/products/combo-500g-khoang-14-15cbanh-bong-lan-qua-trung-nhan-kem-pho-mai-nhieu-bieu-cam-xinh-xan-b169-beegin-food-i2663375046.html", "https://www.lazada.vn/products/combo-500g-khoang-14-15cbanh-bong-lan-qua-trung-nhan-kem-pho-mai-nhieu-bieu-cam-xinh-xan-b169-beegin-food-i2663375046.html")</f>
        <v>https://www.lazada.vn/products/combo-500g-khoang-14-15cbanh-bong-lan-qua-trung-nhan-kem-pho-mai-nhieu-bieu-cam-xinh-xan-b169-beegin-food-i2663375046.html</v>
      </c>
      <c r="C3773" s="10" t="s">
        <v>3773</v>
      </c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8">
        <v>8628.0</v>
      </c>
      <c r="B3774" s="9" t="str">
        <f>HYPERLINK("https://www.lazada.vn/products/sake-nhat-ban-man-gold-jyunmai-ginjyo-720ml-i2395403636.html", "https://www.lazada.vn/products/sake-nhat-ban-man-gold-jyunmai-ginjyo-720ml-i2395403636.html")</f>
        <v>https://www.lazada.vn/products/sake-nhat-ban-man-gold-jyunmai-ginjyo-720ml-i2395403636.html</v>
      </c>
      <c r="C3774" s="10" t="s">
        <v>3774</v>
      </c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8">
        <v>8629.0</v>
      </c>
      <c r="B3775" s="9" t="str">
        <f>HYPERLINK("https://www.lazada.vn/products/sake-nhat-ban-kakurei-junmai-ginjo-chai-720ml-i2395376040.html", "https://www.lazada.vn/products/sake-nhat-ban-kakurei-junmai-ginjo-chai-720ml-i2395376040.html")</f>
        <v>https://www.lazada.vn/products/sake-nhat-ban-kakurei-junmai-ginjo-chai-720ml-i2395376040.html</v>
      </c>
      <c r="C3775" s="10" t="s">
        <v>3775</v>
      </c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8">
        <v>8630.0</v>
      </c>
      <c r="B3776" s="9" t="str">
        <f>HYPERLINK("https://www.lazada.vn/products/bia-ken-tet-2025-set-bia-ken-tet-2025-i2973845536.html", "https://www.lazada.vn/products/bia-ken-tet-2025-set-bia-ken-tet-2025-i2973845536.html")</f>
        <v>https://www.lazada.vn/products/bia-ken-tet-2025-set-bia-ken-tet-2025-i2973845536.html</v>
      </c>
      <c r="C3776" s="10" t="s">
        <v>3776</v>
      </c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8">
        <v>8631.0</v>
      </c>
      <c r="B3777" s="9" t="str">
        <f>HYPERLINK("https://www.lazada.vn/products/thung-24-lon-nuoc-giai-khat-coca-cola-dung-tich-330ml-i2523026354.html", "https://www.lazada.vn/products/thung-24-lon-nuoc-giai-khat-coca-cola-dung-tich-330ml-i2523026354.html")</f>
        <v>https://www.lazada.vn/products/thung-24-lon-nuoc-giai-khat-coca-cola-dung-tich-330ml-i2523026354.html</v>
      </c>
      <c r="C3777" s="10" t="s">
        <v>3777</v>
      </c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8">
        <v>8632.0</v>
      </c>
      <c r="B3778" s="9" t="str">
        <f>HYPERLINK("https://www.lazada.vn/products/giao-hcm-kem-banh-ca-samanco-han-quoc-vi-dau-so-co-la-dau-do-tra-xanh-i2557134941.html", "https://www.lazada.vn/products/giao-hcm-kem-banh-ca-samanco-han-quoc-vi-dau-so-co-la-dau-do-tra-xanh-i2557134941.html")</f>
        <v>https://www.lazada.vn/products/giao-hcm-kem-banh-ca-samanco-han-quoc-vi-dau-so-co-la-dau-do-tra-xanh-i2557134941.html</v>
      </c>
      <c r="C3778" s="10" t="s">
        <v>3778</v>
      </c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8">
        <v>8633.0</v>
      </c>
      <c r="B3779" s="9" t="str">
        <f>HYPERLINK("https://www.lazada.vn/products/vang-do-chateau-campot-lafont-bordeaux-i2280031516.html", "https://www.lazada.vn/products/vang-do-chateau-campot-lafont-bordeaux-i2280031516.html")</f>
        <v>https://www.lazada.vn/products/vang-do-chateau-campot-lafont-bordeaux-i2280031516.html</v>
      </c>
      <c r="C3779" s="10" t="s">
        <v>3779</v>
      </c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8">
        <v>8634.0</v>
      </c>
      <c r="B3780" s="9" t="str">
        <f>HYPERLINK("https://www.lazada.vn/products/bich-30-goi-an-cung-ba-tuyet-snack-bo-kobe-nem-nuong-phen-sashimi-ca-hoi-i2619099033.html", "https://www.lazada.vn/products/bich-30-goi-an-cung-ba-tuyet-snack-bo-kobe-nem-nuong-phen-sashimi-ca-hoi-i2619099033.html")</f>
        <v>https://www.lazada.vn/products/bich-30-goi-an-cung-ba-tuyet-snack-bo-kobe-nem-nuong-phen-sashimi-ca-hoi-i2619099033.html</v>
      </c>
      <c r="C3780" s="10" t="s">
        <v>3780</v>
      </c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8">
        <v>8635.0</v>
      </c>
      <c r="B3781" s="9" t="str">
        <f>HYPERLINK("https://www.lazada.vn/products/ruoc-tom-thit-ha-long-i1997863945.html", "https://www.lazada.vn/products/ruoc-tom-thit-ha-long-i1997863945.html")</f>
        <v>https://www.lazada.vn/products/ruoc-tom-thit-ha-long-i1997863945.html</v>
      </c>
      <c r="C3781" s="10" t="s">
        <v>3781</v>
      </c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8">
        <v>8636.0</v>
      </c>
      <c r="B3782" s="9" t="str">
        <f>HYPERLINK("https://www.lazada.vn/products/chocolate-bars-ngon-hat-the-gioi-godiva-signature-almond-honey-milk-chocolate-90g-i2281694301.html", "https://www.lazada.vn/products/chocolate-bars-ngon-hat-the-gioi-godiva-signature-almond-honey-milk-chocolate-90g-i2281694301.html")</f>
        <v>https://www.lazada.vn/products/chocolate-bars-ngon-hat-the-gioi-godiva-signature-almond-honey-milk-chocolate-90g-i2281694301.html</v>
      </c>
      <c r="C3782" s="10" t="s">
        <v>3782</v>
      </c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8">
        <v>8637.0</v>
      </c>
      <c r="B3783" s="9" t="str">
        <f>HYPERLINK("https://www.lazada.vn/products/bia-reeper-b-ipa-5-lon-500ml-thung-24-lon-i2290424208.html", "https://www.lazada.vn/products/bia-reeper-b-ipa-5-lon-500ml-thung-24-lon-i2290424208.html")</f>
        <v>https://www.lazada.vn/products/bia-reeper-b-ipa-5-lon-500ml-thung-24-lon-i2290424208.html</v>
      </c>
      <c r="C3783" s="10" t="s">
        <v>3783</v>
      </c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8">
        <v>8638.0</v>
      </c>
      <c r="B3784" s="9" t="str">
        <f>HYPERLINK("https://www.lazada.vn/products/vang-santa-loreto-cabernet-sauvignon-1500ml-i2647833001.html", "https://www.lazada.vn/products/vang-santa-loreto-cabernet-sauvignon-1500ml-i2647833001.html")</f>
        <v>https://www.lazada.vn/products/vang-santa-loreto-cabernet-sauvignon-1500ml-i2647833001.html</v>
      </c>
      <c r="C3784" s="10" t="s">
        <v>3784</v>
      </c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8">
        <v>8639.0</v>
      </c>
      <c r="B3785" s="9" t="str">
        <f>HYPERLINK("https://www.lazada.vn/products/date-52026-set-2-lo-ruoc-thit-ga-sot-ngot-torisoboro-nissui-nhat-ban-52gr-x-2-i3040052905.html", "https://www.lazada.vn/products/date-52026-set-2-lo-ruoc-thit-ga-sot-ngot-torisoboro-nissui-nhat-ban-52gr-x-2-i3040052905.html")</f>
        <v>https://www.lazada.vn/products/date-52026-set-2-lo-ruoc-thit-ga-sot-ngot-torisoboro-nissui-nhat-ban-52gr-x-2-i3040052905.html</v>
      </c>
      <c r="C3785" s="10" t="s">
        <v>3785</v>
      </c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8">
        <v>8640.0</v>
      </c>
      <c r="B3786" s="9" t="str">
        <f>HYPERLINK("https://www.lazada.vn/products/keo-le-bac-ha-keo-ngam-ho-qua-le-keo-le-tay-tang-giup-am-co-hong-giam-ho-thom-mieng-an-vat-492-i2770795885.html", "https://www.lazada.vn/products/keo-le-bac-ha-keo-ngam-ho-qua-le-keo-le-tay-tang-giup-am-co-hong-giam-ho-thom-mieng-an-vat-492-i2770795885.html")</f>
        <v>https://www.lazada.vn/products/keo-le-bac-ha-keo-ngam-ho-qua-le-keo-le-tay-tang-giup-am-co-hong-giam-ho-thom-mieng-an-vat-492-i2770795885.html</v>
      </c>
      <c r="C3786" s="10" t="s">
        <v>3786</v>
      </c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8">
        <v>8641.0</v>
      </c>
      <c r="B3787" s="9" t="str">
        <f>HYPERLINK("https://www.lazada.vn/products/snack-khoai-tay-90g-slide-vi-pho-mai-lon-90g-i1857290194.html", "https://www.lazada.vn/products/snack-khoai-tay-90g-slide-vi-pho-mai-lon-90g-i1857290194.html")</f>
        <v>https://www.lazada.vn/products/snack-khoai-tay-90g-slide-vi-pho-mai-lon-90g-i1857290194.html</v>
      </c>
      <c r="C3787" s="10" t="s">
        <v>3787</v>
      </c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8">
        <v>8642.0</v>
      </c>
      <c r="B3788" s="9" t="str">
        <f>HYPERLINK("https://www.lazada.vn/products/hu-500gr-keo-soi-da-sac-mau-nhan-socola-i2930316397.html", "https://www.lazada.vn/products/hu-500gr-keo-soi-da-sac-mau-nhan-socola-i2930316397.html")</f>
        <v>https://www.lazada.vn/products/hu-500gr-keo-soi-da-sac-mau-nhan-socola-i2930316397.html</v>
      </c>
      <c r="C3788" s="10" t="s">
        <v>3788</v>
      </c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8">
        <v>8643.0</v>
      </c>
      <c r="B3789" s="9" t="str">
        <f>HYPERLINK("https://www.lazada.vn/products/thung-1kg-29-30cbanh-bong-lan-qua-trung-nhan-kem-pho-mai-nhieu-bieu-cam-xinh-xan-b169-beegin-mart-i2663346218.html", "https://www.lazada.vn/products/thung-1kg-29-30cbanh-bong-lan-qua-trung-nhan-kem-pho-mai-nhieu-bieu-cam-xinh-xan-b169-beegin-mart-i2663346218.html")</f>
        <v>https://www.lazada.vn/products/thung-1kg-29-30cbanh-bong-lan-qua-trung-nhan-kem-pho-mai-nhieu-bieu-cam-xinh-xan-b169-beegin-mart-i2663346218.html</v>
      </c>
      <c r="C3789" s="10" t="s">
        <v>3789</v>
      </c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8">
        <v>8644.0</v>
      </c>
      <c r="B3790" s="9" t="str">
        <f>HYPERLINK("https://www.lazada.vn/products/500gr-banh-trung-cam-xuc-nhan-phomai-nobeta-i2747688929.html", "https://www.lazada.vn/products/500gr-banh-trung-cam-xuc-nhan-phomai-nobeta-i2747688929.html")</f>
        <v>https://www.lazada.vn/products/500gr-banh-trung-cam-xuc-nhan-phomai-nobeta-i2747688929.html</v>
      </c>
      <c r="C3790" s="10" t="s">
        <v>3790</v>
      </c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8">
        <v>8645.0</v>
      </c>
      <c r="B3791" s="9" t="str">
        <f>HYPERLINK("https://www.lazada.vn/products/sake-nhat-ban-yukiotoko-junmaishu-chai-720ml180ml-i2395374947.html", "https://www.lazada.vn/products/sake-nhat-ban-yukiotoko-junmaishu-chai-720ml180ml-i2395374947.html")</f>
        <v>https://www.lazada.vn/products/sake-nhat-ban-yukiotoko-junmaishu-chai-720ml180ml-i2395374947.html</v>
      </c>
      <c r="C3791" s="10" t="s">
        <v>3791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8">
        <v>8646.0</v>
      </c>
      <c r="B3792" s="9" t="str">
        <f>HYPERLINK("https://www.lazada.vn/products/bia-hb-hofbrau-munchen-helles-lager-nhap-khau-duc-1-lon-500ml-i2973372228.html", "https://www.lazada.vn/products/bia-hb-hofbrau-munchen-helles-lager-nhap-khau-duc-1-lon-500ml-i2973372228.html")</f>
        <v>https://www.lazada.vn/products/bia-hb-hofbrau-munchen-helles-lager-nhap-khau-duc-1-lon-500ml-i2973372228.html</v>
      </c>
      <c r="C3792" s="10" t="s">
        <v>3792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8">
        <v>8647.0</v>
      </c>
      <c r="B3793" s="9" t="str">
        <f>HYPERLINK("https://www.lazada.vn/products/sake-nhat-ban-kurodabushi-nigorizake-chai-720ml-i2395337275.html", "https://www.lazada.vn/products/sake-nhat-ban-kurodabushi-nigorizake-chai-720ml-i2395337275.html")</f>
        <v>https://www.lazada.vn/products/sake-nhat-ban-kurodabushi-nigorizake-chai-720ml-i2395337275.html</v>
      </c>
      <c r="C3793" s="10" t="s">
        <v>3793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8">
        <v>8648.0</v>
      </c>
      <c r="B3794" s="9" t="str">
        <f>HYPERLINK("https://www.lazada.vn/products/nuoc-ngot-co-gas-vi-trai-cay-i2518134377.html", "https://www.lazada.vn/products/nuoc-ngot-co-gas-vi-trai-cay-i2518134377.html")</f>
        <v>https://www.lazada.vn/products/nuoc-ngot-co-gas-vi-trai-cay-i2518134377.html</v>
      </c>
      <c r="C3794" s="10" t="s">
        <v>3794</v>
      </c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8">
        <v>8649.0</v>
      </c>
      <c r="B3795" s="9" t="str">
        <f>HYPERLINK("https://www.lazada.vn/products/loc-10-chai-nuoc-tang-luc-red-bull-bo-cung-bo-huc-thai-lan-koslant-i2556333937.html", "https://www.lazada.vn/products/loc-10-chai-nuoc-tang-luc-red-bull-bo-cung-bo-huc-thai-lan-koslant-i2556333937.html")</f>
        <v>https://www.lazada.vn/products/loc-10-chai-nuoc-tang-luc-red-bull-bo-cung-bo-huc-thai-lan-koslant-i2556333937.html</v>
      </c>
      <c r="C3795" s="10" t="s">
        <v>3795</v>
      </c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8">
        <v>8650.0</v>
      </c>
      <c r="B3796" s="9" t="str">
        <f>HYPERLINK("https://www.lazada.vn/products/ruou-vang-mchapoutier-la-ciboise-luberon-750ml-i2280029759.html", "https://www.lazada.vn/products/ruou-vang-mchapoutier-la-ciboise-luberon-750ml-i2280029759.html")</f>
        <v>https://www.lazada.vn/products/ruou-vang-mchapoutier-la-ciboise-luberon-750ml-i2280029759.html</v>
      </c>
      <c r="C3796" s="10" t="s">
        <v>3796</v>
      </c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8">
        <v>8651.0</v>
      </c>
      <c r="B3797" s="9" t="str">
        <f>HYPERLINK("https://www.lazada.vn/products/banh-thuyen-mix-hat-dinh-duong-200g-sk-food-i2616566672.html", "https://www.lazada.vn/products/banh-thuyen-mix-hat-dinh-duong-200g-sk-food-i2616566672.html")</f>
        <v>https://www.lazada.vn/products/banh-thuyen-mix-hat-dinh-duong-200g-sk-food-i2616566672.html</v>
      </c>
      <c r="C3797" s="10" t="s">
        <v>3797</v>
      </c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8">
        <v>8652.0</v>
      </c>
      <c r="B3798" s="9" t="str">
        <f>HYPERLINK("https://www.lazada.vn/products/bao-ngu-dong-hop-mexico-454gr-i1996480694.html", "https://www.lazada.vn/products/bao-ngu-dong-hop-mexico-454gr-i1996480694.html")</f>
        <v>https://www.lazada.vn/products/bao-ngu-dong-hop-mexico-454gr-i1996480694.html</v>
      </c>
      <c r="C3798" s="10" t="s">
        <v>3798</v>
      </c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8">
        <v>8653.0</v>
      </c>
      <c r="B3799" s="9" t="str">
        <f>HYPERLINK("https://www.lazada.vn/products/combo-milo-uc-1kg-sua-a2-nguyen-kem-date-2025-i2278288571.html", "https://www.lazada.vn/products/combo-milo-uc-1kg-sua-a2-nguyen-kem-date-2025-i2278288571.html")</f>
        <v>https://www.lazada.vn/products/combo-milo-uc-1kg-sua-a2-nguyen-kem-date-2025-i2278288571.html</v>
      </c>
      <c r="C3799" s="10" t="s">
        <v>3799</v>
      </c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8">
        <v>8654.0</v>
      </c>
      <c r="B3800" s="9" t="str">
        <f>HYPERLINK("https://www.lazada.vn/products/vang-phap-torre-de-rejas-i2647814019.html", "https://www.lazada.vn/products/vang-phap-torre-de-rejas-i2647814019.html")</f>
        <v>https://www.lazada.vn/products/vang-phap-torre-de-rejas-i2647814019.html</v>
      </c>
      <c r="C3800" s="10" t="s">
        <v>3800</v>
      </c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8">
        <v>8655.0</v>
      </c>
      <c r="B3801" s="9" t="str">
        <f>HYPERLINK("https://www.lazada.vn/products/bia-east-west-pale-ale-6-lon-330ml-thung-12-lon-i2289586484.html", "https://www.lazada.vn/products/bia-east-west-pale-ale-6-lon-330ml-thung-12-lon-i2289586484.html")</f>
        <v>https://www.lazada.vn/products/bia-east-west-pale-ale-6-lon-330ml-thung-12-lon-i2289586484.html</v>
      </c>
      <c r="C3801" s="10" t="s">
        <v>3801</v>
      </c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8">
        <v>8656.0</v>
      </c>
      <c r="B3802" s="9" t="str">
        <f>HYPERLINK("https://www.lazada.vn/products/bich-20-cay-keo-mut-sua-chua-vi-pho-mai-thom-ngon-an-vat-492-i2770787499.html", "https://www.lazada.vn/products/bich-20-cay-keo-mut-sua-chua-vi-pho-mai-thom-ngon-an-vat-492-i2770787499.html")</f>
        <v>https://www.lazada.vn/products/bich-20-cay-keo-mut-sua-chua-vi-pho-mai-thom-ngon-an-vat-492-i2770787499.html</v>
      </c>
      <c r="C3802" s="10" t="s">
        <v>3802</v>
      </c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8">
        <v>8657.0</v>
      </c>
      <c r="B3803" s="9" t="str">
        <f>HYPERLINK("https://www.lazada.vn/products/pate-wanpy-happy-combo-10-goi-pate-cho-meo-wanpy-happy-100-70g-i3040042995.html", "https://www.lazada.vn/products/pate-wanpy-happy-combo-10-goi-pate-cho-meo-wanpy-happy-100-70g-i3040042995.html")</f>
        <v>https://www.lazada.vn/products/pate-wanpy-happy-combo-10-goi-pate-cho-meo-wanpy-happy-100-70g-i3040042995.html</v>
      </c>
      <c r="C3803" s="10" t="s">
        <v>3803</v>
      </c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8">
        <v>8658.0</v>
      </c>
      <c r="B3804" s="9" t="str">
        <f>HYPERLINK("https://www.lazada.vn/products/banh-pia-xua-goi-giay-tan-phat-nhan-khoai-mon-sau-rieng-khong-trung-350grcay-4cai-i1852691227.html", "https://www.lazada.vn/products/banh-pia-xua-goi-giay-tan-phat-nhan-khoai-mon-sau-rieng-khong-trung-350grcay-4cai-i1852691227.html")</f>
        <v>https://www.lazada.vn/products/banh-pia-xua-goi-giay-tan-phat-nhan-khoai-mon-sau-rieng-khong-trung-350grcay-4cai-i1852691227.html</v>
      </c>
      <c r="C3804" s="10" t="s">
        <v>3804</v>
      </c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8">
        <v>8659.0</v>
      </c>
      <c r="B3805" s="9" t="str">
        <f>HYPERLINK("https://www.lazada.vn/products/tui-300g-khong-duong-bot-dau-xanh-hat-sen-bich-chi-no-sugar-mung-bean-powder-with-lotus-seed-i3036250720.html", "https://www.lazada.vn/products/tui-300g-khong-duong-bot-dau-xanh-hat-sen-bich-chi-no-sugar-mung-bean-powder-with-lotus-seed-i3036250720.html")</f>
        <v>https://www.lazada.vn/products/tui-300g-khong-duong-bot-dau-xanh-hat-sen-bich-chi-no-sugar-mung-bean-powder-with-lotus-seed-i3036250720.html</v>
      </c>
      <c r="C3805" s="10" t="s">
        <v>3805</v>
      </c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8">
        <v>8660.0</v>
      </c>
      <c r="B3806" s="9" t="str">
        <f>HYPERLINK("https://www.lazada.vn/products/le-1-thanh-5-vien-keo-socola-choco-cube-vi-socola-sua-i2930287219.html", "https://www.lazada.vn/products/le-1-thanh-5-vien-keo-socola-choco-cube-vi-socola-sua-i2930287219.html")</f>
        <v>https://www.lazada.vn/products/le-1-thanh-5-vien-keo-socola-choco-cube-vi-socola-sua-i2930287219.html</v>
      </c>
      <c r="C3806" s="10" t="s">
        <v>3806</v>
      </c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8">
        <v>8661.0</v>
      </c>
      <c r="B3807" s="9" t="str">
        <f>HYPERLINK("https://www.lazada.vn/products/thung-1kg-khoang-29-30cbanh-bong-lan-qua-trung-nhan-kem-pho-mai-nhieu-bieu-cam-xinh-xan-b169-beegin-food-i2663340228.html", "https://www.lazada.vn/products/thung-1kg-khoang-29-30cbanh-bong-lan-qua-trung-nhan-kem-pho-mai-nhieu-bieu-cam-xinh-xan-b169-beegin-food-i2663340228.html")</f>
        <v>https://www.lazada.vn/products/thung-1kg-khoang-29-30cbanh-bong-lan-qua-trung-nhan-kem-pho-mai-nhieu-bieu-cam-xinh-xan-b169-beegin-food-i2663340228.html</v>
      </c>
      <c r="C3807" s="10" t="s">
        <v>3807</v>
      </c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8">
        <v>8662.0</v>
      </c>
      <c r="B3808" s="9" t="str">
        <f>HYPERLINK("https://www.lazada.vn/products/perfect-eo-meal-dang-goi-duong-chat-trong-lanh-cho-doi-song-chat-luong-hang-chinh-hang-i3023969738.html", "https://www.lazada.vn/products/perfect-eo-meal-dang-goi-duong-chat-trong-lanh-cho-doi-song-chat-luong-hang-chinh-hang-i3023969738.html")</f>
        <v>https://www.lazada.vn/products/perfect-eo-meal-dang-goi-duong-chat-trong-lanh-cho-doi-song-chat-luong-hang-chinh-hang-i3023969738.html</v>
      </c>
      <c r="C3808" s="10" t="s">
        <v>3808</v>
      </c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8">
        <v>8663.0</v>
      </c>
      <c r="B3809" s="9" t="str">
        <f>HYPERLINK("https://www.lazada.vn/products/sake-nhat-ban-junmai-ginjo-midorikawa-720ml-i2395325937.html", "https://www.lazada.vn/products/sake-nhat-ban-junmai-ginjo-midorikawa-720ml-i2395325937.html")</f>
        <v>https://www.lazada.vn/products/sake-nhat-ban-junmai-ginjo-midorikawa-720ml-i2395325937.html</v>
      </c>
      <c r="C3809" s="10" t="s">
        <v>3809</v>
      </c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8">
        <v>8664.0</v>
      </c>
      <c r="B3810" s="9" t="str">
        <f>HYPERLINK("https://www.lazada.vn/products/bia-hb-hofbrau-munchen-helles-lager-nhap-khau-duc-1-lon-500ml-i2973359294.html", "https://www.lazada.vn/products/bia-hb-hofbrau-munchen-helles-lager-nhap-khau-duc-1-lon-500ml-i2973359294.html")</f>
        <v>https://www.lazada.vn/products/bia-hb-hofbrau-munchen-helles-lager-nhap-khau-duc-1-lon-500ml-i2973359294.html</v>
      </c>
      <c r="C3810" s="10" t="s">
        <v>3810</v>
      </c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8">
        <v>8665.0</v>
      </c>
      <c r="B3811" s="9" t="str">
        <f>HYPERLINK("https://www.lazada.vn/products/loc-24-lon-nuoc-ngot-co-gas-vi-trai-cay-i2518114566.html", "https://www.lazada.vn/products/loc-24-lon-nuoc-ngot-co-gas-vi-trai-cay-i2518114566.html")</f>
        <v>https://www.lazada.vn/products/loc-24-lon-nuoc-ngot-co-gas-vi-trai-cay-i2518114566.html</v>
      </c>
      <c r="C3811" s="10" t="s">
        <v>3811</v>
      </c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8">
        <v>8666.0</v>
      </c>
      <c r="B3812" s="9" t="str">
        <f>HYPERLINK("https://www.lazada.vn/products/24-lon-nuoc-uong-tang-luc-redbull-energy-drink-red-bull-nhap-uc-250ml-i2554616242.html", "https://www.lazada.vn/products/24-lon-nuoc-uong-tang-luc-redbull-energy-drink-red-bull-nhap-uc-250ml-i2554616242.html")</f>
        <v>https://www.lazada.vn/products/24-lon-nuoc-uong-tang-luc-redbull-energy-drink-red-bull-nhap-uc-250ml-i2554616242.html</v>
      </c>
      <c r="C3812" s="10" t="s">
        <v>3812</v>
      </c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8">
        <v>8667.0</v>
      </c>
      <c r="B3813" s="9" t="str">
        <f>HYPERLINK("https://www.lazada.vn/products/vang-do-domini-del-leone-valpolicella-ripasso-classico-i2280024032.html", "https://www.lazada.vn/products/vang-do-domini-del-leone-valpolicella-ripasso-classico-i2280024032.html")</f>
        <v>https://www.lazada.vn/products/vang-do-domini-del-leone-valpolicella-ripasso-classico-i2280024032.html</v>
      </c>
      <c r="C3813" s="10" t="s">
        <v>3813</v>
      </c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8">
        <v>8668.0</v>
      </c>
      <c r="B3814" s="9" t="str">
        <f>HYPERLINK("https://www.lazada.vn/products/combo-snack-mix-vi-ngau-nhien-30-goi-ba-anh-em-food-do-an-tuoi-tho-an-vat-viet-nam-i2614703403.html", "https://www.lazada.vn/products/combo-snack-mix-vi-ngau-nhien-30-goi-ba-anh-em-food-do-an-tuoi-tho-an-vat-viet-nam-i2614703403.html")</f>
        <v>https://www.lazada.vn/products/combo-snack-mix-vi-ngau-nhien-30-goi-ba-anh-em-food-do-an-tuoi-tho-an-vat-viet-nam-i2614703403.html</v>
      </c>
      <c r="C3814" s="10" t="s">
        <v>3814</v>
      </c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8">
        <v>8669.0</v>
      </c>
      <c r="B3815" s="9" t="str">
        <f>HYPERLINK("https://www.lazada.vn/products/thuc-uong-lua-mach-nestle-milo-sua-3-trong-1-bich-600g330g-i2269832356.html", "https://www.lazada.vn/products/thuc-uong-lua-mach-nestle-milo-sua-3-trong-1-bich-600g330g-i2269832356.html")</f>
        <v>https://www.lazada.vn/products/thuc-uong-lua-mach-nestle-milo-sua-3-trong-1-bich-600g330g-i2269832356.html</v>
      </c>
      <c r="C3815" s="10" t="s">
        <v>3815</v>
      </c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8">
        <v>8670.0</v>
      </c>
      <c r="B3816" s="9" t="str">
        <f>HYPERLINK("https://www.lazada.vn/products/sot-cham-sieu-cay-samyang-vi-sieu-cay-chai-200gram-sot-cay-2x-i1995161843.html", "https://www.lazada.vn/products/sot-cham-sieu-cay-samyang-vi-sieu-cay-chai-200gram-sot-cay-2x-i1995161843.html")</f>
        <v>https://www.lazada.vn/products/sot-cham-sieu-cay-samyang-vi-sieu-cay-chai-200gram-sot-cay-2x-i1995161843.html</v>
      </c>
      <c r="C3816" s="10" t="s">
        <v>3816</v>
      </c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8">
        <v>8671.0</v>
      </c>
      <c r="B3817" s="9" t="str">
        <f>HYPERLINK("https://www.lazada.vn/products/500gr-khoai-lamg-mat-say-nguyen-cu-i3003967986.html", "https://www.lazada.vn/products/500gr-khoai-lamg-mat-say-nguyen-cu-i3003967986.html")</f>
        <v>https://www.lazada.vn/products/500gr-khoai-lamg-mat-say-nguyen-cu-i3003967986.html</v>
      </c>
      <c r="C3817" s="10" t="s">
        <v>3817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8">
        <v>8672.0</v>
      </c>
      <c r="B3818" s="9" t="str">
        <f>HYPERLINK("https://www.lazada.vn/products/vang-da-lat-classic-do_thung-6-chai-i2647811399.html", "https://www.lazada.vn/products/vang-da-lat-classic-do_thung-6-chai-i2647811399.html")</f>
        <v>https://www.lazada.vn/products/vang-da-lat-classic-do_thung-6-chai-i2647811399.html</v>
      </c>
      <c r="C3818" s="10" t="s">
        <v>3818</v>
      </c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8">
        <v>8673.0</v>
      </c>
      <c r="B3819" s="9" t="str">
        <f>HYPERLINK("https://www.lazada.vn/products/bia-east-west-mix-4-dong-pacific-summer-pale-ale-ipa-moi-dong-3-lon-tu-5-67-lon-330ml-thung-12-lon-i2289557914.html", "https://www.lazada.vn/products/bia-east-west-mix-4-dong-pacific-summer-pale-ale-ipa-moi-dong-3-lon-tu-5-67-lon-330ml-thung-12-lon-i2289557914.html")</f>
        <v>https://www.lazada.vn/products/bia-east-west-mix-4-dong-pacific-summer-pale-ale-ipa-moi-dong-3-lon-tu-5-67-lon-330ml-thung-12-lon-i2289557914.html</v>
      </c>
      <c r="C3819" s="10" t="s">
        <v>3819</v>
      </c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8">
        <v>8674.0</v>
      </c>
      <c r="B3820" s="9" t="str">
        <f>HYPERLINK("https://www.lazada.vn/products/strawberry-dried-freeze-crisp-baking-without-fruit-paste-snacks-special-raw-materials-for-snowflake-crisp-yogurt-dried-fruit-i2923793353.html", "https://www.lazada.vn/products/strawberry-dried-freeze-crisp-baking-without-fruit-paste-snacks-special-raw-materials-for-snowflake-crisp-yogurt-dried-fruit-i2923793353.html")</f>
        <v>https://www.lazada.vn/products/strawberry-dried-freeze-crisp-baking-without-fruit-paste-snacks-special-raw-materials-for-snowflake-crisp-yogurt-dried-fruit-i2923793353.html</v>
      </c>
      <c r="C3820" s="10" t="s">
        <v>3820</v>
      </c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8">
        <v>8675.0</v>
      </c>
      <c r="B3821" s="9" t="str">
        <f>HYPERLINK("https://www.lazada.vn/products/500gr-goi-thit-say-mix-hon-hop-ga-gan-trung-rau-pho-mai-ca-trung-vit-say-sieu-ngon-cho-cho-meo-hana-pet-i3039962946.html", "https://www.lazada.vn/products/500gr-goi-thit-say-mix-hon-hop-ga-gan-trung-rau-pho-mai-ca-trung-vit-say-sieu-ngon-cho-cho-meo-hana-pet-i3039962946.html")</f>
        <v>https://www.lazada.vn/products/500gr-goi-thit-say-mix-hon-hop-ga-gan-trung-rau-pho-mai-ca-trung-vit-say-sieu-ngon-cho-cho-meo-hana-pet-i3039962946.html</v>
      </c>
      <c r="C3821" s="10" t="s">
        <v>3821</v>
      </c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8">
        <v>8676.0</v>
      </c>
      <c r="B3822" s="9" t="str">
        <f>HYPERLINK("https://www.lazada.vn/products/keo-mut-sua-bo-mix-keo-no-2in1-popping-candy-100gr-an-vat-492-i2770781645.html", "https://www.lazada.vn/products/keo-mut-sua-bo-mix-keo-no-2in1-popping-candy-100gr-an-vat-492-i2770781645.html")</f>
        <v>https://www.lazada.vn/products/keo-mut-sua-bo-mix-keo-no-2in1-popping-candy-100gr-an-vat-492-i2770781645.html</v>
      </c>
      <c r="C3822" s="10" t="s">
        <v>3822</v>
      </c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8">
        <v>8677.0</v>
      </c>
      <c r="B3823" s="9" t="str">
        <f>HYPERLINK("https://www.lazada.vn/products/banh-pia-xua-goi-giay-tan-phat-nhan-dau-xanh-sau-rieng-khong-trung-350grcay-4cai-i1852590723.html", "https://www.lazada.vn/products/banh-pia-xua-goi-giay-tan-phat-nhan-dau-xanh-sau-rieng-khong-trung-350grcay-4cai-i1852590723.html")</f>
        <v>https://www.lazada.vn/products/banh-pia-xua-goi-giay-tan-phat-nhan-dau-xanh-sau-rieng-khong-trung-350grcay-4cai-i1852590723.html</v>
      </c>
      <c r="C3823" s="10" t="s">
        <v>3823</v>
      </c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8">
        <v>8678.0</v>
      </c>
      <c r="B3824" s="9" t="str">
        <f>HYPERLINK("https://www.lazada.vn/products/socola-soi-dua-dubai-kehaomai-hop-40gr-i2930206431.html", "https://www.lazada.vn/products/socola-soi-dua-dubai-kehaomai-hop-40gr-i2930206431.html")</f>
        <v>https://www.lazada.vn/products/socola-soi-dua-dubai-kehaomai-hop-40gr-i2930206431.html</v>
      </c>
      <c r="C3824" s="10" t="s">
        <v>3824</v>
      </c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8">
        <v>8679.0</v>
      </c>
      <c r="B3825" s="9" t="str">
        <f>HYPERLINK("https://www.lazada.vn/products/thung-1kg-29-30cbanh-bong-lan-qua-trung-nhan-kem-pho-mai-nhieu-bieu-cam-xinh-xan-b169-chuyen-si-tpnk-i2663301269.html", "https://www.lazada.vn/products/thung-1kg-29-30cbanh-bong-lan-qua-trung-nhan-kem-pho-mai-nhieu-bieu-cam-xinh-xan-b169-chuyen-si-tpnk-i2663301269.html")</f>
        <v>https://www.lazada.vn/products/thung-1kg-29-30cbanh-bong-lan-qua-trung-nhan-kem-pho-mai-nhieu-bieu-cam-xinh-xan-b169-chuyen-si-tpnk-i2663301269.html</v>
      </c>
      <c r="C3825" s="10" t="s">
        <v>3825</v>
      </c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8">
        <v>8680.0</v>
      </c>
      <c r="B3826" s="9" t="str">
        <f>HYPERLINK("https://www.lazada.vn/products/ca-phe-wake-up-sai-gon-i2915581645.html", "https://www.lazada.vn/products/ca-phe-wake-up-sai-gon-i2915581645.html")</f>
        <v>https://www.lazada.vn/products/ca-phe-wake-up-sai-gon-i2915581645.html</v>
      </c>
      <c r="C3826" s="10" t="s">
        <v>3826</v>
      </c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8">
        <v>8681.0</v>
      </c>
      <c r="B3827" s="9" t="str">
        <f>HYPERLINK("https://www.lazada.vn/products/sake-nhat-kuroki-ofuji-honkaku-imo-shochu-chai-720ml-i2395258889.html", "https://www.lazada.vn/products/sake-nhat-kuroki-ofuji-honkaku-imo-shochu-chai-720ml-i2395258889.html")</f>
        <v>https://www.lazada.vn/products/sake-nhat-kuroki-ofuji-honkaku-imo-shochu-chai-720ml-i2395258889.html</v>
      </c>
      <c r="C3827" s="10" t="s">
        <v>3827</v>
      </c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8">
        <v>8682.0</v>
      </c>
      <c r="B3828" s="9" t="str">
        <f>HYPERLINK("https://www.lazada.vn/products/bia-hb-hofbrau-munchen-helles-lager-nhap-khau-duc-1-thung-24-lon-500ml-i2973275773.html", "https://www.lazada.vn/products/bia-hb-hofbrau-munchen-helles-lager-nhap-khau-duc-1-thung-24-lon-500ml-i2973275773.html")</f>
        <v>https://www.lazada.vn/products/bia-hb-hofbrau-munchen-helles-lager-nhap-khau-duc-1-thung-24-lon-500ml-i2973275773.html</v>
      </c>
      <c r="C3828" s="10" t="s">
        <v>3828</v>
      </c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8">
        <v>8683.0</v>
      </c>
      <c r="B3829" s="9" t="str">
        <f>HYPERLINK("https://www.lazada.vn/products/24-lon-nuoc-uong-tang-luc-redbull-energy-drink-red-bull-nhap-uc-250ml-i2554521850.html", "https://www.lazada.vn/products/24-lon-nuoc-uong-tang-luc-redbull-energy-drink-red-bull-nhap-uc-250ml-i2554521850.html")</f>
        <v>https://www.lazada.vn/products/24-lon-nuoc-uong-tang-luc-redbull-energy-drink-red-bull-nhap-uc-250ml-i2554521850.html</v>
      </c>
      <c r="C3829" s="10" t="s">
        <v>3829</v>
      </c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8">
        <v>8684.0</v>
      </c>
      <c r="B3830" s="9" t="str">
        <f>HYPERLINK("https://www.lazada.vn/products/thung-24-chai-nap-van-coca-cola-original-taste-300ml-x-24-chai-cua-nhat-date-122025-i2514817700.html", "https://www.lazada.vn/products/thung-24-chai-nap-van-coca-cola-original-taste-300ml-x-24-chai-cua-nhat-date-122025-i2514817700.html")</f>
        <v>https://www.lazada.vn/products/thung-24-chai-nap-van-coca-cola-original-taste-300ml-x-24-chai-cua-nhat-date-122025-i2514817700.html</v>
      </c>
      <c r="C3830" s="10" t="s">
        <v>3830</v>
      </c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8">
        <v>8685.0</v>
      </c>
      <c r="B3831" s="9" t="str">
        <f>HYPERLINK("https://www.lazada.vn/products/vang-do-prelat-de-pape-clement-graves-i2280023551.html", "https://www.lazada.vn/products/vang-do-prelat-de-pape-clement-graves-i2280023551.html")</f>
        <v>https://www.lazada.vn/products/vang-do-prelat-de-pape-clement-graves-i2280023551.html</v>
      </c>
      <c r="C3831" s="10" t="s">
        <v>3831</v>
      </c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8">
        <v>8686.0</v>
      </c>
      <c r="B3832" s="9" t="str">
        <f>HYPERLINK("https://www.lazada.vn/products/banh-trang-sike-sieu-cay-sieu-ghien-tui-250gram-i2614071165.html", "https://www.lazada.vn/products/banh-trang-sike-sieu-cay-sieu-ghien-tui-250gram-i2614071165.html")</f>
        <v>https://www.lazada.vn/products/banh-trang-sike-sieu-cay-sieu-ghien-tui-250gram-i2614071165.html</v>
      </c>
      <c r="C3832" s="10" t="s">
        <v>3832</v>
      </c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8">
        <v>8687.0</v>
      </c>
      <c r="B3833" s="9" t="str">
        <f>HYPERLINK("https://www.lazada.vn/products/thuc-uong-lua-mach-nestle-milo-nguyen-chat-hu-nhua-400g-i2269761516.html", "https://www.lazada.vn/products/thuc-uong-lua-mach-nestle-milo-nguyen-chat-hu-nhua-400g-i2269761516.html")</f>
        <v>https://www.lazada.vn/products/thuc-uong-lua-mach-nestle-milo-nguyen-chat-hu-nhua-400g-i2269761516.html</v>
      </c>
      <c r="C3833" s="10" t="s">
        <v>3833</v>
      </c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8">
        <v>8688.0</v>
      </c>
      <c r="B3834" s="9" t="str">
        <f>HYPERLINK("https://www.lazada.vn/products/chanh-mat-ong-han-quoc-hu-1-kg-honey-citron-tea-giam-ho-hieu-qua-i1994622950.html", "https://www.lazada.vn/products/chanh-mat-ong-han-quoc-hu-1-kg-honey-citron-tea-giam-ho-hieu-qua-i1994622950.html")</f>
        <v>https://www.lazada.vn/products/chanh-mat-ong-han-quoc-hu-1-kg-honey-citron-tea-giam-ho-hieu-qua-i1994622950.html</v>
      </c>
      <c r="C3834" s="10" t="s">
        <v>3834</v>
      </c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8">
        <v>8689.0</v>
      </c>
      <c r="B3835" s="9" t="str">
        <f>HYPERLINK("https://www.lazada.vn/products/vang-phap-chateau-de-cazac-bich-5-lit-i2647776559.html", "https://www.lazada.vn/products/vang-phap-chateau-de-cazac-bich-5-lit-i2647776559.html")</f>
        <v>https://www.lazada.vn/products/vang-phap-chateau-de-cazac-bich-5-lit-i2647776559.html</v>
      </c>
      <c r="C3835" s="10" t="s">
        <v>3835</v>
      </c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8">
        <v>8690.0</v>
      </c>
      <c r="B3836" s="9" t="str">
        <f>HYPERLINK("https://www.lazada.vn/products/keo-le-an-phe-mat-ong-thanh-nhiet-tieu-dom-mem-deo-thom-ngon-an-vat-492-i2770777966.html", "https://www.lazada.vn/products/keo-le-an-phe-mat-ong-thanh-nhiet-tieu-dom-mem-deo-thom-ngon-an-vat-492-i2770777966.html")</f>
        <v>https://www.lazada.vn/products/keo-le-an-phe-mat-ong-thanh-nhiet-tieu-dom-mem-deo-thom-ngon-an-vat-492-i2770777966.html</v>
      </c>
      <c r="C3836" s="10" t="s">
        <v>3836</v>
      </c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8">
        <v>8691.0</v>
      </c>
      <c r="B3837" s="9" t="str">
        <f>HYPERLINK("https://www.lazada.vn/products/sen-bon-moi-nuong-than-500g-bao-bi-nho-qua-hanh-phuc-qua-deo-cay-khac-qua-deo-nuong-suong-mua-thu-qua-deo-trung-quoc-i2923781938.html", "https://www.lazada.vn/products/sen-bon-moi-nuong-than-500g-bao-bi-nho-qua-hanh-phuc-qua-deo-cay-khac-qua-deo-nuong-suong-mua-thu-qua-deo-trung-quoc-i2923781938.html")</f>
        <v>https://www.lazada.vn/products/sen-bon-moi-nuong-than-500g-bao-bi-nho-qua-hanh-phuc-qua-deo-cay-khac-qua-deo-nuong-suong-mua-thu-qua-deo-trung-quoc-i2923781938.html</v>
      </c>
      <c r="C3837" s="10" t="s">
        <v>3837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8">
        <v>8692.0</v>
      </c>
      <c r="B3838" s="9" t="str">
        <f>HYPERLINK("https://www.lazada.vn/products/bia-east-west-far-east-ipa-67-lon-330ml-thung-12-lon-i2289546813.html", "https://www.lazada.vn/products/bia-east-west-far-east-ipa-67-lon-330ml-thung-12-lon-i2289546813.html")</f>
        <v>https://www.lazada.vn/products/bia-east-west-far-east-ipa-67-lon-330ml-thung-12-lon-i2289546813.html</v>
      </c>
      <c r="C3838" s="10" t="s">
        <v>3838</v>
      </c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8">
        <v>8693.0</v>
      </c>
      <c r="B3839" s="9" t="str">
        <f>HYPERLINK("https://www.lazada.vn/products/combo-thit-say-ga-mix-ca-hoi-vien-cong-nghe-say-lanh-dong-kho-40c-thom-ngon-cuc-bo-duong-hana-pet-i3039916968.html", "https://www.lazada.vn/products/combo-thit-say-ga-mix-ca-hoi-vien-cong-nghe-say-lanh-dong-kho-40c-thom-ngon-cuc-bo-duong-hana-pet-i3039916968.html")</f>
        <v>https://www.lazada.vn/products/combo-thit-say-ga-mix-ca-hoi-vien-cong-nghe-say-lanh-dong-kho-40c-thom-ngon-cuc-bo-duong-hana-pet-i3039916968.html</v>
      </c>
      <c r="C3839" s="10" t="s">
        <v>3839</v>
      </c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8">
        <v>8694.0</v>
      </c>
      <c r="B3840" s="9" t="str">
        <f>HYPERLINK("https://www.lazada.vn/products/banh-que-cong-mix-thai-lan-goi-60g-vi-thit-xong-khoi-smoked-bacon-biscuit-sticks-i1839299707.html", "https://www.lazada.vn/products/banh-que-cong-mix-thai-lan-goi-60g-vi-thit-xong-khoi-smoked-bacon-biscuit-sticks-i1839299707.html")</f>
        <v>https://www.lazada.vn/products/banh-que-cong-mix-thai-lan-goi-60g-vi-thit-xong-khoi-smoked-bacon-biscuit-sticks-i1839299707.html</v>
      </c>
      <c r="C3840" s="10" t="s">
        <v>3840</v>
      </c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8">
        <v>8695.0</v>
      </c>
      <c r="B3841" s="9" t="str">
        <f>HYPERLINK("https://www.lazada.vn/products/keo-socola-dua-donaci-bich-1kg-ngon-cuc-dinh-an-la-ghien-i2930183114.html", "https://www.lazada.vn/products/keo-socola-dua-donaci-bich-1kg-ngon-cuc-dinh-an-la-ghien-i2930183114.html")</f>
        <v>https://www.lazada.vn/products/keo-socola-dua-donaci-bich-1kg-ngon-cuc-dinh-an-la-ghien-i2930183114.html</v>
      </c>
      <c r="C3841" s="10" t="s">
        <v>3841</v>
      </c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8">
        <v>8696.0</v>
      </c>
      <c r="B3842" s="9" t="str">
        <f>HYPERLINK("https://www.lazada.vn/products/bich-30-goi-keo-bi-socola-sac-mau-pham-nguyen-pn-i2930160757.html", "https://www.lazada.vn/products/bich-30-goi-keo-bi-socola-sac-mau-pham-nguyen-pn-i2930160757.html")</f>
        <v>https://www.lazada.vn/products/bich-30-goi-keo-bi-socola-sac-mau-pham-nguyen-pn-i2930160757.html</v>
      </c>
      <c r="C3842" s="10" t="s">
        <v>3842</v>
      </c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8">
        <v>8697.0</v>
      </c>
      <c r="B3843" s="9" t="str">
        <f>HYPERLINK("https://www.lazada.vn/products/ca-phe-sua-good-morning-tran-quang-bich-24-goi-instant-coffee-mix-3-in-1-i2854555700.html", "https://www.lazada.vn/products/ca-phe-sua-good-morning-tran-quang-bich-24-goi-instant-coffee-mix-3-in-1-i2854555700.html")</f>
        <v>https://www.lazada.vn/products/ca-phe-sua-good-morning-tran-quang-bich-24-goi-instant-coffee-mix-3-in-1-i2854555700.html</v>
      </c>
      <c r="C3843" s="10" t="s">
        <v>3843</v>
      </c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8">
        <v>8698.0</v>
      </c>
      <c r="B3844" s="9" t="str">
        <f>HYPERLINK("https://www.lazada.vn/products/combo-10-banh-bong-lan-qua-trung-nhan-kem-pho-mai-nhieu-bieu-cam-xinh-xan-b169-chuyen-si-tpnk-i2663300278.html", "https://www.lazada.vn/products/combo-10-banh-bong-lan-qua-trung-nhan-kem-pho-mai-nhieu-bieu-cam-xinh-xan-b169-chuyen-si-tpnk-i2663300278.html")</f>
        <v>https://www.lazada.vn/products/combo-10-banh-bong-lan-qua-trung-nhan-kem-pho-mai-nhieu-bieu-cam-xinh-xan-b169-chuyen-si-tpnk-i2663300278.html</v>
      </c>
      <c r="C3844" s="10" t="s">
        <v>3844</v>
      </c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8">
        <v>8699.0</v>
      </c>
      <c r="B3845" s="9" t="str">
        <f>HYPERLINK("https://www.lazada.vn/products/combo-banh-trang-phoi-suong-ot-rim-muoi-nhuyen-i2747246709.html", "https://www.lazada.vn/products/combo-banh-trang-phoi-suong-ot-rim-muoi-nhuyen-i2747246709.html")</f>
        <v>https://www.lazada.vn/products/combo-banh-trang-phoi-suong-ot-rim-muoi-nhuyen-i2747246709.html</v>
      </c>
      <c r="C3845" s="10" t="s">
        <v>3845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8">
        <v>8700.0</v>
      </c>
      <c r="B3846" s="9" t="str">
        <f>HYPERLINK("https://www.lazada.vn/products/sake-nhat-ban-kinran-fujismusume-tokubetsu-junmaishu-720ml-i2395163920.html", "https://www.lazada.vn/products/sake-nhat-ban-kinran-fujismusume-tokubetsu-junmaishu-720ml-i2395163920.html")</f>
        <v>https://www.lazada.vn/products/sake-nhat-ban-kinran-fujismusume-tokubetsu-junmaishu-720ml-i2395163920.html</v>
      </c>
      <c r="C3846" s="10" t="s">
        <v>3846</v>
      </c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8">
        <v>8701.0</v>
      </c>
      <c r="B3847" s="9" t="str">
        <f>HYPERLINK("https://www.lazada.vn/products/bia-hb-hofbrau-munchen-helles-lager-nhap-khau-duc-1-thung-24-lon-500ml-i2973241879.html", "https://www.lazada.vn/products/bia-hb-hofbrau-munchen-helles-lager-nhap-khau-duc-1-thung-24-lon-500ml-i2973241879.html")</f>
        <v>https://www.lazada.vn/products/bia-hb-hofbrau-munchen-helles-lager-nhap-khau-duc-1-thung-24-lon-500ml-i2973241879.html</v>
      </c>
      <c r="C3847" s="10" t="s">
        <v>3847</v>
      </c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8">
        <v>8702.0</v>
      </c>
      <c r="B3848" s="9" t="str">
        <f>HYPERLINK("https://www.lazada.vn/products/nuoc-hong-sam-co-cu-kgs-hop-10-chai-i2553885184.html", "https://www.lazada.vn/products/nuoc-hong-sam-co-cu-kgs-hop-10-chai-i2553885184.html")</f>
        <v>https://www.lazada.vn/products/nuoc-hong-sam-co-cu-kgs-hop-10-chai-i2553885184.html</v>
      </c>
      <c r="C3848" s="10" t="s">
        <v>3848</v>
      </c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8">
        <v>8703.0</v>
      </c>
      <c r="B3849" s="9" t="str">
        <f>HYPERLINK("https://www.lazada.vn/products/thung-24-lon-nuoc-ngot-co-gas-welchs-vi-nho-355ml-x-24-lon-cua-my-date-082025-i2514764763.html", "https://www.lazada.vn/products/thung-24-lon-nuoc-ngot-co-gas-welchs-vi-nho-355ml-x-24-lon-cua-my-date-082025-i2514764763.html")</f>
        <v>https://www.lazada.vn/products/thung-24-lon-nuoc-ngot-co-gas-welchs-vi-nho-355ml-x-24-lon-cua-my-date-082025-i2514764763.html</v>
      </c>
      <c r="C3849" s="10" t="s">
        <v>3849</v>
      </c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8">
        <v>8704.0</v>
      </c>
      <c r="B3850" s="9" t="str">
        <f>HYPERLINK("https://www.lazada.vn/products/vang-trang-fabulas-malvasia-750ml-i2280021657.html", "https://www.lazada.vn/products/vang-trang-fabulas-malvasia-750ml-i2280021657.html")</f>
        <v>https://www.lazada.vn/products/vang-trang-fabulas-malvasia-750ml-i2280021657.html</v>
      </c>
      <c r="C3850" s="10" t="s">
        <v>3850</v>
      </c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8">
        <v>8705.0</v>
      </c>
      <c r="B3851" s="9" t="str">
        <f>HYPERLINK("https://www.lazada.vn/products/combo-2-hu-thuc-uong-lua-mach-nestle-milo-nguyen-chat-hu-nhua-400g-i2269756949.html", "https://www.lazada.vn/products/combo-2-hu-thuc-uong-lua-mach-nestle-milo-nguyen-chat-hu-nhua-400g-i2269756949.html")</f>
        <v>https://www.lazada.vn/products/combo-2-hu-thuc-uong-lua-mach-nestle-milo-nguyen-chat-hu-nhua-400g-i2269756949.html</v>
      </c>
      <c r="C3851" s="10" t="s">
        <v>3851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8">
        <v>8706.0</v>
      </c>
      <c r="B3852" s="9" t="str">
        <f>HYPERLINK("https://www.lazada.vn/products/snack-mi-y-ba-anh-em-food-combo-30-goi-do-an-tuoi-tho-i2613952139.html", "https://www.lazada.vn/products/snack-mi-y-ba-anh-em-food-combo-30-goi-do-an-tuoi-tho-i2613952139.html")</f>
        <v>https://www.lazada.vn/products/snack-mi-y-ba-anh-em-food-combo-30-goi-do-an-tuoi-tho-i2613952139.html</v>
      </c>
      <c r="C3852" s="10" t="s">
        <v>3852</v>
      </c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8">
        <v>8707.0</v>
      </c>
      <c r="B3853" s="9" t="str">
        <f>HYPERLINK("https://www.lazada.vn/products/kho-muc-mot-nang-hap-nuoc-dua-xe-soi-loai-ngon-hu-pet-100g-kingfood-the-gioi-do-an-vat-do-an-vat-ha-noi-i1993493221.html", "https://www.lazada.vn/products/kho-muc-mot-nang-hap-nuoc-dua-xe-soi-loai-ngon-hu-pet-100g-kingfood-the-gioi-do-an-vat-do-an-vat-ha-noi-i1993493221.html")</f>
        <v>https://www.lazada.vn/products/kho-muc-mot-nang-hap-nuoc-dua-xe-soi-loai-ngon-hu-pet-100g-kingfood-the-gioi-do-an-vat-do-an-vat-ha-noi-i1993493221.html</v>
      </c>
      <c r="C3853" s="10" t="s">
        <v>3853</v>
      </c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8">
        <v>8708.0</v>
      </c>
      <c r="B3854" s="9" t="str">
        <f>HYPERLINK("https://www.lazada.vn/products/vang-da-lat-export-do-i2647769061.html", "https://www.lazada.vn/products/vang-da-lat-export-do-i2647769061.html")</f>
        <v>https://www.lazada.vn/products/vang-da-lat-export-do-i2647769061.html</v>
      </c>
      <c r="C3854" s="10" t="s">
        <v>3854</v>
      </c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8">
        <v>8709.0</v>
      </c>
      <c r="B3855" s="9" t="str">
        <f>HYPERLINK("https://www.lazada.vn/products/vang-no-y-casa-burti-spumante-brut-i2647737468.html", "https://www.lazada.vn/products/vang-no-y-casa-burti-spumante-brut-i2647737468.html")</f>
        <v>https://www.lazada.vn/products/vang-no-y-casa-burti-spumante-brut-i2647737468.html</v>
      </c>
      <c r="C3855" s="10" t="s">
        <v>3855</v>
      </c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8">
        <v>8710.0</v>
      </c>
      <c r="B3856" s="9" t="str">
        <f>HYPERLINK("https://www.lazada.vn/products/keo-sap-ong-mini-size-trai-cay-du-vi-an-vat-492-i2770773383.html", "https://www.lazada.vn/products/keo-sap-ong-mini-size-trai-cay-du-vi-an-vat-492-i2770773383.html")</f>
        <v>https://www.lazada.vn/products/keo-sap-ong-mini-size-trai-cay-du-vi-an-vat-492-i2770773383.html</v>
      </c>
      <c r="C3856" s="10" t="s">
        <v>3856</v>
      </c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8">
        <v>8711.0</v>
      </c>
      <c r="B3857" s="9" t="str">
        <f>HYPERLINK("https://www.lazada.vn/products/strawberry-dried-freeze-50g-whole-montrey-strawberry-snack-no-dry-agent-bagged-frozen-fruit-dryer-i2923781373.html", "https://www.lazada.vn/products/strawberry-dried-freeze-50g-whole-montrey-strawberry-snack-no-dry-agent-bagged-frozen-fruit-dryer-i2923781373.html")</f>
        <v>https://www.lazada.vn/products/strawberry-dried-freeze-50g-whole-montrey-strawberry-snack-no-dry-agent-bagged-frozen-fruit-dryer-i2923781373.html</v>
      </c>
      <c r="C3857" s="10" t="s">
        <v>3857</v>
      </c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8">
        <v>8712.0</v>
      </c>
      <c r="B3858" s="9" t="str">
        <f>HYPERLINK("https://www.lazada.vn/products/bia-east-west-summer-hefe-weizen-59-lon-330ml-thung-12-lon-i2289478846.html", "https://www.lazada.vn/products/bia-east-west-summer-hefe-weizen-59-lon-330ml-thung-12-lon-i2289478846.html")</f>
        <v>https://www.lazada.vn/products/bia-east-west-summer-hefe-weizen-59-lon-330ml-thung-12-lon-i2289478846.html</v>
      </c>
      <c r="C3858" s="10" t="s">
        <v>3858</v>
      </c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8">
        <v>8713.0</v>
      </c>
      <c r="B3859" s="9" t="str">
        <f>HYPERLINK("https://www.lazada.vn/products/500gram-hat-tron-danh-cho-lovebird-linnie-parrotlet-i3039102098.html", "https://www.lazada.vn/products/500gram-hat-tron-danh-cho-lovebird-linnie-parrotlet-i3039102098.html")</f>
        <v>https://www.lazada.vn/products/500gram-hat-tron-danh-cho-lovebird-linnie-parrotlet-i3039102098.html</v>
      </c>
      <c r="C3859" s="10" t="s">
        <v>3859</v>
      </c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8">
        <v>8714.0</v>
      </c>
      <c r="B3860" s="9" t="str">
        <f>HYPERLINK("https://www.lazada.vn/products/banh-quy-man-hinh-tron-i1835764548.html", "https://www.lazada.vn/products/banh-quy-man-hinh-tron-i1835764548.html")</f>
        <v>https://www.lazada.vn/products/banh-quy-man-hinh-tron-i1835764548.html</v>
      </c>
      <c r="C3860" s="10" t="s">
        <v>3860</v>
      </c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8">
        <v>8715.0</v>
      </c>
      <c r="B3861" s="9" t="str">
        <f>HYPERLINK("https://www.lazada.vn/products/socola-mix-trai-cay-socola-nama-socola-tuoi-hop-408gr-tren-28-do-scl-bi-tan-chay-khach-hang-luu-y-i2930121649.html", "https://www.lazada.vn/products/socola-mix-trai-cay-socola-nama-socola-tuoi-hop-408gr-tren-28-do-scl-bi-tan-chay-khach-hang-luu-y-i2930121649.html")</f>
        <v>https://www.lazada.vn/products/socola-mix-trai-cay-socola-nama-socola-tuoi-hop-408gr-tren-28-do-scl-bi-tan-chay-khach-hang-luu-y-i2930121649.html</v>
      </c>
      <c r="C3861" s="10" t="s">
        <v>3861</v>
      </c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8">
        <v>8716.0</v>
      </c>
      <c r="B3862" s="9" t="str">
        <f>HYPERLINK("https://www.lazada.vn/products/combo-5-banh-bong-lan-qua-trung-nhan-kem-pho-mai-nhieu-bieu-cam-xinh-xan-b169-beegin-food-i2663295341.html", "https://www.lazada.vn/products/combo-5-banh-bong-lan-qua-trung-nhan-kem-pho-mai-nhieu-bieu-cam-xinh-xan-b169-beegin-food-i2663295341.html")</f>
        <v>https://www.lazada.vn/products/combo-5-banh-bong-lan-qua-trung-nhan-kem-pho-mai-nhieu-bieu-cam-xinh-xan-b169-beegin-food-i2663295341.html</v>
      </c>
      <c r="C3862" s="10" t="s">
        <v>3862</v>
      </c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8">
        <v>8717.0</v>
      </c>
      <c r="B3863" s="9" t="str">
        <f>HYPERLINK("https://www.lazada.vn/products/ca-phe-robusta-honey-rang-moc-i2810784780.html", "https://www.lazada.vn/products/ca-phe-robusta-honey-rang-moc-i2810784780.html")</f>
        <v>https://www.lazada.vn/products/ca-phe-robusta-honey-rang-moc-i2810784780.html</v>
      </c>
      <c r="C3863" s="10" t="s">
        <v>3863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8">
        <v>8718.0</v>
      </c>
      <c r="B3864" s="9" t="str">
        <f>HYPERLINK("https://www.lazada.vn/products/buon-si-recombo-3-cay-banh-in-220gr-dua-nondau-xanh-mem-deo-re-i2746240604.html", "https://www.lazada.vn/products/buon-si-recombo-3-cay-banh-in-220gr-dua-nondau-xanh-mem-deo-re-i2746240604.html")</f>
        <v>https://www.lazada.vn/products/buon-si-recombo-3-cay-banh-in-220gr-dua-nondau-xanh-mem-deo-re-i2746240604.html</v>
      </c>
      <c r="C3864" s="10" t="s">
        <v>3864</v>
      </c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8">
        <v>8719.0</v>
      </c>
      <c r="B3865" s="9" t="str">
        <f>HYPERLINK("https://www.lazada.vn/products/ruou-sake-nhat-hokushika-kitaakita-nigorizake-i2392386547.html", "https://www.lazada.vn/products/ruou-sake-nhat-hokushika-kitaakita-nigorizake-i2392386547.html")</f>
        <v>https://www.lazada.vn/products/ruou-sake-nhat-hokushika-kitaakita-nigorizake-i2392386547.html</v>
      </c>
      <c r="C3865" s="10" t="s">
        <v>3865</v>
      </c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8">
        <v>8720.0</v>
      </c>
      <c r="B3866" s="9" t="str">
        <f>HYPERLINK("https://www.lazada.vn/products/loc-6-lon-bia-sapporo-goku-zero-khong-calo-0-carbohydrate-0-purin-350ml-hang-noi-dia-nhat-100-i2972329437.html", "https://www.lazada.vn/products/loc-6-lon-bia-sapporo-goku-zero-khong-calo-0-carbohydrate-0-purin-350ml-hang-noi-dia-nhat-100-i2972329437.html")</f>
        <v>https://www.lazada.vn/products/loc-6-lon-bia-sapporo-goku-zero-khong-calo-0-carbohydrate-0-purin-350ml-hang-noi-dia-nhat-100-i2972329437.html</v>
      </c>
      <c r="C3866" s="10" t="s">
        <v>3866</v>
      </c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8">
        <v>8721.0</v>
      </c>
      <c r="B3867" s="9" t="str">
        <f>HYPERLINK("https://www.lazada.vn/products/1-thung-nuoc-tang-luc-sting-huong-dau-320ml-thung-24-lon-i2545355475.html", "https://www.lazada.vn/products/1-thung-nuoc-tang-luc-sting-huong-dau-320ml-thung-24-lon-i2545355475.html")</f>
        <v>https://www.lazada.vn/products/1-thung-nuoc-tang-luc-sting-huong-dau-320ml-thung-24-lon-i2545355475.html</v>
      </c>
      <c r="C3867" s="10" t="s">
        <v>3867</v>
      </c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8">
        <v>8722.0</v>
      </c>
      <c r="B3868" s="9" t="str">
        <f>HYPERLINK("https://www.lazada.vn/products/hcm-san-hang-coca-nhat-lon-mini-160ml-thung-30-lon-i2511491848.html", "https://www.lazada.vn/products/hcm-san-hang-coca-nhat-lon-mini-160ml-thung-30-lon-i2511491848.html")</f>
        <v>https://www.lazada.vn/products/hcm-san-hang-coca-nhat-lon-mini-160ml-thung-30-lon-i2511491848.html</v>
      </c>
      <c r="C3868" s="10" t="s">
        <v>3868</v>
      </c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8">
        <v>8723.0</v>
      </c>
      <c r="B3869" s="9" t="str">
        <f>HYPERLINK("https://www.lazada.vn/products/vang-do-chateau-pied-dargent-pays-doc-i2280021530.html", "https://www.lazada.vn/products/vang-do-chateau-pied-dargent-pays-doc-i2280021530.html")</f>
        <v>https://www.lazada.vn/products/vang-do-chateau-pied-dargent-pays-doc-i2280021530.html</v>
      </c>
      <c r="C3869" s="10" t="s">
        <v>3869</v>
      </c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8">
        <v>8724.0</v>
      </c>
      <c r="B3870" s="9" t="str">
        <f>HYPERLINK("https://www.lazada.vn/products/hang-uc-bot-socola-vi-bac-ha-jarrah-mint-hot-choc-powder-hop-10-goi-i2242043800.html", "https://www.lazada.vn/products/hang-uc-bot-socola-vi-bac-ha-jarrah-mint-hot-choc-powder-hop-10-goi-i2242043800.html")</f>
        <v>https://www.lazada.vn/products/hang-uc-bot-socola-vi-bac-ha-jarrah-mint-hot-choc-powder-hop-10-goi-i2242043800.html</v>
      </c>
      <c r="C3870" s="10" t="s">
        <v>3870</v>
      </c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8">
        <v>8725.0</v>
      </c>
      <c r="B3871" s="9" t="str">
        <f>HYPERLINK("https://www.lazada.vn/products/banh-trang-chuoi-cot-dua-nuong-dac-san-da-lat-set-5-cai-i2613736029.html", "https://www.lazada.vn/products/banh-trang-chuoi-cot-dua-nuong-dac-san-da-lat-set-5-cai-i2613736029.html")</f>
        <v>https://www.lazada.vn/products/banh-trang-chuoi-cot-dua-nuong-dac-san-da-lat-set-5-cai-i2613736029.html</v>
      </c>
      <c r="C3871" s="10" t="s">
        <v>3871</v>
      </c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8">
        <v>8726.0</v>
      </c>
      <c r="B3872" s="9" t="str">
        <f>HYPERLINK("https://www.lazada.vn/products/kho-muc-mot-nang-hap-nuoc-dua-xe-soi-loai-ngon-hu-pet-500g-kingfood-the-gioi-do-an-vat-do-an-vat-ha-noi-i1993460403.html", "https://www.lazada.vn/products/kho-muc-mot-nang-hap-nuoc-dua-xe-soi-loai-ngon-hu-pet-500g-kingfood-the-gioi-do-an-vat-do-an-vat-ha-noi-i1993460403.html")</f>
        <v>https://www.lazada.vn/products/kho-muc-mot-nang-hap-nuoc-dua-xe-soi-loai-ngon-hu-pet-500g-kingfood-the-gioi-do-an-vat-do-an-vat-ha-noi-i1993460403.html</v>
      </c>
      <c r="C3872" s="10" t="s">
        <v>3872</v>
      </c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8">
        <v>8727.0</v>
      </c>
      <c r="B3873" s="9" t="str">
        <f>HYPERLINK("https://www.lazada.vn/products/vang-tay-ban-nha-perdo-garcia-i2647737274.html", "https://www.lazada.vn/products/vang-tay-ban-nha-perdo-garcia-i2647737274.html")</f>
        <v>https://www.lazada.vn/products/vang-tay-ban-nha-perdo-garcia-i2647737274.html</v>
      </c>
      <c r="C3873" s="10" t="s">
        <v>3873</v>
      </c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8">
        <v>8728.0</v>
      </c>
      <c r="B3874" s="9" t="str">
        <f>HYPERLINK("https://www.lazada.vn/products/strawberry-crisp-dried-fruit-baking-snowflake-snack-yogurt-block-caramel-sugar-ingredient-dried-fruit-leisure-small-snacks-i2923779889.html", "https://www.lazada.vn/products/strawberry-crisp-dried-fruit-baking-snowflake-snack-yogurt-block-caramel-sugar-ingredient-dried-fruit-leisure-small-snacks-i2923779889.html")</f>
        <v>https://www.lazada.vn/products/strawberry-crisp-dried-fruit-baking-snowflake-snack-yogurt-block-caramel-sugar-ingredient-dried-fruit-leisure-small-snacks-i2923779889.html</v>
      </c>
      <c r="C3874" s="10" t="s">
        <v>3874</v>
      </c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8">
        <v>8729.0</v>
      </c>
      <c r="B3875" s="9" t="str">
        <f>HYPERLINK("https://www.lazada.vn/products/keo-sap-ong-trai-cay-du-vi-an-vat-492-i2770768358.html", "https://www.lazada.vn/products/keo-sap-ong-trai-cay-du-vi-an-vat-492-i2770768358.html")</f>
        <v>https://www.lazada.vn/products/keo-sap-ong-trai-cay-du-vi-an-vat-492-i2770768358.html</v>
      </c>
      <c r="C3875" s="10" t="s">
        <v>3875</v>
      </c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8">
        <v>8730.0</v>
      </c>
      <c r="B3876" s="9" t="str">
        <f>HYPERLINK("https://www.lazada.vn/products/sake-nhat-ban-kimoto-junmai-ginjo-maruto-720ml-165-i2390589290.html", "https://www.lazada.vn/products/sake-nhat-ban-kimoto-junmai-ginjo-maruto-720ml-165-i2390589290.html")</f>
        <v>https://www.lazada.vn/products/sake-nhat-ban-kimoto-junmai-ginjo-maruto-720ml-165-i2390589290.html</v>
      </c>
      <c r="C3876" s="10" t="s">
        <v>3876</v>
      </c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8">
        <v>8731.0</v>
      </c>
      <c r="B3877" s="9" t="str">
        <f>HYPERLINK("https://www.lazada.vn/products/set-bia-ken-qua-tang-2025-hinh-ngoi-sao-set-bia-ken-qua-tang-2025-i2971507212.html", "https://www.lazada.vn/products/set-bia-ken-qua-tang-2025-hinh-ngoi-sao-set-bia-ken-qua-tang-2025-i2971507212.html")</f>
        <v>https://www.lazada.vn/products/set-bia-ken-qua-tang-2025-hinh-ngoi-sao-set-bia-ken-qua-tang-2025-i2971507212.html</v>
      </c>
      <c r="C3877" s="10" t="s">
        <v>3877</v>
      </c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8">
        <v>8732.0</v>
      </c>
      <c r="B3878" s="9" t="str">
        <f>HYPERLINK("https://www.lazada.vn/products/nuoc-gao-makgeolli-han-quoc-cac-vi-i1993387042.html", "https://www.lazada.vn/products/nuoc-gao-makgeolli-han-quoc-cac-vi-i1993387042.html")</f>
        <v>https://www.lazada.vn/products/nuoc-gao-makgeolli-han-quoc-cac-vi-i1993387042.html</v>
      </c>
      <c r="C3878" s="10" t="s">
        <v>3878</v>
      </c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8">
        <v>8733.0</v>
      </c>
      <c r="B3879" s="9" t="str">
        <f>HYPERLINK("https://www.lazada.vn/products/gia-tot-500gram-hat-lang-ga-lang-tron-size-trung-danh-cho-chimvet-va-thu-cung-i3039094167.html", "https://www.lazada.vn/products/gia-tot-500gram-hat-lang-ga-lang-tron-size-trung-danh-cho-chimvet-va-thu-cung-i3039094167.html")</f>
        <v>https://www.lazada.vn/products/gia-tot-500gram-hat-lang-ga-lang-tron-size-trung-danh-cho-chimvet-va-thu-cung-i3039094167.html</v>
      </c>
      <c r="C3879" s="10" t="s">
        <v>3879</v>
      </c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8">
        <v>8734.0</v>
      </c>
      <c r="B3880" s="9" t="str">
        <f>HYPERLINK("https://www.lazada.vn/products/arabica-indonesia-gayo-semi-washed-g1-stupiducks-specialty-coffee-i2707902585.html", "https://www.lazada.vn/products/arabica-indonesia-gayo-semi-washed-g1-stupiducks-specialty-coffee-i2707902585.html")</f>
        <v>https://www.lazada.vn/products/arabica-indonesia-gayo-semi-washed-g1-stupiducks-specialty-coffee-i2707902585.html</v>
      </c>
      <c r="C3880" s="10" t="s">
        <v>3880</v>
      </c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8">
        <v>8735.0</v>
      </c>
      <c r="B3881" s="9" t="str">
        <f>HYPERLINK("https://www.lazada.vn/products/socola-dua-donaci-bich-1kg-ngon-cuc-dinh-an-la-ghien-i2929886879.html", "https://www.lazada.vn/products/socola-dua-donaci-bich-1kg-ngon-cuc-dinh-an-la-ghien-i2929886879.html")</f>
        <v>https://www.lazada.vn/products/socola-dua-donaci-bich-1kg-ngon-cuc-dinh-an-la-ghien-i2929886879.html</v>
      </c>
      <c r="C3881" s="10" t="s">
        <v>3881</v>
      </c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8">
        <v>8736.0</v>
      </c>
      <c r="B3882" s="9" t="str">
        <f>HYPERLINK("https://www.lazada.vn/products/combo-10-banh-bong-lan-qua-trung-nhan-kem-pho-mai-nhieu-bieu-cam-xinh-xan-b169-an-vat-beegin-i2663257751.html", "https://www.lazada.vn/products/combo-10-banh-bong-lan-qua-trung-nhan-kem-pho-mai-nhieu-bieu-cam-xinh-xan-b169-an-vat-beegin-i2663257751.html")</f>
        <v>https://www.lazada.vn/products/combo-10-banh-bong-lan-qua-trung-nhan-kem-pho-mai-nhieu-bieu-cam-xinh-xan-b169-an-vat-beegin-i2663257751.html</v>
      </c>
      <c r="C3882" s="10" t="s">
        <v>3882</v>
      </c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8">
        <v>8737.0</v>
      </c>
      <c r="B3883" s="9" t="str">
        <f>HYPERLINK("https://www.lazada.vn/products/combo-5-tui-banh-trang-phoi-suong-cham-me-bo-dac-san-tay-ninh-do-an-vat-rat-ngon-i2613221943.html", "https://www.lazada.vn/products/combo-5-tui-banh-trang-phoi-suong-cham-me-bo-dac-san-tay-ninh-do-an-vat-rat-ngon-i2613221943.html")</f>
        <v>https://www.lazada.vn/products/combo-5-tui-banh-trang-phoi-suong-cham-me-bo-dac-san-tay-ninh-do-an-vat-rat-ngon-i2613221943.html</v>
      </c>
      <c r="C3883" s="10" t="s">
        <v>3883</v>
      </c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8">
        <v>8738.0</v>
      </c>
      <c r="B3884" s="9" t="str">
        <f>HYPERLINK("https://www.lazada.vn/products/bia-east-west-pacific-5-lon-330ml-thung-12-lon-i2289436529.html", "https://www.lazada.vn/products/bia-east-west-pacific-5-lon-330ml-thung-12-lon-i2289436529.html")</f>
        <v>https://www.lazada.vn/products/bia-east-west-pacific-5-lon-330ml-thung-12-lon-i2289436529.html</v>
      </c>
      <c r="C3884" s="10" t="s">
        <v>3884</v>
      </c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8">
        <v>8739.0</v>
      </c>
      <c r="B3885" s="9" t="str">
        <f>HYPERLINK("https://www.lazada.vn/products/vang-memory-da-lat-750ml-i2647712767.html", "https://www.lazada.vn/products/vang-memory-da-lat-750ml-i2647712767.html")</f>
        <v>https://www.lazada.vn/products/vang-memory-da-lat-750ml-i2647712767.html</v>
      </c>
      <c r="C3885" s="10" t="s">
        <v>3885</v>
      </c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8">
        <v>8740.0</v>
      </c>
      <c r="B3886" s="9" t="str">
        <f>HYPERLINK("https://www.lazada.vn/products/24-lon-coca-cola-235ml-i2507487530.html", "https://www.lazada.vn/products/24-lon-coca-cola-235ml-i2507487530.html")</f>
        <v>https://www.lazada.vn/products/24-lon-coca-cola-235ml-i2507487530.html</v>
      </c>
      <c r="C3886" s="10" t="s">
        <v>3886</v>
      </c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8">
        <v>8741.0</v>
      </c>
      <c r="B3887" s="9" t="str">
        <f>HYPERLINK("https://www.lazada.vn/products/loc-6-lon-bo-huc-thai-lipovitan-i2545348434.html", "https://www.lazada.vn/products/loc-6-lon-bo-huc-thai-lipovitan-i2545348434.html")</f>
        <v>https://www.lazada.vn/products/loc-6-lon-bo-huc-thai-lipovitan-i2545348434.html</v>
      </c>
      <c r="C3887" s="10" t="s">
        <v>3887</v>
      </c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8">
        <v>8742.0</v>
      </c>
      <c r="B3888" s="9" t="str">
        <f>HYPERLINK("https://www.lazada.vn/products/vang-do-chateau-haut-rigaleau-bordeaux-super-bio-750ml-i2279888355.html", "https://www.lazada.vn/products/vang-do-chateau-haut-rigaleau-bordeaux-super-bio-750ml-i2279888355.html")</f>
        <v>https://www.lazada.vn/products/vang-do-chateau-haut-rigaleau-bordeaux-super-bio-750ml-i2279888355.html</v>
      </c>
      <c r="C3888" s="10" t="s">
        <v>3888</v>
      </c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8">
        <v>8743.0</v>
      </c>
      <c r="B3889" s="9" t="str">
        <f>HYPERLINK("https://www.lazada.vn/products/bot-ca-cao-nguyen-chat-mang-den-250gr-dac-san-the-mang-den-kon-tum-i2239626103.html", "https://www.lazada.vn/products/bot-ca-cao-nguyen-chat-mang-den-250gr-dac-san-the-mang-den-kon-tum-i2239626103.html")</f>
        <v>https://www.lazada.vn/products/bot-ca-cao-nguyen-chat-mang-den-250gr-dac-san-the-mang-den-kon-tum-i2239626103.html</v>
      </c>
      <c r="C3889" s="10" t="s">
        <v>3889</v>
      </c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8">
        <v>8744.0</v>
      </c>
      <c r="B3890" s="9" t="str">
        <f>HYPERLINK("https://www.lazada.vn/products/banh-que-dui-ga-cay-lon-goi-110g-hot-and-spicy-i1828559948.html", "https://www.lazada.vn/products/banh-que-dui-ga-cay-lon-goi-110g-hot-and-spicy-i1828559948.html")</f>
        <v>https://www.lazada.vn/products/banh-que-dui-ga-cay-lon-goi-110g-hot-and-spicy-i1828559948.html</v>
      </c>
      <c r="C3890" s="10" t="s">
        <v>3890</v>
      </c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8">
        <v>8745.0</v>
      </c>
      <c r="B3891" s="9" t="str">
        <f>HYPERLINK("https://www.lazada.vn/products/keo-mut-phat-nhac-gau-dau-keo-mut-lollipop-phat-nhac-xinh-xan-de-thuong-hot-trend-an-vat-492-i2770693650.html", "https://www.lazada.vn/products/keo-mut-phat-nhac-gau-dau-keo-mut-lollipop-phat-nhac-xinh-xan-de-thuong-hot-trend-an-vat-492-i2770693650.html")</f>
        <v>https://www.lazada.vn/products/keo-mut-phat-nhac-gau-dau-keo-mut-lollipop-phat-nhac-xinh-xan-de-thuong-hot-trend-an-vat-492-i2770693650.html</v>
      </c>
      <c r="C3891" s="10" t="s">
        <v>3891</v>
      </c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8">
        <v>8746.0</v>
      </c>
      <c r="B3892" s="9" t="str">
        <f>HYPERLINK("https://www.lazada.vn/products/snack-dried-fruit-luyan-honey-sugar-heart-crisp-dried-winter-jujube-crispy-15g-x-10-packs-small-packaged-dry-fruits-i2923779606.html", "https://www.lazada.vn/products/snack-dried-fruit-luyan-honey-sugar-heart-crisp-dried-winter-jujube-crispy-15g-x-10-packs-small-packaged-dry-fruits-i2923779606.html")</f>
        <v>https://www.lazada.vn/products/snack-dried-fruit-luyan-honey-sugar-heart-crisp-dried-winter-jujube-crispy-15g-x-10-packs-small-packaged-dry-fruits-i2923779606.html</v>
      </c>
      <c r="C3892" s="10" t="s">
        <v>3892</v>
      </c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8">
        <v>8747.0</v>
      </c>
      <c r="B3893" s="9" t="str">
        <f>HYPERLINK("https://www.lazada.vn/products/sake-nhat-ban-tokubetsu-junmai-kasaichiyou-chai-720ml-i2390508607.html", "https://www.lazada.vn/products/sake-nhat-ban-tokubetsu-junmai-kasaichiyou-chai-720ml-i2390508607.html")</f>
        <v>https://www.lazada.vn/products/sake-nhat-ban-tokubetsu-junmai-kasaichiyou-chai-720ml-i2390508607.html</v>
      </c>
      <c r="C3893" s="10" t="s">
        <v>3893</v>
      </c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8">
        <v>8748.0</v>
      </c>
      <c r="B3894" s="9" t="str">
        <f>HYPERLINK("https://www.lazada.vn/products/ca-dua-nuoi-1-nang-nguyen-con-tui-1kg-giao-hcm-i3038889172.html", "https://www.lazada.vn/products/ca-dua-nuoi-1-nang-nguyen-con-tui-1kg-giao-hcm-i3038889172.html")</f>
        <v>https://www.lazada.vn/products/ca-dua-nuoi-1-nang-nguyen-con-tui-1kg-giao-hcm-i3038889172.html</v>
      </c>
      <c r="C3894" s="10" t="s">
        <v>3894</v>
      </c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8">
        <v>8749.0</v>
      </c>
      <c r="B3895" s="9" t="str">
        <f>HYPERLINK("https://www.lazada.vn/products/thung-vang-memory-da-lat-12-chai-i2647687412.html", "https://www.lazada.vn/products/thung-vang-memory-da-lat-12-chai-i2647687412.html")</f>
        <v>https://www.lazada.vn/products/thung-vang-memory-da-lat-12-chai-i2647687412.html</v>
      </c>
      <c r="C3895" s="10" t="s">
        <v>3895</v>
      </c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8">
        <v>8750.0</v>
      </c>
      <c r="B3896" s="9" t="str">
        <f>HYPERLINK("https://www.lazada.vn/products/vang-trang-mchapoutier-cotes-du-rhone-750ml-i2279887879.html", "https://www.lazada.vn/products/vang-trang-mchapoutier-cotes-du-rhone-750ml-i2279887879.html")</f>
        <v>https://www.lazada.vn/products/vang-trang-mchapoutier-cotes-du-rhone-750ml-i2279887879.html</v>
      </c>
      <c r="C3896" s="10" t="s">
        <v>3896</v>
      </c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8">
        <v>8751.0</v>
      </c>
      <c r="B3897" s="9" t="str">
        <f>HYPERLINK("https://www.lazada.vn/products/banh-que-cong-mix-goi-50g-thai-lan-i1822460541.html", "https://www.lazada.vn/products/banh-que-cong-mix-goi-50g-thai-lan-i1822460541.html")</f>
        <v>https://www.lazada.vn/products/banh-que-cong-mix-goi-50g-thai-lan-i1822460541.html</v>
      </c>
      <c r="C3897" s="10" t="s">
        <v>3897</v>
      </c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8">
        <v>8752.0</v>
      </c>
      <c r="B3898" s="9" t="str">
        <f>HYPERLINK("https://www.lazada.vn/products/ca-phe-nguyen-chat-100-rang-moc-milano-coffee-loai-1-kg-i2707873175.html", "https://www.lazada.vn/products/ca-phe-nguyen-chat-100-rang-moc-milano-coffee-loai-1-kg-i2707873175.html")</f>
        <v>https://www.lazada.vn/products/ca-phe-nguyen-chat-100-rang-moc-milano-coffee-loai-1-kg-i2707873175.html</v>
      </c>
      <c r="C3898" s="10" t="s">
        <v>3898</v>
      </c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8">
        <v>8753.0</v>
      </c>
      <c r="B3899" s="9" t="str">
        <f>HYPERLINK("https://www.lazada.vn/products/combo-10-tui-banh-trang-xi-ke-muoi-nhuyen-toi-phi-dac-san-tay-ninh-sieu-ngon-moi-tui-30gr-do-an-vat-lets-nuts-i2609956502.html", "https://www.lazada.vn/products/combo-10-tui-banh-trang-xi-ke-muoi-nhuyen-toi-phi-dac-san-tay-ninh-sieu-ngon-moi-tui-30gr-do-an-vat-lets-nuts-i2609956502.html")</f>
        <v>https://www.lazada.vn/products/combo-10-tui-banh-trang-xi-ke-muoi-nhuyen-toi-phi-dac-san-tay-ninh-sieu-ngon-moi-tui-30gr-do-an-vat-lets-nuts-i2609956502.html</v>
      </c>
      <c r="C3899" s="10" t="s">
        <v>3899</v>
      </c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8">
        <v>8754.0</v>
      </c>
      <c r="B3900" s="9" t="str">
        <f>HYPERLINK("https://www.lazada.vn/products/bia-thu-cong-east-west-pale-ale-chai-330ml-i2281441561.html", "https://www.lazada.vn/products/bia-thu-cong-east-west-pale-ale-chai-330ml-i2281441561.html")</f>
        <v>https://www.lazada.vn/products/bia-thu-cong-east-west-pale-ale-chai-330ml-i2281441561.html</v>
      </c>
      <c r="C3900" s="10" t="s">
        <v>3900</v>
      </c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8">
        <v>8755.0</v>
      </c>
      <c r="B3901" s="9" t="str">
        <f>HYPERLINK("https://www.lazada.vn/products/nims-so-co-la-gion-tan-chay-mini-coco-crunch-ly-250gram-i2929646115.html", "https://www.lazada.vn/products/nims-so-co-la-gion-tan-chay-mini-coco-crunch-ly-250gram-i2929646115.html")</f>
        <v>https://www.lazada.vn/products/nims-so-co-la-gion-tan-chay-mini-coco-crunch-ly-250gram-i2929646115.html</v>
      </c>
      <c r="C3901" s="10" t="s">
        <v>3901</v>
      </c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8">
        <v>8756.0</v>
      </c>
      <c r="B3902" s="9" t="str">
        <f>HYPERLINK("https://www.lazada.vn/products/combo-5-banh-bong-lan-qua-trung-nhan-kem-pho-mai-nhieu-bieu-cam-xinh-xan-b169-chuyen-si-tpnk-i2663247826.html", "https://www.lazada.vn/products/combo-5-banh-bong-lan-qua-trung-nhan-kem-pho-mai-nhieu-bieu-cam-xinh-xan-b169-chuyen-si-tpnk-i2663247826.html")</f>
        <v>https://www.lazada.vn/products/combo-5-banh-bong-lan-qua-trung-nhan-kem-pho-mai-nhieu-bieu-cam-xinh-xan-b169-chuyen-si-tpnk-i2663247826.html</v>
      </c>
      <c r="C3902" s="10" t="s">
        <v>3902</v>
      </c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8">
        <v>8757.0</v>
      </c>
      <c r="B3903" s="9" t="str">
        <f>HYPERLINK("https://www.lazada.vn/products/nuoc-ngot-fanta-nhat-ban-nuoc-giai-khat-i2504263807.html", "https://www.lazada.vn/products/nuoc-ngot-fanta-nhat-ban-nuoc-giai-khat-i2504263807.html")</f>
        <v>https://www.lazada.vn/products/nuoc-ngot-fanta-nhat-ban-nuoc-giai-khat-i2504263807.html</v>
      </c>
      <c r="C3903" s="10" t="s">
        <v>3903</v>
      </c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8">
        <v>8758.0</v>
      </c>
      <c r="B3904" s="9" t="str">
        <f>HYPERLINK("https://www.lazada.vn/products/set-bia-ken-qua-tang-2025-set-bia-ken-qua-tet-2025-i2971501189.html", "https://www.lazada.vn/products/set-bia-ken-qua-tang-2025-set-bia-ken-qua-tet-2025-i2971501189.html")</f>
        <v>https://www.lazada.vn/products/set-bia-ken-qua-tang-2025-set-bia-ken-qua-tet-2025-i2971501189.html</v>
      </c>
      <c r="C3904" s="10" t="s">
        <v>3904</v>
      </c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8">
        <v>8759.0</v>
      </c>
      <c r="B3905" s="9" t="str">
        <f>HYPERLINK("https://www.lazada.vn/products/nuoc-tang-luc-wake-up-247-ca-phe-330ml-i2545347767.html", "https://www.lazada.vn/products/nuoc-tang-luc-wake-up-247-ca-phe-330ml-i2545347767.html")</f>
        <v>https://www.lazada.vn/products/nuoc-tang-luc-wake-up-247-ca-phe-330ml-i2545347767.html</v>
      </c>
      <c r="C3905" s="10" t="s">
        <v>3905</v>
      </c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8">
        <v>8760.0</v>
      </c>
      <c r="B3906" s="9" t="str">
        <f>HYPERLINK("https://www.lazada.vn/products/bot-ca-cao-my-nesttle-nestquik-huong-vi-chocolate-1275kg-i2236906952.html", "https://www.lazada.vn/products/bot-ca-cao-my-nesttle-nestquik-huong-vi-chocolate-1275kg-i2236906952.html")</f>
        <v>https://www.lazada.vn/products/bot-ca-cao-my-nesttle-nestquik-huong-vi-chocolate-1275kg-i2236906952.html</v>
      </c>
      <c r="C3906" s="10" t="s">
        <v>3906</v>
      </c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8">
        <v>8761.0</v>
      </c>
      <c r="B3907" s="9" t="str">
        <f>HYPERLINK("https://www.lazada.vn/products/sake-nhat-ban-yamahai-junmai-muroka-genshu720ml-i2364408404.html", "https://www.lazada.vn/products/sake-nhat-ban-yamahai-junmai-muroka-genshu720ml-i2364408404.html")</f>
        <v>https://www.lazada.vn/products/sake-nhat-ban-yamahai-junmai-muroka-genshu720ml-i2364408404.html</v>
      </c>
      <c r="C3907" s="10" t="s">
        <v>3907</v>
      </c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8">
        <v>8762.0</v>
      </c>
      <c r="B3908" s="9" t="str">
        <f>HYPERLINK("https://www.lazada.vn/products/strawberry-dried-freeze-dried-baking-raw-materials-small-packaging-snowflake-caramel-sugar-special-use-crisp-fruit-snacks-i2923778306.html", "https://www.lazada.vn/products/strawberry-dried-freeze-dried-baking-raw-materials-small-packaging-snowflake-caramel-sugar-special-use-crisp-fruit-snacks-i2923778306.html")</f>
        <v>https://www.lazada.vn/products/strawberry-dried-freeze-dried-baking-raw-materials-small-packaging-snowflake-caramel-sugar-special-use-crisp-fruit-snacks-i2923778306.html</v>
      </c>
      <c r="C3908" s="10" t="s">
        <v>3908</v>
      </c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8">
        <v>8763.0</v>
      </c>
      <c r="B3909" s="9" t="str">
        <f>HYPERLINK("https://www.lazada.vn/products/set-bia-ken-qua-tang-tet-2025-set-bia-ken-tang-tet-i2971501097.html", "https://www.lazada.vn/products/set-bia-ken-qua-tang-tet-2025-set-bia-ken-tang-tet-i2971501097.html")</f>
        <v>https://www.lazada.vn/products/set-bia-ken-qua-tang-tet-2025-set-bia-ken-tang-tet-i2971501097.html</v>
      </c>
      <c r="C3909" s="10" t="s">
        <v>3909</v>
      </c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8">
        <v>8764.0</v>
      </c>
      <c r="B3910" s="9" t="str">
        <f>HYPERLINK("https://www.lazada.vn/products/10-vien-keo-sap-ong-trai-cay-du-vi-an-vat-492-i2770688580.html", "https://www.lazada.vn/products/10-vien-keo-sap-ong-trai-cay-du-vi-an-vat-492-i2770688580.html")</f>
        <v>https://www.lazada.vn/products/10-vien-keo-sap-ong-trai-cay-du-vi-an-vat-492-i2770688580.html</v>
      </c>
      <c r="C3910" s="10" t="s">
        <v>3910</v>
      </c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8">
        <v>8765.0</v>
      </c>
      <c r="B3911" s="9" t="str">
        <f>HYPERLINK("https://www.lazada.vn/products/88-goi-ca-phe-3-trong-1-king-coffe-gia-soc-i2706394549.html", "https://www.lazada.vn/products/88-goi-ca-phe-3-trong-1-king-coffe-gia-soc-i2706394549.html")</f>
        <v>https://www.lazada.vn/products/88-goi-ca-phe-3-trong-1-king-coffe-gia-soc-i2706394549.html</v>
      </c>
      <c r="C3911" s="10" t="s">
        <v>3911</v>
      </c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8">
        <v>8766.0</v>
      </c>
      <c r="B3912" s="9" t="str">
        <f>HYPERLINK("https://www.lazada.vn/products/nama-chocolate-sieu-ngon-sieu-hot-i2929538289.html", "https://www.lazada.vn/products/nama-chocolate-sieu-ngon-sieu-hot-i2929538289.html")</f>
        <v>https://www.lazada.vn/products/nama-chocolate-sieu-ngon-sieu-hot-i2929538289.html</v>
      </c>
      <c r="C3912" s="10" t="s">
        <v>3912</v>
      </c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8">
        <v>8767.0</v>
      </c>
      <c r="B3913" s="9" t="str">
        <f>HYPERLINK("https://www.lazada.vn/products/combo-3-goi-banh-trang-tron-dac-san-tay-ninh-i2609887796.html", "https://www.lazada.vn/products/combo-3-goi-banh-trang-tron-dac-san-tay-ninh-i2609887796.html")</f>
        <v>https://www.lazada.vn/products/combo-3-goi-banh-trang-tron-dac-san-tay-ninh-i2609887796.html</v>
      </c>
      <c r="C3913" s="10" t="s">
        <v>3913</v>
      </c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8">
        <v>8768.0</v>
      </c>
      <c r="B3914" s="9" t="str">
        <f>HYPERLINK("https://www.lazada.vn/products/vang-do-boccantino-negroamaro-organic-i2279875942.html", "https://www.lazada.vn/products/vang-do-boccantino-negroamaro-organic-i2279875942.html")</f>
        <v>https://www.lazada.vn/products/vang-do-boccantino-negroamaro-organic-i2279875942.html</v>
      </c>
      <c r="C3914" s="10" t="s">
        <v>3914</v>
      </c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8">
        <v>8769.0</v>
      </c>
      <c r="B3915" s="9" t="str">
        <f>HYPERLINK("https://www.lazada.vn/products/nuoc-ngot-coca-cola-cherry-my-cay-12-lon-i2501049999.html", "https://www.lazada.vn/products/nuoc-ngot-coca-cola-cherry-my-cay-12-lon-i2501049999.html")</f>
        <v>https://www.lazada.vn/products/nuoc-ngot-coca-cola-cherry-my-cay-12-lon-i2501049999.html</v>
      </c>
      <c r="C3915" s="10" t="s">
        <v>3915</v>
      </c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8">
        <v>8770.0</v>
      </c>
      <c r="B3916" s="9" t="str">
        <f>HYPERLINK("https://www.lazada.vn/products/bot-ca-cao-hanh-phuc-cacao-hanh-phuc-i2221661607.html", "https://www.lazada.vn/products/bot-ca-cao-hanh-phuc-cacao-hanh-phuc-i2221661607.html")</f>
        <v>https://www.lazada.vn/products/bot-ca-cao-hanh-phuc-cacao-hanh-phuc-i2221661607.html</v>
      </c>
      <c r="C3916" s="10" t="s">
        <v>3916</v>
      </c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8">
        <v>8771.0</v>
      </c>
      <c r="B3917" s="9" t="str">
        <f>HYPERLINK("https://www.lazada.vn/products/1-thung-nuoc-tang-luc-sting-dau-chai-nhua-330ml-i2545332791.html", "https://www.lazada.vn/products/1-thung-nuoc-tang-luc-sting-dau-chai-nhua-330ml-i2545332791.html")</f>
        <v>https://www.lazada.vn/products/1-thung-nuoc-tang-luc-sting-dau-chai-nhua-330ml-i2545332791.html</v>
      </c>
      <c r="C3917" s="10" t="s">
        <v>3917</v>
      </c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8">
        <v>8772.0</v>
      </c>
      <c r="B3918" s="9" t="str">
        <f>HYPERLINK("https://www.lazada.vn/products/vang-uc-hill-harrington-merlot-750ml-i2647668796.html", "https://www.lazada.vn/products/vang-uc-hill-harrington-merlot-750ml-i2647668796.html")</f>
        <v>https://www.lazada.vn/products/vang-uc-hill-harrington-merlot-750ml-i2647668796.html</v>
      </c>
      <c r="C3918" s="10" t="s">
        <v>3918</v>
      </c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8">
        <v>8773.0</v>
      </c>
      <c r="B3919" s="9" t="str">
        <f>HYPERLINK("https://www.lazada.vn/products/ca-dua-nuoi-1-nang-uop-toi-ot-vi-500gr-giao-tphcm-i3038882101.html", "https://www.lazada.vn/products/ca-dua-nuoi-1-nang-uop-toi-ot-vi-500gr-giao-tphcm-i3038882101.html")</f>
        <v>https://www.lazada.vn/products/ca-dua-nuoi-1-nang-uop-toi-ot-vi-500gr-giao-tphcm-i3038882101.html</v>
      </c>
      <c r="C3919" s="10" t="s">
        <v>3919</v>
      </c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8">
        <v>8774.0</v>
      </c>
      <c r="B3920" s="9" t="str">
        <f>HYPERLINK("https://www.lazada.vn/products/combo-10-banh-bong-lan-qua-trung-nhan-kem-pho-mai-nhieu-bieu-cam-xinh-xan-b169-beegin-food-i2663226728.html", "https://www.lazada.vn/products/combo-10-banh-bong-lan-qua-trung-nhan-kem-pho-mai-nhieu-bieu-cam-xinh-xan-b169-beegin-food-i2663226728.html")</f>
        <v>https://www.lazada.vn/products/combo-10-banh-bong-lan-qua-trung-nhan-kem-pho-mai-nhieu-bieu-cam-xinh-xan-b169-beegin-food-i2663226728.html</v>
      </c>
      <c r="C3920" s="10" t="s">
        <v>3920</v>
      </c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8">
        <v>8775.0</v>
      </c>
      <c r="B3921" s="9" t="str">
        <f>HYPERLINK("https://www.lazada.vn/products/banh-cookie-dua-nuong-hop-350g-banh-an-kieng-giam-can-i1812998086.html", "https://www.lazada.vn/products/banh-cookie-dua-nuong-hop-350g-banh-an-kieng-giam-can-i1812998086.html")</f>
        <v>https://www.lazada.vn/products/banh-cookie-dua-nuong-hop-350g-banh-an-kieng-giam-can-i1812998086.html</v>
      </c>
      <c r="C3921" s="10" t="s">
        <v>3921</v>
      </c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8">
        <v>8776.0</v>
      </c>
      <c r="B3922" s="9" t="str">
        <f>HYPERLINK("https://www.lazada.vn/products/quang-chau-mirk-hall-snacks-quat-kho-quat-dong-lanh-qua-tang-dac-biet-cho-le-hoi-va-le-ky-niem-qua-tang-thu-cong-san-pham-dac-biet-cua-mynan-fujian-i2923777697.html", "https://www.lazada.vn/products/quang-chau-mirk-hall-snacks-quat-kho-quat-dong-lanh-qua-tang-dac-biet-cho-le-hoi-va-le-ky-niem-qua-tang-thu-cong-san-pham-dac-biet-cua-mynan-fujian-i2923777697.html")</f>
        <v>https://www.lazada.vn/products/quang-chau-mirk-hall-snacks-quat-kho-quat-dong-lanh-qua-tang-dac-biet-cho-le-hoi-va-le-ky-niem-qua-tang-thu-cong-san-pham-dac-biet-cua-mynan-fujian-i2923777697.html</v>
      </c>
      <c r="C3922" s="10" t="s">
        <v>3922</v>
      </c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8">
        <v>8777.0</v>
      </c>
      <c r="B3923" s="9" t="str">
        <f>HYPERLINK("https://www.lazada.vn/products/hop-qua-tang-tet-bia-heineken-cao-cap-2025-hop-qua-tang-tet-bia-heineken-i2971491245.html", "https://www.lazada.vn/products/hop-qua-tang-tet-bia-heineken-cao-cap-2025-hop-qua-tang-tet-bia-heineken-i2971491245.html")</f>
        <v>https://www.lazada.vn/products/hop-qua-tang-tet-bia-heineken-cao-cap-2025-hop-qua-tang-tet-bia-heineken-i2971491245.html</v>
      </c>
      <c r="C3923" s="10" t="s">
        <v>3923</v>
      </c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8">
        <v>8778.0</v>
      </c>
      <c r="B3924" s="9" t="str">
        <f>HYPERLINK("https://www.lazada.vn/products/bot-sua-lac-da-tan-cuong-probiotic-dinh-duong-320g-dong-nhan-duong-order-15-ngay-i2932003649.html", "https://www.lazada.vn/products/bot-sua-lac-da-tan-cuong-probiotic-dinh-duong-320g-dong-nhan-duong-order-15-ngay-i2932003649.html")</f>
        <v>https://www.lazada.vn/products/bot-sua-lac-da-tan-cuong-probiotic-dinh-duong-320g-dong-nhan-duong-order-15-ngay-i2932003649.html</v>
      </c>
      <c r="C3924" s="10" t="s">
        <v>3924</v>
      </c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8">
        <v>8779.0</v>
      </c>
      <c r="B3925" s="9" t="str">
        <f>HYPERLINK("https://www.lazada.vn/products/combo-10-bich-banh-que-oishi-biggie-45g-i1810692666.html", "https://www.lazada.vn/products/combo-10-bich-banh-que-oishi-biggie-45g-i1810692666.html")</f>
        <v>https://www.lazada.vn/products/combo-10-bich-banh-que-oishi-biggie-45g-i1810692666.html</v>
      </c>
      <c r="C3925" s="10" t="s">
        <v>3925</v>
      </c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8">
        <v>8780.0</v>
      </c>
      <c r="B3926" s="9" t="str">
        <f>HYPERLINK("https://www.lazada.vn/products/keo-le-mat-ong-an-phe-tieu-dom-mat-hong-hieu-qua-shin-food-keo-deo-mat-ong-dai-ngon-cung-cap-vitamin-tot-cho-suc-khoe-i2769351772.html", "https://www.lazada.vn/products/keo-le-mat-ong-an-phe-tieu-dom-mat-hong-hieu-qua-shin-food-keo-deo-mat-ong-dai-ngon-cung-cap-vitamin-tot-cho-suc-khoe-i2769351772.html")</f>
        <v>https://www.lazada.vn/products/keo-le-mat-ong-an-phe-tieu-dom-mat-hong-hieu-qua-shin-food-keo-deo-mat-ong-dai-ngon-cung-cap-vitamin-tot-cho-suc-khoe-i2769351772.html</v>
      </c>
      <c r="C3926" s="10" t="s">
        <v>3926</v>
      </c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8">
        <v>8781.0</v>
      </c>
      <c r="B3927" s="9" t="str">
        <f>HYPERLINK("https://www.lazada.vn/products/thit-than-ghe-chuan-xin-net-du-than-ghe-khong-pha-khay-500gr-giao-tphcm-i3038866265.html", "https://www.lazada.vn/products/thit-than-ghe-chuan-xin-net-du-than-ghe-khong-pha-khay-500gr-giao-tphcm-i3038866265.html")</f>
        <v>https://www.lazada.vn/products/thit-than-ghe-chuan-xin-net-du-than-ghe-khong-pha-khay-500gr-giao-tphcm-i3038866265.html</v>
      </c>
      <c r="C3927" s="10" t="s">
        <v>3927</v>
      </c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8">
        <v>8782.0</v>
      </c>
      <c r="B3928" s="9" t="str">
        <f>HYPERLINK("https://www.lazada.vn/products/combo-2-hop-nhan-long-ngam-i3038831306.html", "https://www.lazada.vn/products/combo-2-hop-nhan-long-ngam-i3038831306.html")</f>
        <v>https://www.lazada.vn/products/combo-2-hop-nhan-long-ngam-i3038831306.html</v>
      </c>
      <c r="C3928" s="10" t="s">
        <v>3928</v>
      </c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8">
        <v>8783.0</v>
      </c>
      <c r="B3929" s="9" t="str">
        <f>HYPERLINK("https://www.lazada.vn/products/qua-ngon-tang-tre-combo-1000g-keo-sap-ong-nhan-siro-keo-sap-trai-cay-nhieu-huong-vi-nhieu-hinh-dang-sieu-dang-yeu-i2768525186.html", "https://www.lazada.vn/products/qua-ngon-tang-tre-combo-1000g-keo-sap-ong-nhan-siro-keo-sap-trai-cay-nhieu-huong-vi-nhieu-hinh-dang-sieu-dang-yeu-i2768525186.html")</f>
        <v>https://www.lazada.vn/products/qua-ngon-tang-tre-combo-1000g-keo-sap-ong-nhan-siro-keo-sap-trai-cay-nhieu-huong-vi-nhieu-hinh-dang-sieu-dang-yeu-i2768525186.html</v>
      </c>
      <c r="C3929" s="10" t="s">
        <v>3929</v>
      </c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8">
        <v>8784.0</v>
      </c>
      <c r="B3930" s="9" t="str">
        <f>HYPERLINK("https://www.lazada.vn/products/combo-2-hop-nhan-long-ngam-i3038725652.html", "https://www.lazada.vn/products/combo-2-hop-nhan-long-ngam-i3038725652.html")</f>
        <v>https://www.lazada.vn/products/combo-2-hop-nhan-long-ngam-i3038725652.html</v>
      </c>
      <c r="C3930" s="10" t="s">
        <v>3930</v>
      </c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8">
        <v>8785.0</v>
      </c>
      <c r="B3931" s="9" t="str">
        <f>HYPERLINK("https://www.lazada.vn/products/qua-ngon-tang-tre-combo-500g-keo-sap-ong-nhan-siro-keo-sap-trai-cay-nhieu-huong-vi-nhieu-hinh-dang-sieu-dang-yeu-i2768455514.html", "https://www.lazada.vn/products/qua-ngon-tang-tre-combo-500g-keo-sap-ong-nhan-siro-keo-sap-trai-cay-nhieu-huong-vi-nhieu-hinh-dang-sieu-dang-yeu-i2768455514.html")</f>
        <v>https://www.lazada.vn/products/qua-ngon-tang-tre-combo-500g-keo-sap-ong-nhan-siro-keo-sap-trai-cay-nhieu-huong-vi-nhieu-hinh-dang-sieu-dang-yeu-i2768455514.html</v>
      </c>
      <c r="C3931" s="10" t="s">
        <v>3931</v>
      </c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8">
        <v>8786.0</v>
      </c>
      <c r="B3932" s="9" t="str">
        <f>HYPERLINK("https://www.lazada.vn/products/ca-khoai-khay-1kg-tuoi-ngon-giao-hcm-i3038707764.html", "https://www.lazada.vn/products/ca-khoai-khay-1kg-tuoi-ngon-giao-hcm-i3038707764.html")</f>
        <v>https://www.lazada.vn/products/ca-khoai-khay-1kg-tuoi-ngon-giao-hcm-i3038707764.html</v>
      </c>
      <c r="C3932" s="10" t="s">
        <v>3932</v>
      </c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8">
        <v>8787.0</v>
      </c>
      <c r="B3933" s="9" t="str">
        <f>HYPERLINK("https://www.lazada.vn/products/keo-ngon-combo-1000g-keo-sap-ong-nhan-siro-keo-sap-trai-cay-nhieu-huong-vi-mau-ma-da-dang-sieu-dang-yeu-an-cuc-ngon-i2768417368.html", "https://www.lazada.vn/products/keo-ngon-combo-1000g-keo-sap-ong-nhan-siro-keo-sap-trai-cay-nhieu-huong-vi-mau-ma-da-dang-sieu-dang-yeu-an-cuc-ngon-i2768417368.html")</f>
        <v>https://www.lazada.vn/products/keo-ngon-combo-1000g-keo-sap-ong-nhan-siro-keo-sap-trai-cay-nhieu-huong-vi-mau-ma-da-dang-sieu-dang-yeu-an-cuc-ngon-i2768417368.html</v>
      </c>
      <c r="C3933" s="10" t="s">
        <v>3933</v>
      </c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8">
        <v>8788.0</v>
      </c>
      <c r="B3934" s="9" t="str">
        <f>HYPERLINK("https://www.lazada.vn/products/ca-vien-phu-mark-bich-500g-giao-tphcm-i3038702700.html", "https://www.lazada.vn/products/ca-vien-phu-mark-bich-500g-giao-tphcm-i3038702700.html")</f>
        <v>https://www.lazada.vn/products/ca-vien-phu-mark-bich-500g-giao-tphcm-i3038702700.html</v>
      </c>
      <c r="C3934" s="10" t="s">
        <v>3934</v>
      </c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8">
        <v>8789.0</v>
      </c>
      <c r="B3935" s="9" t="str">
        <f>HYPERLINK("https://www.lazada.vn/products/keo-ngon-combo-300g-keo-sap-ong-nhan-siro-keo-sap-trai-cay-nhieu-huong-vi-mau-ma-da-dang-sieu-dang-yeu-an-cuc-ngon-i2768376532.html", "https://www.lazada.vn/products/keo-ngon-combo-300g-keo-sap-ong-nhan-siro-keo-sap-trai-cay-nhieu-huong-vi-mau-ma-da-dang-sieu-dang-yeu-an-cuc-ngon-i2768376532.html")</f>
        <v>https://www.lazada.vn/products/keo-ngon-combo-300g-keo-sap-ong-nhan-siro-keo-sap-trai-cay-nhieu-huong-vi-mau-ma-da-dang-sieu-dang-yeu-an-cuc-ngon-i2768376532.html</v>
      </c>
      <c r="C3935" s="10" t="s">
        <v>3935</v>
      </c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8">
        <v>8790.0</v>
      </c>
      <c r="B3936" s="9" t="str">
        <f>HYPERLINK("https://www.lazada.vn/products/dac-rim-mang-cau-duong-phen-hop-550gr-i3038365912.html", "https://www.lazada.vn/products/dac-rim-mang-cau-duong-phen-hop-550gr-i3038365912.html")</f>
        <v>https://www.lazada.vn/products/dac-rim-mang-cau-duong-phen-hop-550gr-i3038365912.html</v>
      </c>
      <c r="C3936" s="10" t="s">
        <v>3936</v>
      </c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8">
        <v>8791.0</v>
      </c>
      <c r="B3937" s="9" t="str">
        <f>HYPERLINK("https://www.lazada.vn/products/sirosyrup-torani-french-vanilla-750ml-torani-vanilla-i2591546710.html", "https://www.lazada.vn/products/sirosyrup-torani-french-vanilla-750ml-torani-vanilla-i2591546710.html")</f>
        <v>https://www.lazada.vn/products/sirosyrup-torani-french-vanilla-750ml-torani-vanilla-i2591546710.html</v>
      </c>
      <c r="C3937" s="10" t="s">
        <v>3937</v>
      </c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8">
        <v>8792.0</v>
      </c>
      <c r="B3938" s="9" t="str">
        <f>HYPERLINK("https://www.lazada.vn/products/keo-ngon-100g-keo-sap-ong-nhan-siro-keo-sap-trai-cay-nhieu-huong-vi-mau-ma-da-dang-sieu-dang-yeu-an-cuc-ngon-i2768348646.html", "https://www.lazada.vn/products/keo-ngon-100g-keo-sap-ong-nhan-siro-keo-sap-trai-cay-nhieu-huong-vi-mau-ma-da-dang-sieu-dang-yeu-an-cuc-ngon-i2768348646.html")</f>
        <v>https://www.lazada.vn/products/keo-ngon-100g-keo-sap-ong-nhan-siro-keo-sap-trai-cay-nhieu-huong-vi-mau-ma-da-dang-sieu-dang-yeu-an-cuc-ngon-i2768348646.html</v>
      </c>
      <c r="C3938" s="10" t="s">
        <v>3938</v>
      </c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8">
        <v>8793.0</v>
      </c>
      <c r="B3939" s="9" t="str">
        <f>HYPERLINK("https://www.lazada.vn/products/combo-mut-3-vi-nho-mang-cau-thom-da-lat-850gram-90-trai-cay-i3037825890.html", "https://www.lazada.vn/products/combo-mut-3-vi-nho-mang-cau-thom-da-lat-850gram-90-trai-cay-i3037825890.html")</f>
        <v>https://www.lazada.vn/products/combo-mut-3-vi-nho-mang-cau-thom-da-lat-850gram-90-trai-cay-i3037825890.html</v>
      </c>
      <c r="C3939" s="10" t="s">
        <v>3939</v>
      </c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8">
        <v>8794.0</v>
      </c>
      <c r="B3940" s="9" t="str">
        <f>HYPERLINK("https://www.lazada.vn/products/keo-ngon-combo-500g-keo-sap-ong-nhan-siro-keo-sap-trai-cay-nhieu-huong-vi-mau-ma-da-dang-sieu-dang-yeu-an-cuc-ngon-i2768317683.html", "https://www.lazada.vn/products/keo-ngon-combo-500g-keo-sap-ong-nhan-siro-keo-sap-trai-cay-nhieu-huong-vi-mau-ma-da-dang-sieu-dang-yeu-an-cuc-ngon-i2768317683.html")</f>
        <v>https://www.lazada.vn/products/keo-ngon-combo-500g-keo-sap-ong-nhan-siro-keo-sap-trai-cay-nhieu-huong-vi-mau-ma-da-dang-sieu-dang-yeu-an-cuc-ngon-i2768317683.html</v>
      </c>
      <c r="C3940" s="10" t="s">
        <v>3940</v>
      </c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8">
        <v>8795.0</v>
      </c>
      <c r="B3941" s="9" t="str">
        <f>HYPERLINK("https://www.lazada.vn/products/dua-chuot-mini-ngam-tuong-dai-loan-agv-180g-thuc-pham-chay-i3037526732.html", "https://www.lazada.vn/products/dua-chuot-mini-ngam-tuong-dai-loan-agv-180g-thuc-pham-chay-i3037526732.html")</f>
        <v>https://www.lazada.vn/products/dua-chuot-mini-ngam-tuong-dai-loan-agv-180g-thuc-pham-chay-i3037526732.html</v>
      </c>
      <c r="C3941" s="10" t="s">
        <v>3941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8">
        <v>8796.0</v>
      </c>
      <c r="B3942" s="9" t="str">
        <f>HYPERLINK("https://www.lazada.vn/products/keo-mut-zinc-happy-vitamin-que-8g-vi-kiwi-bo-sung-kem-huu-co-tang-cuong-tieu-hoa-giup-tre-an-ngon-i2765658593.html", "https://www.lazada.vn/products/keo-mut-zinc-happy-vitamin-que-8g-vi-kiwi-bo-sung-kem-huu-co-tang-cuong-tieu-hoa-giup-tre-an-ngon-i2765658593.html")</f>
        <v>https://www.lazada.vn/products/keo-mut-zinc-happy-vitamin-que-8g-vi-kiwi-bo-sung-kem-huu-co-tang-cuong-tieu-hoa-giup-tre-an-ngon-i2765658593.html</v>
      </c>
      <c r="C3942" s="10" t="s">
        <v>3942</v>
      </c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8">
        <v>8797.0</v>
      </c>
      <c r="B3943" s="9" t="str">
        <f>HYPERLINK("https://www.lazada.vn/products/1kg-ca-com-kho-xe-khanh-hoa-thu-cong-rat-ngon-khong-dau-khong-ruot-xuong-it-dong-goi-hut-chan-khong-i3037456384.html", "https://www.lazada.vn/products/1kg-ca-com-kho-xe-khanh-hoa-thu-cong-rat-ngon-khong-dau-khong-ruot-xuong-it-dong-goi-hut-chan-khong-i3037456384.html")</f>
        <v>https://www.lazada.vn/products/1kg-ca-com-kho-xe-khanh-hoa-thu-cong-rat-ngon-khong-dau-khong-ruot-xuong-it-dong-goi-hut-chan-khong-i3037456384.html</v>
      </c>
      <c r="C3943" s="10" t="s">
        <v>3943</v>
      </c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8">
        <v>8798.0</v>
      </c>
      <c r="B3944" s="9" t="str">
        <f>HYPERLINK("https://www.lazada.vn/products/qua-tang-combo-10-goi-keo-chip-chip-trai-cay-dong-goi-nhieu-mau-ma-huong-vi-sieu-dang-yeu-an-cuc-ngon-i2763568821.html", "https://www.lazada.vn/products/qua-tang-combo-10-goi-keo-chip-chip-trai-cay-dong-goi-nhieu-mau-ma-huong-vi-sieu-dang-yeu-an-cuc-ngon-i2763568821.html")</f>
        <v>https://www.lazada.vn/products/qua-tang-combo-10-goi-keo-chip-chip-trai-cay-dong-goi-nhieu-mau-ma-huong-vi-sieu-dang-yeu-an-cuc-ngon-i2763568821.html</v>
      </c>
      <c r="C3944" s="10" t="s">
        <v>3944</v>
      </c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8">
        <v>8799.0</v>
      </c>
      <c r="B3945" s="9" t="str">
        <f>HYPERLINK("https://www.lazada.vn/products/05-kg-ca-com-kho-xe-khanh-hoa-thu-cong-rat-ngon-khong-dau-khong-ruot-xuong-it-dong-goi-hut-chan-khong-i3037425464.html", "https://www.lazada.vn/products/05-kg-ca-com-kho-xe-khanh-hoa-thu-cong-rat-ngon-khong-dau-khong-ruot-xuong-it-dong-goi-hut-chan-khong-i3037425464.html")</f>
        <v>https://www.lazada.vn/products/05-kg-ca-com-kho-xe-khanh-hoa-thu-cong-rat-ngon-khong-dau-khong-ruot-xuong-it-dong-goi-hut-chan-khong-i3037425464.html</v>
      </c>
      <c r="C3945" s="10" t="s">
        <v>3945</v>
      </c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8">
        <v>8800.0</v>
      </c>
      <c r="B3946" s="9" t="str">
        <f>HYPERLINK("https://www.lazada.vn/products/ayam-hop-cn-xla-120g-ca-trich-ngam-dau-o-liu-nguyen-chat-malaysia-sardines-in-extra-virgin-olive-oil-halal-i3037240253.html", "https://www.lazada.vn/products/ayam-hop-cn-xla-120g-ca-trich-ngam-dau-o-liu-nguyen-chat-malaysia-sardines-in-extra-virgin-olive-oil-halal-i3037240253.html")</f>
        <v>https://www.lazada.vn/products/ayam-hop-cn-xla-120g-ca-trich-ngam-dau-o-liu-nguyen-chat-malaysia-sardines-in-extra-virgin-olive-oil-halal-i3037240253.html</v>
      </c>
      <c r="C3946" s="10" t="s">
        <v>3946</v>
      </c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8">
        <v>8801.0</v>
      </c>
      <c r="B3947" s="9" t="str">
        <f>HYPERLINK("https://www.lazada.vn/products/cocktail-trai-cay-dole-822g-i3037159915.html", "https://www.lazada.vn/products/cocktail-trai-cay-dole-822g-i3037159915.html")</f>
        <v>https://www.lazada.vn/products/cocktail-trai-cay-dole-822g-i3037159915.html</v>
      </c>
      <c r="C3947" s="10" t="s">
        <v>3947</v>
      </c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8">
        <v>8802.0</v>
      </c>
      <c r="B3948" s="9" t="str">
        <f>HYPERLINK("https://www.lazada.vn/products/ca-trich-ngam-dau-160g-vitafish-i3037092051.html", "https://www.lazada.vn/products/ca-trich-ngam-dau-160g-vitafish-i3037092051.html")</f>
        <v>https://www.lazada.vn/products/ca-trich-ngam-dau-160g-vitafish-i3037092051.html</v>
      </c>
      <c r="C3948" s="10" t="s">
        <v>3948</v>
      </c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8">
        <v>8803.0</v>
      </c>
      <c r="B3949" s="9" t="str">
        <f>HYPERLINK("https://www.lazada.vn/products/thit-bam-chay-thuc-pham-chay-ngon-thuon-hang-bo-duong-i3037083961.html", "https://www.lazada.vn/products/thit-bam-chay-thuc-pham-chay-ngon-thuon-hang-bo-duong-i3037083961.html")</f>
        <v>https://www.lazada.vn/products/thit-bam-chay-thuc-pham-chay-ngon-thuon-hang-bo-duong-i3037083961.html</v>
      </c>
      <c r="C3949" s="10" t="s">
        <v>3949</v>
      </c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8">
        <v>8804.0</v>
      </c>
      <c r="B3950" s="9" t="str">
        <f>HYPERLINK("https://www.lazada.vn/products/ca-hoi-hop-120gr-i3036823951.html", "https://www.lazada.vn/products/ca-hoi-hop-120gr-i3036823951.html")</f>
        <v>https://www.lazada.vn/products/ca-hoi-hop-120gr-i3036823951.html</v>
      </c>
      <c r="C3950" s="10" t="s">
        <v>3950</v>
      </c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8">
        <v>8805.0</v>
      </c>
      <c r="B3951" s="9" t="str">
        <f>HYPERLINK("https://www.lazada.vn/products/spam-hop-hickory-340g-thit-xong-khoi-my-hormel-spam-hickory-smoke-flavored-i3036464151.html", "https://www.lazada.vn/products/spam-hop-hickory-340g-thit-xong-khoi-my-hormel-spam-hickory-smoke-flavored-i3036464151.html")</f>
        <v>https://www.lazada.vn/products/spam-hop-hickory-340g-thit-xong-khoi-my-hormel-spam-hickory-smoke-flavored-i3036464151.html</v>
      </c>
      <c r="C3951" s="10" t="s">
        <v>3951</v>
      </c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8">
        <v>8806.0</v>
      </c>
      <c r="B3952" s="9" t="str">
        <f>HYPERLINK("https://www.lazada.vn/products/soya-sticks-270g-i1978683685.html", "https://www.lazada.vn/products/soya-sticks-270g-i1978683685.html")</f>
        <v>https://www.lazada.vn/products/soya-sticks-270g-i1978683685.html</v>
      </c>
      <c r="C3952" s="10" t="s">
        <v>3952</v>
      </c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8">
        <v>8807.0</v>
      </c>
      <c r="B3953" s="9" t="str">
        <f>HYPERLINK("https://www.lazada.vn/products/me-chua-vuon-nha-100-i3036463245.html", "https://www.lazada.vn/products/me-chua-vuon-nha-100-i3036463245.html")</f>
        <v>https://www.lazada.vn/products/me-chua-vuon-nha-100-i3036463245.html</v>
      </c>
      <c r="C3953" s="10" t="s">
        <v>3953</v>
      </c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8">
        <v>8808.0</v>
      </c>
      <c r="B3954" s="9" t="str">
        <f>HYPERLINK("https://www.lazada.vn/products/vissan-hop-170g-pate-gan-heo-pork-liver-paste-i3036455078.html", "https://www.lazada.vn/products/vissan-hop-170g-pate-gan-heo-pork-liver-paste-i3036455078.html")</f>
        <v>https://www.lazada.vn/products/vissan-hop-170g-pate-gan-heo-pork-liver-paste-i3036455078.html</v>
      </c>
      <c r="C3954" s="10" t="s">
        <v>3954</v>
      </c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8">
        <v>8809.0</v>
      </c>
      <c r="B3955" s="9" t="str">
        <f>HYPERLINK("https://www.lazada.vn/products/ruou-sake-sui-bot-sparkling-seishu-rocca-300ml-9-i2364243471.html", "https://www.lazada.vn/products/ruou-sake-sui-bot-sparkling-seishu-rocca-300ml-9-i2364243471.html")</f>
        <v>https://www.lazada.vn/products/ruou-sake-sui-bot-sparkling-seishu-rocca-300ml-9-i2364243471.html</v>
      </c>
      <c r="C3955" s="10" t="s">
        <v>3955</v>
      </c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8">
        <v>8810.0</v>
      </c>
      <c r="B3956" s="9" t="str">
        <f>HYPERLINK("https://www.lazada.vn/products/banh-sampa-lady-finger-de-banh-tiramisu-200g-i1807306549.html", "https://www.lazada.vn/products/banh-sampa-lady-finger-de-banh-tiramisu-200g-i1807306549.html")</f>
        <v>https://www.lazada.vn/products/banh-sampa-lady-finger-de-banh-tiramisu-200g-i1807306549.html</v>
      </c>
      <c r="C3956" s="10" t="s">
        <v>3956</v>
      </c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8">
        <v>8811.0</v>
      </c>
      <c r="B3957" s="9" t="str">
        <f>HYPERLINK("https://www.lazada.vn/products/ponnie-hop-lon-340-thit-ap-chao-nac-van-hoa-han-quoc-canned-meat-i3036454030.html", "https://www.lazada.vn/products/ponnie-hop-lon-340-thit-ap-chao-nac-van-hoa-han-quoc-canned-meat-i3036454030.html")</f>
        <v>https://www.lazada.vn/products/ponnie-hop-lon-340-thit-ap-chao-nac-van-hoa-han-quoc-canned-meat-i3036454030.html</v>
      </c>
      <c r="C3957" s="10" t="s">
        <v>3957</v>
      </c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8">
        <v>8812.0</v>
      </c>
      <c r="B3958" s="9" t="str">
        <f>HYPERLINK("https://www.lazada.vn/products/combo-3-hu-banh-que-vi-socola-majorico-roll-kokola-hu-120gam-i1803928919.html", "https://www.lazada.vn/products/combo-3-hu-banh-que-vi-socola-majorico-roll-kokola-hu-120gam-i1803928919.html")</f>
        <v>https://www.lazada.vn/products/combo-3-hu-banh-que-vi-socola-majorico-roll-kokola-hu-120gam-i1803928919.html</v>
      </c>
      <c r="C3958" s="10" t="s">
        <v>3958</v>
      </c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8">
        <v>8813.0</v>
      </c>
      <c r="B3959" s="9" t="str">
        <f>HYPERLINK("https://www.lazada.vn/products/cookies-matcha-hanh-nhan-mix-trai-cay-nam-viet-quoc-banh-mem-xop-an-vat-sieu-ngon1983food-i1803818703.html", "https://www.lazada.vn/products/cookies-matcha-hanh-nhan-mix-trai-cay-nam-viet-quoc-banh-mem-xop-an-vat-sieu-ngon1983food-i1803818703.html")</f>
        <v>https://www.lazada.vn/products/cookies-matcha-hanh-nhan-mix-trai-cay-nam-viet-quoc-banh-mem-xop-an-vat-sieu-ngon1983food-i1803818703.html</v>
      </c>
      <c r="C3959" s="10" t="s">
        <v>3959</v>
      </c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8">
        <v>8814.0</v>
      </c>
      <c r="B3960" s="9" t="str">
        <f>HYPERLINK("https://www.lazada.vn/products/ayam-hop-cn-do-120g-ca-trich-ngam-ot-va-dau-o-liu-nguyen-chat-malaysia-sardines-in-extra-virgin-olive-oil-chil-i3036443200.html", "https://www.lazada.vn/products/ayam-hop-cn-do-120g-ca-trich-ngam-ot-va-dau-o-liu-nguyen-chat-malaysia-sardines-in-extra-virgin-olive-oil-chil-i3036443200.html")</f>
        <v>https://www.lazada.vn/products/ayam-hop-cn-do-120g-ca-trich-ngam-ot-va-dau-o-liu-nguyen-chat-malaysia-sardines-in-extra-virgin-olive-oil-chil-i3036443200.html</v>
      </c>
      <c r="C3960" s="10" t="s">
        <v>3960</v>
      </c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8">
        <v>8815.0</v>
      </c>
      <c r="B3961" s="9" t="str">
        <f>HYPERLINK("https://www.lazada.vn/products/thung-24-lon-7-up-pepsi-i2538166548.html", "https://www.lazada.vn/products/thung-24-lon-7-up-pepsi-i2538166548.html")</f>
        <v>https://www.lazada.vn/products/thung-24-lon-7-up-pepsi-i2538166548.html</v>
      </c>
      <c r="C3961" s="10" t="s">
        <v>3961</v>
      </c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8">
        <v>8816.0</v>
      </c>
      <c r="B3962" s="9" t="str">
        <f>HYPERLINK("https://www.lazada.vn/products/thung-48-hop-sua-lua-mach-bfast-180ml-combo-3-loc-12-hop-sua-lua-mach-bfast-180ml-i2220846970.html", "https://www.lazada.vn/products/thung-48-hop-sua-lua-mach-bfast-180ml-combo-3-loc-12-hop-sua-lua-mach-bfast-180ml-i2220846970.html")</f>
        <v>https://www.lazada.vn/products/thung-48-hop-sua-lua-mach-bfast-180ml-combo-3-loc-12-hop-sua-lua-mach-bfast-180ml-i2220846970.html</v>
      </c>
      <c r="C3962" s="10" t="s">
        <v>3962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8">
        <v>8817.0</v>
      </c>
      <c r="B3963" s="9" t="str">
        <f>HYPERLINK("https://www.lazada.vn/products/ca-phe-sua-da-hoa-tan-3-trong-1-50-goi-x-20gr-i2706373626.html", "https://www.lazada.vn/products/ca-phe-sua-da-hoa-tan-3-trong-1-50-goi-x-20gr-i2706373626.html")</f>
        <v>https://www.lazada.vn/products/ca-phe-sua-da-hoa-tan-3-trong-1-50-goi-x-20gr-i2706373626.html</v>
      </c>
      <c r="C3963" s="10" t="s">
        <v>3963</v>
      </c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8">
        <v>8818.0</v>
      </c>
      <c r="B3964" s="9" t="str">
        <f>HYPERLINK("https://www.lazada.vn/products/vang-do-fara-montepulciano-dabruzzo-750ml-i2279744183.html", "https://www.lazada.vn/products/vang-do-fara-montepulciano-dabruzzo-750ml-i2279744183.html")</f>
        <v>https://www.lazada.vn/products/vang-do-fara-montepulciano-dabruzzo-750ml-i2279744183.html</v>
      </c>
      <c r="C3964" s="10" t="s">
        <v>3964</v>
      </c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8">
        <v>8819.0</v>
      </c>
      <c r="B3965" s="9" t="str">
        <f>HYPERLINK("https://www.lazada.vn/products/nuoc-ngot-coca-cola-my-cay-12-lon-i2501045937.html", "https://www.lazada.vn/products/nuoc-ngot-coca-cola-my-cay-12-lon-i2501045937.html")</f>
        <v>https://www.lazada.vn/products/nuoc-ngot-coca-cola-my-cay-12-lon-i2501045937.html</v>
      </c>
      <c r="C3965" s="10" t="s">
        <v>3965</v>
      </c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8">
        <v>8820.0</v>
      </c>
      <c r="B3966" s="9" t="str">
        <f>HYPERLINK("https://www.lazada.vn/products/hop-84g-8-vien-socola-hanh-nhan-dau-phong-ailisha-hongya-golden-date-moi-10-thang-i2929281894.html", "https://www.lazada.vn/products/hop-84g-8-vien-socola-hanh-nhan-dau-phong-ailisha-hongya-golden-date-moi-10-thang-i2929281894.html")</f>
        <v>https://www.lazada.vn/products/hop-84g-8-vien-socola-hanh-nhan-dau-phong-ailisha-hongya-golden-date-moi-10-thang-i2929281894.html</v>
      </c>
      <c r="C3966" s="10" t="s">
        <v>3966</v>
      </c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8">
        <v>8821.0</v>
      </c>
      <c r="B3967" s="9" t="str">
        <f>HYPERLINK("https://www.lazada.vn/products/combo-6-lon-sua-dau-do-cg-food-245ml-i3015718195.html", "https://www.lazada.vn/products/combo-6-lon-sua-dau-do-cg-food-245ml-i3015718195.html")</f>
        <v>https://www.lazada.vn/products/combo-6-lon-sua-dau-do-cg-food-245ml-i3015718195.html</v>
      </c>
      <c r="C3967" s="10" t="s">
        <v>3967</v>
      </c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8">
        <v>8822.0</v>
      </c>
      <c r="B3968" s="9" t="str">
        <f>HYPERLINK("https://www.lazada.vn/products/chinh-hang-ruou-sake-sada-sakuranbo-nhat-ban-500ml-10-i2313432234.html", "https://www.lazada.vn/products/chinh-hang-ruou-sake-sada-sakuranbo-nhat-ban-500ml-10-i2313432234.html")</f>
        <v>https://www.lazada.vn/products/chinh-hang-ruou-sake-sada-sakuranbo-nhat-ban-500ml-10-i2313432234.html</v>
      </c>
      <c r="C3968" s="10" t="s">
        <v>3968</v>
      </c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8">
        <v>8823.0</v>
      </c>
      <c r="B3969" s="9" t="str">
        <f>HYPERLINK("https://www.lazada.vn/products/combo-500g-khoang-14-15cbanh-bong-lan-qua-trung-nhan-kem-pho-mai-nhieu-bieu-cam-xinh-xan-b169-beegin-food-i2663223845.html", "https://www.lazada.vn/products/combo-500g-khoang-14-15cbanh-bong-lan-qua-trung-nhan-kem-pho-mai-nhieu-bieu-cam-xinh-xan-b169-beegin-food-i2663223845.html")</f>
        <v>https://www.lazada.vn/products/combo-500g-khoang-14-15cbanh-bong-lan-qua-trung-nhan-kem-pho-mai-nhieu-bieu-cam-xinh-xan-b169-beegin-food-i2663223845.html</v>
      </c>
      <c r="C3969" s="10" t="s">
        <v>3969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8">
        <v>8824.0</v>
      </c>
      <c r="B3970" s="9" t="str">
        <f>HYPERLINK("https://www.lazada.vn/products/vang-chile-titan-i2647665654.html", "https://www.lazada.vn/products/vang-chile-titan-i2647665654.html")</f>
        <v>https://www.lazada.vn/products/vang-chile-titan-i2647665654.html</v>
      </c>
      <c r="C3970" s="10" t="s">
        <v>3970</v>
      </c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8">
        <v>8825.0</v>
      </c>
      <c r="B3971" s="9" t="str">
        <f>HYPERLINK("https://www.lazada.vn/products/hop-bia-heineken-qua-tang-hinh-ngoi-sao-mau-2025-hop-bia-ken-qua-tang-tet-2025-i2971481423.html", "https://www.lazada.vn/products/hop-bia-heineken-qua-tang-hinh-ngoi-sao-mau-2025-hop-bia-ken-qua-tang-tet-2025-i2971481423.html")</f>
        <v>https://www.lazada.vn/products/hop-bia-heineken-qua-tang-hinh-ngoi-sao-mau-2025-hop-bia-ken-qua-tang-tet-2025-i2971481423.html</v>
      </c>
      <c r="C3971" s="10" t="s">
        <v>3971</v>
      </c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8">
        <v>8826.0</v>
      </c>
      <c r="B3972" s="9" t="str">
        <f>HYPERLINK("https://www.lazada.vn/products/tao-kho-hinh-la-dua-250g-tasty-snack-dried-fruit-snack-pack-bao-bi-tao-kho-co-huong-vi-cua-la-dua-i2923775710.html", "https://www.lazada.vn/products/tao-kho-hinh-la-dua-250g-tasty-snack-dried-fruit-snack-pack-bao-bi-tao-kho-co-huong-vi-cua-la-dua-i2923775710.html")</f>
        <v>https://www.lazada.vn/products/tao-kho-hinh-la-dua-250g-tasty-snack-dried-fruit-snack-pack-bao-bi-tao-kho-co-huong-vi-cua-la-dua-i2923775710.html</v>
      </c>
      <c r="C3972" s="10" t="s">
        <v>3972</v>
      </c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8">
        <v>8827.0</v>
      </c>
      <c r="B3973" s="9" t="str">
        <f>HYPERLINK("https://www.lazada.vn/products/bot-chuoi-xanh-nguyen-chat-goce-tui-300g-i2929434486.html", "https://www.lazada.vn/products/bot-chuoi-xanh-nguyen-chat-goce-tui-300g-i2929434486.html")</f>
        <v>https://www.lazada.vn/products/bot-chuoi-xanh-nguyen-chat-goce-tui-300g-i2929434486.html</v>
      </c>
      <c r="C3973" s="10" t="s">
        <v>3973</v>
      </c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8">
        <v>8828.0</v>
      </c>
      <c r="B3974" s="9" t="str">
        <f>HYPERLINK("https://www.lazada.vn/products/siro-duong-den-mola-chai-15kg-i2590324091.html", "https://www.lazada.vn/products/siro-duong-den-mola-chai-15kg-i2590324091.html")</f>
        <v>https://www.lazada.vn/products/siro-duong-den-mola-chai-15kg-i2590324091.html</v>
      </c>
      <c r="C3974" s="10" t="s">
        <v>3974</v>
      </c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8">
        <v>8829.0</v>
      </c>
      <c r="B3975" s="9" t="str">
        <f>HYPERLINK("https://www.lazada.vn/products/spicy-indian-mix-270g-i1978679764.html", "https://www.lazada.vn/products/spicy-indian-mix-270g-i1978679764.html")</f>
        <v>https://www.lazada.vn/products/spicy-indian-mix-270g-i1978679764.html</v>
      </c>
      <c r="C3975" s="10" t="s">
        <v>3975</v>
      </c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8">
        <v>8830.0</v>
      </c>
      <c r="B3976" s="9" t="str">
        <f>HYPERLINK("https://www.lazada.vn/products/snack-ngu-coc-an-sang-nestle-milo-goi-15g-banh-an-sang-milo-danh-cho-tre-tu-6-12-tuoi-i1802518248.html", "https://www.lazada.vn/products/snack-ngu-coc-an-sang-nestle-milo-goi-15g-banh-an-sang-milo-danh-cho-tre-tu-6-12-tuoi-i1802518248.html")</f>
        <v>https://www.lazada.vn/products/snack-ngu-coc-an-sang-nestle-milo-goi-15g-banh-an-sang-milo-danh-cho-tre-tu-6-12-tuoi-i1802518248.html</v>
      </c>
      <c r="C3976" s="10" t="s">
        <v>3976</v>
      </c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8">
        <v>8831.0</v>
      </c>
      <c r="B3977" s="9" t="str">
        <f>HYPERLINK("https://www.lazada.vn/products/chinh-hang-ruou-mo-sake-sada-umeshu-akazake-nhat-ban-500ml-10-i2313428469.html", "https://www.lazada.vn/products/chinh-hang-ruou-mo-sake-sada-umeshu-akazake-nhat-ban-500ml-10-i2313428469.html")</f>
        <v>https://www.lazada.vn/products/chinh-hang-ruou-mo-sake-sada-umeshu-akazake-nhat-ban-500ml-10-i2313428469.html</v>
      </c>
      <c r="C3977" s="10" t="s">
        <v>3977</v>
      </c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8">
        <v>8832.0</v>
      </c>
      <c r="B3978" s="9" t="str">
        <f>HYPERLINK("https://www.lazada.vn/products/combo-2-hop-tra-sinh-ly-nam-ba-kich-ngoc-cau-dong-trung-ha-thao-bo-than-trang-duong-thom-ngon-hop-60-goi-i2975903251.html", "https://www.lazada.vn/products/combo-2-hop-tra-sinh-ly-nam-ba-kich-ngoc-cau-dong-trung-ha-thao-bo-than-trang-duong-thom-ngon-hop-60-goi-i2975903251.html")</f>
        <v>https://www.lazada.vn/products/combo-2-hop-tra-sinh-ly-nam-ba-kich-ngoc-cau-dong-trung-ha-thao-bo-than-trang-duong-thom-ngon-hop-60-goi-i2975903251.html</v>
      </c>
      <c r="C3978" s="10" t="s">
        <v>3978</v>
      </c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8">
        <v>8833.0</v>
      </c>
      <c r="B3979" s="9" t="str">
        <f>HYPERLINK("https://www.lazada.vn/products/thaya-dried-mango-durian-rice-snack-small-dry-fruits-mixed-dried-pineapple-dragon-fruit-from-thailand-aoa-brand-i2923775694.html", "https://www.lazada.vn/products/thaya-dried-mango-durian-rice-snack-small-dry-fruits-mixed-dried-pineapple-dragon-fruit-from-thailand-aoa-brand-i2923775694.html")</f>
        <v>https://www.lazada.vn/products/thaya-dried-mango-durian-rice-snack-small-dry-fruits-mixed-dried-pineapple-dragon-fruit-from-thailand-aoa-brand-i2923775694.html</v>
      </c>
      <c r="C3979" s="10" t="s">
        <v>3979</v>
      </c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8">
        <v>8834.0</v>
      </c>
      <c r="B3980" s="9" t="str">
        <f>HYPERLINK("https://www.lazada.vn/products/hop-bia-ken-qua-tang-hinh-ngoi-sao-2025-hop-bia-ken-hinh-ngoi-sao-2025-i2971474430.html", "https://www.lazada.vn/products/hop-bia-ken-qua-tang-hinh-ngoi-sao-2025-hop-bia-ken-hinh-ngoi-sao-2025-i2971474430.html")</f>
        <v>https://www.lazada.vn/products/hop-bia-ken-qua-tang-hinh-ngoi-sao-2025-hop-bia-ken-hinh-ngoi-sao-2025-i2971474430.html</v>
      </c>
      <c r="C3980" s="10" t="s">
        <v>3980</v>
      </c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8">
        <v>8835.0</v>
      </c>
      <c r="B3981" s="9" t="str">
        <f>HYPERLINK("https://www.lazada.vn/products/vang-chile-passion-cabernet-sauvignon-i2647664607.html", "https://www.lazada.vn/products/vang-chile-passion-cabernet-sauvignon-i2647664607.html")</f>
        <v>https://www.lazada.vn/products/vang-chile-passion-cabernet-sauvignon-i2647664607.html</v>
      </c>
      <c r="C3981" s="10" t="s">
        <v>3981</v>
      </c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8">
        <v>8836.0</v>
      </c>
      <c r="B3982" s="9" t="str">
        <f>HYPERLINK("https://www.lazada.vn/products/siro-hoa-atiso-do-mut-atiso-do-hu-1kg-hibicus-i2588971540.html", "https://www.lazada.vn/products/siro-hoa-atiso-do-mut-atiso-do-hu-1kg-hibicus-i2588971540.html")</f>
        <v>https://www.lazada.vn/products/siro-hoa-atiso-do-mut-atiso-do-hu-1kg-hibicus-i2588971540.html</v>
      </c>
      <c r="C3982" s="10" t="s">
        <v>3982</v>
      </c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8">
        <v>8837.0</v>
      </c>
      <c r="B3983" s="9" t="str">
        <f>HYPERLINK("https://www.lazada.vn/products/chinh-hang-ruou-sake-sada-amanatsu-nhat-ban-500ml-10-i2313369537.html", "https://www.lazada.vn/products/chinh-hang-ruou-sake-sada-amanatsu-nhat-ban-500ml-10-i2313369537.html")</f>
        <v>https://www.lazada.vn/products/chinh-hang-ruou-sake-sada-amanatsu-nhat-ban-500ml-10-i2313369537.html</v>
      </c>
      <c r="C3983" s="10" t="s">
        <v>3983</v>
      </c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8">
        <v>8838.0</v>
      </c>
      <c r="B3984" s="9" t="str">
        <f>HYPERLINK("https://www.lazada.vn/products/set-bia-ken-2025-set-bia-ken-tet-2025-i2969345845.html", "https://www.lazada.vn/products/set-bia-ken-2025-set-bia-ken-tet-2025-i2969345845.html")</f>
        <v>https://www.lazada.vn/products/set-bia-ken-2025-set-bia-ken-tet-2025-i2969345845.html</v>
      </c>
      <c r="C3984" s="10" t="s">
        <v>3984</v>
      </c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8">
        <v>8839.0</v>
      </c>
      <c r="B3985" s="9" t="str">
        <f>HYPERLINK("https://www.lazada.vn/products/nuoc-yen-sao-chung-duong-phen-thung-12-lo-thuy-tinh-yen-duong-phen-sofia-i2816521031.html", "https://www.lazada.vn/products/nuoc-yen-sao-chung-duong-phen-thung-12-lo-thuy-tinh-yen-duong-phen-sofia-i2816521031.html")</f>
        <v>https://www.lazada.vn/products/nuoc-yen-sao-chung-duong-phen-thung-12-lo-thuy-tinh-yen-duong-phen-sofia-i2816521031.html</v>
      </c>
      <c r="C3985" s="10" t="s">
        <v>3985</v>
      </c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8">
        <v>8840.0</v>
      </c>
      <c r="B3986" s="9" t="str">
        <f>HYPERLINK("https://www.lazada.vn/products/do-an-nhe-kho-dong-lanh-dried-strawberry-flakes-commercial-baking-cake-snowflake-snack-dried-peach-mango-dried-fruit-snack-i2923771862.html", "https://www.lazada.vn/products/do-an-nhe-kho-dong-lanh-dried-strawberry-flakes-commercial-baking-cake-snowflake-snack-dried-peach-mango-dried-fruit-snack-i2923771862.html")</f>
        <v>https://www.lazada.vn/products/do-an-nhe-kho-dong-lanh-dried-strawberry-flakes-commercial-baking-cake-snowflake-snack-dried-peach-mango-dried-fruit-snack-i2923771862.html</v>
      </c>
      <c r="C3986" s="10" t="s">
        <v>3986</v>
      </c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8">
        <v>8841.0</v>
      </c>
      <c r="B3987" s="9" t="str">
        <f>HYPERLINK("https://www.lazada.vn/products/banh-quy-kem-challot-trang-an-tui-275-gam-18-goi-i1797315276.html", "https://www.lazada.vn/products/banh-quy-kem-challot-trang-an-tui-275-gam-18-goi-i1797315276.html")</f>
        <v>https://www.lazada.vn/products/banh-quy-kem-challot-trang-an-tui-275-gam-18-goi-i1797315276.html</v>
      </c>
      <c r="C3987" s="10" t="s">
        <v>3987</v>
      </c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8">
        <v>8842.0</v>
      </c>
      <c r="B3988" s="9" t="str">
        <f>HYPERLINK("https://www.lazada.vn/products/vang-do-terre-terre-di-chietti-merlot-biologique-750ml-i2279678377.html", "https://www.lazada.vn/products/vang-do-terre-terre-di-chietti-merlot-biologique-750ml-i2279678377.html")</f>
        <v>https://www.lazada.vn/products/vang-do-terre-terre-di-chietti-merlot-biologique-750ml-i2279678377.html</v>
      </c>
      <c r="C3988" s="10" t="s">
        <v>3988</v>
      </c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8">
        <v>8843.0</v>
      </c>
      <c r="B3989" s="9" t="str">
        <f>HYPERLINK("https://www.lazada.vn/products/bot-cacao-nguyen-chat-lacacao-premium-the-kaffeine-i2208100605.html", "https://www.lazada.vn/products/bot-cacao-nguyen-chat-lacacao-premium-the-kaffeine-i2208100605.html")</f>
        <v>https://www.lazada.vn/products/bot-cacao-nguyen-chat-lacacao-premium-the-kaffeine-i2208100605.html</v>
      </c>
      <c r="C3989" s="10" t="s">
        <v>3989</v>
      </c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8">
        <v>8844.0</v>
      </c>
      <c r="B3990" s="9" t="str">
        <f>HYPERLINK("https://www.lazada.vn/products/nuoc-ngot-7up-320ml-tet-thung-28-lon-i2494129085.html", "https://www.lazada.vn/products/nuoc-ngot-7up-320ml-tet-thung-28-lon-i2494129085.html")</f>
        <v>https://www.lazada.vn/products/nuoc-ngot-7up-320ml-tet-thung-28-lon-i2494129085.html</v>
      </c>
      <c r="C3990" s="10" t="s">
        <v>3990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8">
        <v>8845.0</v>
      </c>
      <c r="B3991" s="9" t="str">
        <f>HYPERLINK("https://www.lazada.vn/products/hcm-nuoc-tang-luc-bo-cung-red-bull-bo-sung-nang-luong-viet-nam-lon-250ml-date-luon-moi-i2537791904.html", "https://www.lazada.vn/products/hcm-nuoc-tang-luc-bo-cung-red-bull-bo-sung-nang-luong-viet-nam-lon-250ml-date-luon-moi-i2537791904.html")</f>
        <v>https://www.lazada.vn/products/hcm-nuoc-tang-luc-bo-cung-red-bull-bo-sung-nang-luong-viet-nam-lon-250ml-date-luon-moi-i2537791904.html</v>
      </c>
      <c r="C3991" s="10" t="s">
        <v>3991</v>
      </c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8">
        <v>8846.0</v>
      </c>
      <c r="B3992" s="9" t="str">
        <f>HYPERLINK("https://www.lazada.vn/products/30-goi-ca-phe-sau-rieng-gia-soc-i2706349484.html", "https://www.lazada.vn/products/30-goi-ca-phe-sau-rieng-gia-soc-i2706349484.html")</f>
        <v>https://www.lazada.vn/products/30-goi-ca-phe-sau-rieng-gia-soc-i2706349484.html</v>
      </c>
      <c r="C3992" s="10" t="s">
        <v>3992</v>
      </c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8">
        <v>8847.0</v>
      </c>
      <c r="B3993" s="9" t="str">
        <f>HYPERLINK("https://www.lazada.vn/products/socola-lau-dai-xoan-200g-chocolate-nga-dam-vi-an-la-nho-i2929142314.html", "https://www.lazada.vn/products/socola-lau-dai-xoan-200g-chocolate-nga-dam-vi-an-la-nho-i2929142314.html")</f>
        <v>https://www.lazada.vn/products/socola-lau-dai-xoan-200g-chocolate-nga-dam-vi-an-la-nho-i2929142314.html</v>
      </c>
      <c r="C3993" s="10" t="s">
        <v>3993</v>
      </c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8">
        <v>8848.0</v>
      </c>
      <c r="B3994" s="9" t="str">
        <f>HYPERLINK("https://www.lazada.vn/products/thung-48-ly-nuoc-tang-luc-rong-do-220ml-x-48-ly-i2525241144.html", "https://www.lazada.vn/products/thung-48-ly-nuoc-tang-luc-rong-do-220ml-x-48-ly-i2525241144.html")</f>
        <v>https://www.lazada.vn/products/thung-48-ly-nuoc-tang-luc-rong-do-220ml-x-48-ly-i2525241144.html</v>
      </c>
      <c r="C3994" s="10" t="s">
        <v>3994</v>
      </c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8">
        <v>8849.0</v>
      </c>
      <c r="B3995" s="9" t="str">
        <f>HYPERLINK("https://www.lazada.vn/products/cacao-sua-cao-cap-3in1-premium-the-kaffeine-i2208014861.html", "https://www.lazada.vn/products/cacao-sua-cao-cap-3in1-premium-the-kaffeine-i2208014861.html")</f>
        <v>https://www.lazada.vn/products/cacao-sua-cao-cap-3in1-premium-the-kaffeine-i2208014861.html</v>
      </c>
      <c r="C3995" s="10" t="s">
        <v>3995</v>
      </c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8">
        <v>8850.0</v>
      </c>
      <c r="B3996" s="9" t="str">
        <f>HYPERLINK("https://www.lazada.vn/products/ruou-dung-dinh-br-vt-chai-1-lit-i2792616979.html", "https://www.lazada.vn/products/ruou-dung-dinh-br-vt-chai-1-lit-i2792616979.html")</f>
        <v>https://www.lazada.vn/products/ruou-dung-dinh-br-vt-chai-1-lit-i2792616979.html</v>
      </c>
      <c r="C3996" s="10" t="s">
        <v>3996</v>
      </c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8">
        <v>8851.0</v>
      </c>
      <c r="B3997" s="9" t="str">
        <f>HYPERLINK("https://www.lazada.vn/products/chinh-hang-ruou-sake-takanami-junmaishu-nhat-ban-720ml-15-i2313365470.html", "https://www.lazada.vn/products/chinh-hang-ruou-sake-takanami-junmaishu-nhat-ban-720ml-15-i2313365470.html")</f>
        <v>https://www.lazada.vn/products/chinh-hang-ruou-sake-takanami-junmaishu-nhat-ban-720ml-15-i2313365470.html</v>
      </c>
      <c r="C3997" s="10" t="s">
        <v>3997</v>
      </c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8">
        <v>8852.0</v>
      </c>
      <c r="B3998" s="9" t="str">
        <f>HYPERLINK("https://www.lazada.vn/products/rose-flower-cake-wild-breeze-crisp-168g-soft-candy-sweet-and-sour-fruit-cake-snack-special-product-jinan-shandong-traditional-chinese-food-i2923767469.html", "https://www.lazada.vn/products/rose-flower-cake-wild-breeze-crisp-168g-soft-candy-sweet-and-sour-fruit-cake-snack-special-product-jinan-shandong-traditional-chinese-food-i2923767469.html")</f>
        <v>https://www.lazada.vn/products/rose-flower-cake-wild-breeze-crisp-168g-soft-candy-sweet-and-sour-fruit-cake-snack-special-product-jinan-shandong-traditional-chinese-food-i2923767469.html</v>
      </c>
      <c r="C3998" s="10" t="s">
        <v>3998</v>
      </c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8">
        <v>8853.0</v>
      </c>
      <c r="B3999" s="9" t="str">
        <f>HYPERLINK("https://www.lazada.vn/products/combo-5-banh-bong-lan-qua-trung-nhan-kem-pho-mai-nhieu-bieu-cam-xinh-xan-b169-an-vat-beegin-i2663220591.html", "https://www.lazada.vn/products/combo-5-banh-bong-lan-qua-trung-nhan-kem-pho-mai-nhieu-bieu-cam-xinh-xan-b169-an-vat-beegin-i2663220591.html")</f>
        <v>https://www.lazada.vn/products/combo-5-banh-bong-lan-qua-trung-nhan-kem-pho-mai-nhieu-bieu-cam-xinh-xan-b169-an-vat-beegin-i2663220591.html</v>
      </c>
      <c r="C3999" s="10" t="s">
        <v>3999</v>
      </c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8">
        <v>8854.0</v>
      </c>
      <c r="B4000" s="9" t="str">
        <f>HYPERLINK("https://www.lazada.vn/products/haldirams-bhujia-1kg-value-pack-i1918428568.html", "https://www.lazada.vn/products/haldirams-bhujia-1kg-value-pack-i1918428568.html")</f>
        <v>https://www.lazada.vn/products/haldirams-bhujia-1kg-value-pack-i1918428568.html</v>
      </c>
      <c r="C4000" s="10" t="s">
        <v>4000</v>
      </c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8">
        <v>8855.0</v>
      </c>
      <c r="B4001" s="9" t="str">
        <f>HYPERLINK("https://www.lazada.vn/products/vang-y-poggio-domino-vino-rosso-abruzzo-cao-cap-i2647663724.html", "https://www.lazada.vn/products/vang-y-poggio-domino-vino-rosso-abruzzo-cao-cap-i2647663724.html")</f>
        <v>https://www.lazada.vn/products/vang-y-poggio-domino-vino-rosso-abruzzo-cao-cap-i2647663724.html</v>
      </c>
      <c r="C4001" s="10" t="s">
        <v>4001</v>
      </c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8">
        <v>8856.0</v>
      </c>
      <c r="B4002" s="9" t="str">
        <f>HYPERLINK("https://www.lazada.vn/products/banh-quy-sua-cosy-kinh-do-tui-24-cai-x24-gam-i1797196986.html", "https://www.lazada.vn/products/banh-quy-sua-cosy-kinh-do-tui-24-cai-x24-gam-i1797196986.html")</f>
        <v>https://www.lazada.vn/products/banh-quy-sua-cosy-kinh-do-tui-24-cai-x24-gam-i1797196986.html</v>
      </c>
      <c r="C4002" s="10" t="s">
        <v>4002</v>
      </c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8">
        <v>8857.0</v>
      </c>
      <c r="B4003" s="9" t="str">
        <f>HYPERLINK("https://www.lazada.vn/products/banh-meiji-hinh-nam-kinokono-74g-i1790489996.html", "https://www.lazada.vn/products/banh-meiji-hinh-nam-kinokono-74g-i1790489996.html")</f>
        <v>https://www.lazada.vn/products/banh-meiji-hinh-nam-kinokono-74g-i1790489996.html</v>
      </c>
      <c r="C4003" s="10" t="s">
        <v>4003</v>
      </c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8">
        <v>8858.0</v>
      </c>
      <c r="B4004" s="9" t="str">
        <f>HYPERLINK("https://www.lazada.vn/products/banh-snack-nacho-cool-ranch-doritos-1984g-i1788583622.html", "https://www.lazada.vn/products/banh-snack-nacho-cool-ranch-doritos-1984g-i1788583622.html")</f>
        <v>https://www.lazada.vn/products/banh-snack-nacho-cool-ranch-doritos-1984g-i1788583622.html</v>
      </c>
      <c r="C4004" s="10" t="s">
        <v>4004</v>
      </c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8">
        <v>8859.0</v>
      </c>
      <c r="B4005" s="9" t="str">
        <f>HYPERLINK("https://www.lazada.vn/products/banh-chocopie-orion-hop-12-cai-i1787237754.html", "https://www.lazada.vn/products/banh-chocopie-orion-hop-12-cai-i1787237754.html")</f>
        <v>https://www.lazada.vn/products/banh-chocopie-orion-hop-12-cai-i1787237754.html</v>
      </c>
      <c r="C4005" s="10" t="s">
        <v>4005</v>
      </c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8">
        <v>8860.0</v>
      </c>
      <c r="B4006" s="9" t="str">
        <f>HYPERLINK("https://www.lazada.vn/products/snack-tom-hanami-thai-lan-lon-110gr-i1779942523.html", "https://www.lazada.vn/products/snack-tom-hanami-thai-lan-lon-110gr-i1779942523.html")</f>
        <v>https://www.lazada.vn/products/snack-tom-hanami-thai-lan-lon-110gr-i1779942523.html</v>
      </c>
      <c r="C4006" s="10" t="s">
        <v>4006</v>
      </c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8">
        <v>8861.0</v>
      </c>
      <c r="B4007" s="9" t="str">
        <f>HYPERLINK("https://www.lazada.vn/products/banh-yen-mach-han-quoc-400gram-premium-quality-organic-400g-i1779871876.html", "https://www.lazada.vn/products/banh-yen-mach-han-quoc-400gram-premium-quality-organic-400g-i1779871876.html")</f>
        <v>https://www.lazada.vn/products/banh-yen-mach-han-quoc-400gram-premium-quality-organic-400g-i1779871876.html</v>
      </c>
      <c r="C4007" s="10" t="s">
        <v>4007</v>
      </c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8">
        <v>8862.0</v>
      </c>
      <c r="B4008" s="9" t="str">
        <f>HYPERLINK("https://www.lazada.vn/products/banh-an-kieng-biscotti-onfod-banh-ngu-coc-an-kieng-giam-can-cho-nguoi-tieu-duong-gym-yoga-ba-bau-eat-clean-healthy-i1778410493.html", "https://www.lazada.vn/products/banh-an-kieng-biscotti-onfod-banh-ngu-coc-an-kieng-giam-can-cho-nguoi-tieu-duong-gym-yoga-ba-bau-eat-clean-healthy-i1778410493.html")</f>
        <v>https://www.lazada.vn/products/banh-an-kieng-biscotti-onfod-banh-ngu-coc-an-kieng-giam-can-cho-nguoi-tieu-duong-gym-yoga-ba-bau-eat-clean-healthy-i1778410493.html</v>
      </c>
      <c r="C4008" s="10" t="s">
        <v>4008</v>
      </c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8">
        <v>8863.0</v>
      </c>
      <c r="B4009" s="9" t="str">
        <f>HYPERLINK("https://www.lazada.vn/products/1kg-banh-gau-nhan-kem-sua-mix-3-vi-lon-pet-420-gr-banh-gau-mix-3-vi-i1777389855.html", "https://www.lazada.vn/products/1kg-banh-gau-nhan-kem-sua-mix-3-vi-lon-pet-420-gr-banh-gau-mix-3-vi-i1777389855.html")</f>
        <v>https://www.lazada.vn/products/1kg-banh-gau-nhan-kem-sua-mix-3-vi-lon-pet-420-gr-banh-gau-mix-3-vi-i1777389855.html</v>
      </c>
      <c r="C4009" s="10" t="s">
        <v>4009</v>
      </c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8">
        <v>8864.0</v>
      </c>
      <c r="B4010" s="9" t="str">
        <f>HYPERLINK("https://www.lazada.vn/products/mredl-1-thung-bia-corny-khoa-khilong-ngat-ket-noi-cho-bia-nha-kieu-cornelius-i2967119165.html", "https://www.lazada.vn/products/mredl-1-thung-bia-corny-khoa-khilong-ngat-ket-noi-cho-bia-nha-kieu-cornelius-i2967119165.html")</f>
        <v>https://www.lazada.vn/products/mredl-1-thung-bia-corny-khoa-khilong-ngat-ket-noi-cho-bia-nha-kieu-cornelius-i2967119165.html</v>
      </c>
      <c r="C4010" s="10" t="s">
        <v>4010</v>
      </c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8">
        <v>8865.0</v>
      </c>
      <c r="B4011" s="9" t="str">
        <f>HYPERLINK("https://www.lazada.vn/products/6-chai-nuoc-ngot-co-ga-revive-chanh-muoi-revive-muoi-khoang-pepsi-chai-7up-chai-390ml-i2493198744.html", "https://www.lazada.vn/products/6-chai-nuoc-ngot-co-ga-revive-chanh-muoi-revive-muoi-khoang-pepsi-chai-7up-chai-390ml-i2493198744.html")</f>
        <v>https://www.lazada.vn/products/6-chai-nuoc-ngot-co-ga-revive-chanh-muoi-revive-muoi-khoang-pepsi-chai-7up-chai-390ml-i2493198744.html</v>
      </c>
      <c r="C4011" s="10" t="s">
        <v>4011</v>
      </c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8">
        <v>8866.0</v>
      </c>
      <c r="B4012" s="9" t="str">
        <f>HYPERLINK("https://www.lazada.vn/products/keo-hong-vi-quat-mat-ong-mandarin-orange-honey-candy-goi-875g-i1775780068.html", "https://www.lazada.vn/products/keo-hong-vi-quat-mat-ong-mandarin-orange-honey-candy-goi-875g-i1775780068.html")</f>
        <v>https://www.lazada.vn/products/keo-hong-vi-quat-mat-ong-mandarin-orange-honey-candy-goi-875g-i1775780068.html</v>
      </c>
      <c r="C4012" s="10" t="s">
        <v>4012</v>
      </c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8">
        <v>8867.0</v>
      </c>
      <c r="B4013" s="9" t="str">
        <f>HYPERLINK("https://www.lazada.vn/products/bot-socola-nguyen-chat-puratos-khong-duong-i2203637896.html", "https://www.lazada.vn/products/bot-socola-nguyen-chat-puratos-khong-duong-i2203637896.html")</f>
        <v>https://www.lazada.vn/products/bot-socola-nguyen-chat-puratos-khong-duong-i2203637896.html</v>
      </c>
      <c r="C4013" s="10" t="s">
        <v>4013</v>
      </c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8">
        <v>8868.0</v>
      </c>
      <c r="B4014" s="9" t="str">
        <f>HYPERLINK("https://www.lazada.vn/products/tao-khuyet-sua-deo-nuong-mua-he-tu-lam-snack-qua-troi-khong-them-beo-phi-do-an-qua-troi-cho-nha-cua-i2923766427.html", "https://www.lazada.vn/products/tao-khuyet-sua-deo-nuong-mua-he-tu-lam-snack-qua-troi-khong-them-beo-phi-do-an-qua-troi-cho-nha-cua-i2923766427.html")</f>
        <v>https://www.lazada.vn/products/tao-khuyet-sua-deo-nuong-mua-he-tu-lam-snack-qua-troi-khong-them-beo-phi-do-an-qua-troi-cho-nha-cua-i2923766427.html</v>
      </c>
      <c r="C4014" s="10" t="s">
        <v>4014</v>
      </c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8">
        <v>8869.0</v>
      </c>
      <c r="B4015" s="9" t="str">
        <f>HYPERLINK("https://www.lazada.vn/products/vang-elite-reserva-cabernet-sauvignon-syrah-3-lit-i2647661380.html", "https://www.lazada.vn/products/vang-elite-reserva-cabernet-sauvignon-syrah-3-lit-i2647661380.html")</f>
        <v>https://www.lazada.vn/products/vang-elite-reserva-cabernet-sauvignon-syrah-3-lit-i2647661380.html</v>
      </c>
      <c r="C4015" s="10" t="s">
        <v>4015</v>
      </c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8">
        <v>8870.0</v>
      </c>
      <c r="B4016" s="9" t="str">
        <f>HYPERLINK("https://www.lazada.vn/products/banh-ca-so-co-la-orion-han-quoc-6-banh-i1773947980.html", "https://www.lazada.vn/products/banh-ca-so-co-la-orion-han-quoc-6-banh-i1773947980.html")</f>
        <v>https://www.lazada.vn/products/banh-ca-so-co-la-orion-han-quoc-6-banh-i1773947980.html</v>
      </c>
      <c r="C4016" s="10" t="s">
        <v>4016</v>
      </c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8">
        <v>8871.0</v>
      </c>
      <c r="B4017" s="9" t="str">
        <f>HYPERLINK("https://www.lazada.vn/products/nguyen-thung-12-chai-blue-whisky-cua-lao-tui-lam-qua-dep-va-sang-trong-i2966681001.html", "https://www.lazada.vn/products/nguyen-thung-12-chai-blue-whisky-cua-lao-tui-lam-qua-dep-va-sang-trong-i2966681001.html")</f>
        <v>https://www.lazada.vn/products/nguyen-thung-12-chai-blue-whisky-cua-lao-tui-lam-qua-dep-va-sang-trong-i2966681001.html</v>
      </c>
      <c r="C4017" s="10" t="s">
        <v>4017</v>
      </c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8">
        <v>8872.0</v>
      </c>
      <c r="B4018" s="9" t="str">
        <f>HYPERLINK("https://www.lazada.vn/products/siro-dau-tay-pomona-strawberry-nguyen-lieu-pha-che-han-quoc-chai-thuy-tinh-1-lit-i2588617904.html", "https://www.lazada.vn/products/siro-dau-tay-pomona-strawberry-nguyen-lieu-pha-che-han-quoc-chai-thuy-tinh-1-lit-i2588617904.html")</f>
        <v>https://www.lazada.vn/products/siro-dau-tay-pomona-strawberry-nguyen-lieu-pha-che-han-quoc-chai-thuy-tinh-1-lit-i2588617904.html</v>
      </c>
      <c r="C4018" s="10" t="s">
        <v>4018</v>
      </c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8">
        <v>8873.0</v>
      </c>
      <c r="B4019" s="9" t="str">
        <f>HYPERLINK("https://www.lazada.vn/products/313g-banh-gau-phat-tai-nhan-socola-mau-nau-an-vat-ngon-i2914217987.html", "https://www.lazada.vn/products/313g-banh-gau-phat-tai-nhan-socola-mau-nau-an-vat-ngon-i2914217987.html")</f>
        <v>https://www.lazada.vn/products/313g-banh-gau-phat-tai-nhan-socola-mau-nau-an-vat-ngon-i2914217987.html</v>
      </c>
      <c r="C4019" s="10" t="s">
        <v>4019</v>
      </c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8">
        <v>8874.0</v>
      </c>
      <c r="B4020" s="9" t="str">
        <f>HYPERLINK("https://www.lazada.vn/products/haldiram-yumkeenz-bhujia-150g-i1910837922.html", "https://www.lazada.vn/products/haldiram-yumkeenz-bhujia-150g-i1910837922.html")</f>
        <v>https://www.lazada.vn/products/haldiram-yumkeenz-bhujia-150g-i1910837922.html</v>
      </c>
      <c r="C4020" s="10" t="s">
        <v>4020</v>
      </c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8">
        <v>8875.0</v>
      </c>
      <c r="B4021" s="9" t="str">
        <f>HYPERLINK("https://www.lazada.vn/products/thung-24-chai-nuoc-khoang-co-ga-vi-chanh-muoi-350ml-leo-shop-mint-mint-i2524998983.html", "https://www.lazada.vn/products/thung-24-chai-nuoc-khoang-co-ga-vi-chanh-muoi-350ml-leo-shop-mint-mint-i2524998983.html")</f>
        <v>https://www.lazada.vn/products/thung-24-chai-nuoc-khoang-co-ga-vi-chanh-muoi-350ml-leo-shop-mint-mint-i2524998983.html</v>
      </c>
      <c r="C4021" s="10" t="s">
        <v>4021</v>
      </c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8">
        <v>8876.0</v>
      </c>
      <c r="B4022" s="9" t="str">
        <f>HYPERLINK("https://www.lazada.vn/products/banh-quy-bo-lu-phap-200gam-i1770276658.html", "https://www.lazada.vn/products/banh-quy-bo-lu-phap-200gam-i1770276658.html")</f>
        <v>https://www.lazada.vn/products/banh-quy-bo-lu-phap-200gam-i1770276658.html</v>
      </c>
      <c r="C4022" s="10" t="s">
        <v>4022</v>
      </c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8">
        <v>8877.0</v>
      </c>
      <c r="B4023" s="9" t="str">
        <f>HYPERLINK("https://www.lazada.vn/products/tuyet-yen-van-nam-no-keo-soi-set-10g-i2760048558.html", "https://www.lazada.vn/products/tuyet-yen-van-nam-no-keo-soi-set-10g-i2760048558.html")</f>
        <v>https://www.lazada.vn/products/tuyet-yen-van-nam-no-keo-soi-set-10g-i2760048558.html</v>
      </c>
      <c r="C4023" s="10" t="s">
        <v>4023</v>
      </c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8">
        <v>8878.0</v>
      </c>
      <c r="B4024" s="9" t="str">
        <f>HYPERLINK("https://www.lazada.vn/products/thung-24chai-nuoc-ngot-revive-chanh-muoi-390ml-dam-da-thom-ngon-dung-vi-la-nuoc-giai-khac-bu-nuoc-bu-khoan-cho-nang-suat-lao-dong-han-su-dung-luon-moi-i2486083058.html", "https://www.lazada.vn/products/thung-24chai-nuoc-ngot-revive-chanh-muoi-390ml-dam-da-thom-ngon-dung-vi-la-nuoc-giai-khac-bu-nuoc-bu-khoan-cho-nang-suat-lao-dong-han-su-dung-luon-moi-i2486083058.html")</f>
        <v>https://www.lazada.vn/products/thung-24chai-nuoc-ngot-revive-chanh-muoi-390ml-dam-da-thom-ngon-dung-vi-la-nuoc-giai-khac-bu-nuoc-bu-khoan-cho-nang-suat-lao-dong-han-su-dung-luon-moi-i2486083058.html</v>
      </c>
      <c r="C4024" s="10" t="s">
        <v>4024</v>
      </c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8">
        <v>8879.0</v>
      </c>
      <c r="B4025" s="9" t="str">
        <f>HYPERLINK("https://www.lazada.vn/products/chinh-hang-ruou-sake-sada-yuzu-nhat-ban-500ml-8-i2313360528.html", "https://www.lazada.vn/products/chinh-hang-ruou-sake-sada-yuzu-nhat-ban-500ml-8-i2313360528.html")</f>
        <v>https://www.lazada.vn/products/chinh-hang-ruou-sake-sada-yuzu-nhat-ban-500ml-8-i2313360528.html</v>
      </c>
      <c r="C4025" s="10" t="s">
        <v>4025</v>
      </c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8">
        <v>8880.0</v>
      </c>
      <c r="B4026" s="9" t="str">
        <f>HYPERLINK("https://www.lazada.vn/products/banh-quy-pho-mai-gery-crackers-300g-i1770126231.html", "https://www.lazada.vn/products/banh-quy-pho-mai-gery-crackers-300g-i1770126231.html")</f>
        <v>https://www.lazada.vn/products/banh-quy-pho-mai-gery-crackers-300g-i1770126231.html</v>
      </c>
      <c r="C4026" s="10" t="s">
        <v>4026</v>
      </c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8">
        <v>8881.0</v>
      </c>
      <c r="B4027" s="9" t="str">
        <f>HYPERLINK("https://www.lazada.vn/products/banh-cookies-lai-phu-kem-sau-rieng-1015g-i1765310647.html", "https://www.lazada.vn/products/banh-cookies-lai-phu-kem-sau-rieng-1015g-i1765310647.html")</f>
        <v>https://www.lazada.vn/products/banh-cookies-lai-phu-kem-sau-rieng-1015g-i1765310647.html</v>
      </c>
      <c r="C4027" s="10" t="s">
        <v>4027</v>
      </c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8">
        <v>8882.0</v>
      </c>
      <c r="B4028" s="9" t="str">
        <f>HYPERLINK("https://www.lazada.vn/products/banh-sua-chua-horsh-pho-mai-sua-thom-ngon-beo-ngay-200g-i1763220040.html", "https://www.lazada.vn/products/banh-sua-chua-horsh-pho-mai-sua-thom-ngon-beo-ngay-200g-i1763220040.html")</f>
        <v>https://www.lazada.vn/products/banh-sua-chua-horsh-pho-mai-sua-thom-ngon-beo-ngay-200g-i1763220040.html</v>
      </c>
      <c r="C4028" s="10" t="s">
        <v>4028</v>
      </c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8">
        <v>8883.0</v>
      </c>
      <c r="B4029" s="9" t="str">
        <f>HYPERLINK("https://www.lazada.vn/products/hop-banh-orion-custas-12-goi-i1755426667.html", "https://www.lazada.vn/products/hop-banh-orion-custas-12-goi-i1755426667.html")</f>
        <v>https://www.lazada.vn/products/hop-banh-orion-custas-12-goi-i1755426667.html</v>
      </c>
      <c r="C4029" s="10" t="s">
        <v>4029</v>
      </c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8">
        <v>8884.0</v>
      </c>
      <c r="B4030" s="9" t="str">
        <f>HYPERLINK("https://www.lazada.vn/products/banh-chocopie-orion-hop-12goi-i1755385821.html", "https://www.lazada.vn/products/banh-chocopie-orion-hop-12goi-i1755385821.html")</f>
        <v>https://www.lazada.vn/products/banh-chocopie-orion-hop-12goi-i1755385821.html</v>
      </c>
      <c r="C4030" s="10" t="s">
        <v>4030</v>
      </c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8">
        <v>8885.0</v>
      </c>
      <c r="B4031" s="9" t="str">
        <f>HYPERLINK("https://www.lazada.vn/products/banh-cookies-lai-phu-kem-chanh-day-350g-i1741939317.html", "https://www.lazada.vn/products/banh-cookies-lai-phu-kem-chanh-day-350g-i1741939317.html")</f>
        <v>https://www.lazada.vn/products/banh-cookies-lai-phu-kem-chanh-day-350g-i1741939317.html</v>
      </c>
      <c r="C4031" s="10" t="s">
        <v>4031</v>
      </c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8">
        <v>8886.0</v>
      </c>
      <c r="B4032" s="9" t="str">
        <f>HYPERLINK("https://www.lazada.vn/products/banh-cookies-lai-phu-kem-khoai-mon-350g-i1741872654.html", "https://www.lazada.vn/products/banh-cookies-lai-phu-kem-khoai-mon-350g-i1741872654.html")</f>
        <v>https://www.lazada.vn/products/banh-cookies-lai-phu-kem-khoai-mon-350g-i1741872654.html</v>
      </c>
      <c r="C4032" s="10" t="s">
        <v>4032</v>
      </c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8">
        <v>8887.0</v>
      </c>
      <c r="B4033" s="9" t="str">
        <f>HYPERLINK("https://www.lazada.vn/products/30-goi-ca-phe-dua-gia-soc-i2706283641.html", "https://www.lazada.vn/products/30-goi-ca-phe-dua-gia-soc-i2706283641.html")</f>
        <v>https://www.lazada.vn/products/30-goi-ca-phe-dua-gia-soc-i2706283641.html</v>
      </c>
      <c r="C4033" s="10" t="s">
        <v>4033</v>
      </c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8">
        <v>8888.0</v>
      </c>
      <c r="B4034" s="9" t="str">
        <f>HYPERLINK("https://www.lazada.vn/products/socola-tuoi-nhan-keo-deo-trai-cay-sieu-pham-cua-yumi-158g-i2929004051.html", "https://www.lazada.vn/products/socola-tuoi-nhan-keo-deo-trai-cay-sieu-pham-cua-yumi-158g-i2929004051.html")</f>
        <v>https://www.lazada.vn/products/socola-tuoi-nhan-keo-deo-trai-cay-sieu-pham-cua-yumi-158g-i2929004051.html</v>
      </c>
      <c r="C4034" s="10" t="s">
        <v>4034</v>
      </c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8">
        <v>8889.0</v>
      </c>
      <c r="B4035" s="9" t="str">
        <f>HYPERLINK("https://www.lazada.vn/products/nguyen-thung-12-chai-black-whisky-cua-lao-tui-lam-qua-tet-rat-dep-va-sang-trong-i2966021093.html", "https://www.lazada.vn/products/nguyen-thung-12-chai-black-whisky-cua-lao-tui-lam-qua-tet-rat-dep-va-sang-trong-i2966021093.html")</f>
        <v>https://www.lazada.vn/products/nguyen-thung-12-chai-black-whisky-cua-lao-tui-lam-qua-tet-rat-dep-va-sang-trong-i2966021093.html</v>
      </c>
      <c r="C4035" s="10" t="s">
        <v>4035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8">
        <v>8890.0</v>
      </c>
      <c r="B4036" s="9" t="str">
        <f>HYPERLINK("https://www.lazada.vn/products/thung-1kg-khoang-29-30cbanh-bong-lan-qua-trung-nhan-kem-pho-mai-nhieu-bieu-cam-xinh-xan-b169-beegin-food-i2663188905.html", "https://www.lazada.vn/products/thung-1kg-khoang-29-30cbanh-bong-lan-qua-trung-nhan-kem-pho-mai-nhieu-bieu-cam-xinh-xan-b169-beegin-food-i2663188905.html")</f>
        <v>https://www.lazada.vn/products/thung-1kg-khoang-29-30cbanh-bong-lan-qua-trung-nhan-kem-pho-mai-nhieu-bieu-cam-xinh-xan-b169-beegin-food-i2663188905.html</v>
      </c>
      <c r="C4036" s="10" t="s">
        <v>4036</v>
      </c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8">
        <v>8891.0</v>
      </c>
      <c r="B4037" s="9" t="str">
        <f>HYPERLINK("https://www.lazada.vn/products/vang-chile-moai-limited-edition_750ml-i2647660668.html", "https://www.lazada.vn/products/vang-chile-moai-limited-edition_750ml-i2647660668.html")</f>
        <v>https://www.lazada.vn/products/vang-chile-moai-limited-edition_750ml-i2647660668.html</v>
      </c>
      <c r="C4037" s="10" t="s">
        <v>4037</v>
      </c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8">
        <v>8892.0</v>
      </c>
      <c r="B4038" s="9" t="str">
        <f>HYPERLINK("https://www.lazada.vn/products/combo-10-goi-rong-bien-cuon-com-gimbab-yaki-sushi-nori-100-la-1-goi-i1881750117.html", "https://www.lazada.vn/products/combo-10-goi-rong-bien-cuon-com-gimbab-yaki-sushi-nori-100-la-1-goi-i1881750117.html")</f>
        <v>https://www.lazada.vn/products/combo-10-goi-rong-bien-cuon-com-gimbab-yaki-sushi-nori-100-la-1-goi-i1881750117.html</v>
      </c>
      <c r="C4038" s="10" t="s">
        <v>4038</v>
      </c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8">
        <v>8893.0</v>
      </c>
      <c r="B4039" s="9" t="str">
        <f>HYPERLINK("https://www.lazada.vn/products/loc-6chai-nuoc-ngot-revive-chanh-muoi-390ml-dam-da-thom-ngon-dung-vi-la-nuoc-giai-khac-bu-nuoc-bu-nuoc-bu-khoan-cho-nang-suat-lao-dong-han-su-dung-luon-moi-i2485977660.html", "https://www.lazada.vn/products/loc-6chai-nuoc-ngot-revive-chanh-muoi-390ml-dam-da-thom-ngon-dung-vi-la-nuoc-giai-khac-bu-nuoc-bu-nuoc-bu-khoan-cho-nang-suat-lao-dong-han-su-dung-luon-moi-i2485977660.html")</f>
        <v>https://www.lazada.vn/products/loc-6chai-nuoc-ngot-revive-chanh-muoi-390ml-dam-da-thom-ngon-dung-vi-la-nuoc-giai-khac-bu-nuoc-bu-nuoc-bu-khoan-cho-nang-suat-lao-dong-han-su-dung-luon-moi-i2485977660.html</v>
      </c>
      <c r="C4039" s="10" t="s">
        <v>4039</v>
      </c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8">
        <v>8894.0</v>
      </c>
      <c r="B4040" s="9" t="str">
        <f>HYPERLINK("https://www.lazada.vn/products/ruou-sake-manga-nhat-ban-720ml-13-i2313358390.html", "https://www.lazada.vn/products/ruou-sake-manga-nhat-ban-720ml-13-i2313358390.html")</f>
        <v>https://www.lazada.vn/products/ruou-sake-manga-nhat-ban-720ml-13-i2313358390.html</v>
      </c>
      <c r="C4040" s="10" t="s">
        <v>4040</v>
      </c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8">
        <v>8895.0</v>
      </c>
      <c r="B4041" s="9" t="str">
        <f>HYPERLINK("https://www.lazada.vn/products/bich-30-goi-milo-moi-goi-to-23g-noi-dia-thai-lan-i2199644199.html", "https://www.lazada.vn/products/bich-30-goi-milo-moi-goi-to-23g-noi-dia-thai-lan-i2199644199.html")</f>
        <v>https://www.lazada.vn/products/bich-30-goi-milo-moi-goi-to-23g-noi-dia-thai-lan-i2199644199.html</v>
      </c>
      <c r="C4041" s="10" t="s">
        <v>4041</v>
      </c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8">
        <v>8896.0</v>
      </c>
      <c r="B4042" s="9" t="str">
        <f>HYPERLINK("https://www.lazada.vn/products/goi-313g-banh-gau-phat-tai-nhan-socola-mau-nau-an-vat-i2912184111.html", "https://www.lazada.vn/products/goi-313g-banh-gau-phat-tai-nhan-socola-mau-nau-an-vat-i2912184111.html")</f>
        <v>https://www.lazada.vn/products/goi-313g-banh-gau-phat-tai-nhan-socola-mau-nau-an-vat-i2912184111.html</v>
      </c>
      <c r="C4042" s="10" t="s">
        <v>4042</v>
      </c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8">
        <v>8897.0</v>
      </c>
      <c r="B4043" s="9" t="str">
        <f>HYPERLINK("https://www.lazada.vn/products/healthy-dried-strawberry-snack-ice-sugar-frozen-dry-fruit-crisp-sweet-dehydrated-fruit-treat-yimeng-commune-river-east-district-shandong-i2923758351.html", "https://www.lazada.vn/products/healthy-dried-strawberry-snack-ice-sugar-frozen-dry-fruit-crisp-sweet-dehydrated-fruit-treat-yimeng-commune-river-east-district-shandong-i2923758351.html")</f>
        <v>https://www.lazada.vn/products/healthy-dried-strawberry-snack-ice-sugar-frozen-dry-fruit-crisp-sweet-dehydrated-fruit-treat-yimeng-commune-river-east-district-shandong-i2923758351.html</v>
      </c>
      <c r="C4043" s="10" t="s">
        <v>4043</v>
      </c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8">
        <v>8898.0</v>
      </c>
      <c r="B4044" s="9" t="str">
        <f>HYPERLINK("https://www.lazada.vn/products/1kg-hat-dieu-rang-toi-i1812721066.html", "https://www.lazada.vn/products/1kg-hat-dieu-rang-toi-i1812721066.html")</f>
        <v>https://www.lazada.vn/products/1kg-hat-dieu-rang-toi-i1812721066.html</v>
      </c>
      <c r="C4044" s="10" t="s">
        <v>4044</v>
      </c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8">
        <v>8899.0</v>
      </c>
      <c r="B4045" s="9" t="str">
        <f>HYPERLINK("https://www.lazada.vn/products/new-nuoc-khoang-lavi-5lit-hang-chinh-hang-i2522048280.html", "https://www.lazada.vn/products/new-nuoc-khoang-lavi-5lit-hang-chinh-hang-i2522048280.html")</f>
        <v>https://www.lazada.vn/products/new-nuoc-khoang-lavi-5lit-hang-chinh-hang-i2522048280.html</v>
      </c>
      <c r="C4045" s="10" t="s">
        <v>4045</v>
      </c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8">
        <v>8900.0</v>
      </c>
      <c r="B4046" s="9" t="str">
        <f>HYPERLINK("https://www.lazada.vn/products/6-chai-nuoc-ngot-coca-cola-390ml-i2484293602.html", "https://www.lazada.vn/products/6-chai-nuoc-ngot-coca-cola-390ml-i2484293602.html")</f>
        <v>https://www.lazada.vn/products/6-chai-nuoc-ngot-coca-cola-390ml-i2484293602.html</v>
      </c>
      <c r="C4046" s="10" t="s">
        <v>4046</v>
      </c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8">
        <v>8901.0</v>
      </c>
      <c r="B4047" s="9" t="str">
        <f>HYPERLINK("https://www.lazada.vn/products/vang-do-alora-750-ml-vang-goi-qua-gia-si-i2729234472.html", "https://www.lazada.vn/products/vang-do-alora-750-ml-vang-goi-qua-gia-si-i2729234472.html")</f>
        <v>https://www.lazada.vn/products/vang-do-alora-750-ml-vang-goi-qua-gia-si-i2729234472.html</v>
      </c>
      <c r="C4047" s="10" t="s">
        <v>4047</v>
      </c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8">
        <v>8902.0</v>
      </c>
      <c r="B4048" s="9" t="str">
        <f>HYPERLINK("https://www.lazada.vn/products/ca-phe-pha-phim-bao-ngoc-thom-ngon-den-tung-giot-1goi-500g-dam-da-thom-ngon-dung-chat-huong-vi-ca-phe-hat-100-cho-ra-ly-ca-phe-thom-ngon-doc-dao-den-tung-giot-han-su-dung-luon-moi-i2704142203.html", "https://www.lazada.vn/products/ca-phe-pha-phim-bao-ngoc-thom-ngon-den-tung-giot-1goi-500g-dam-da-thom-ngon-dung-chat-huong-vi-ca-phe-hat-100-cho-ra-ly-ca-phe-thom-ngon-doc-dao-den-tung-giot-han-su-dung-luon-moi-i2704142203.html")</f>
        <v>https://www.lazada.vn/products/ca-phe-pha-phim-bao-ngoc-thom-ngon-den-tung-giot-1goi-500g-dam-da-thom-ngon-dung-chat-huong-vi-ca-phe-hat-100-cho-ra-ly-ca-phe-thom-ngon-doc-dao-den-tung-giot-han-su-dung-luon-moi-i2704142203.html</v>
      </c>
      <c r="C4048" s="10" t="s">
        <v>4048</v>
      </c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8">
        <v>8903.0</v>
      </c>
      <c r="B4049" s="9" t="str">
        <f>HYPERLINK("https://www.lazada.vn/products/date-0126-socola-kisses-bac-330-vien-158kg-my-i2928983734.html", "https://www.lazada.vn/products/date-0126-socola-kisses-bac-330-vien-158kg-my-i2928983734.html")</f>
        <v>https://www.lazada.vn/products/date-0126-socola-kisses-bac-330-vien-158kg-my-i2928983734.html</v>
      </c>
      <c r="C4049" s="10" t="s">
        <v>4049</v>
      </c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8">
        <v>8904.0</v>
      </c>
      <c r="B4050" s="9" t="str">
        <f>HYPERLINK("https://www.lazada.vn/products/hop-go-3-chai-bia-su-schorsch-13-500ml-i2965452140.html", "https://www.lazada.vn/products/hop-go-3-chai-bia-su-schorsch-13-500ml-i2965452140.html")</f>
        <v>https://www.lazada.vn/products/hop-go-3-chai-bia-su-schorsch-13-500ml-i2965452140.html</v>
      </c>
      <c r="C4050" s="10" t="s">
        <v>4050</v>
      </c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8">
        <v>8905.0</v>
      </c>
      <c r="B4051" s="9" t="str">
        <f>HYPERLINK("https://www.lazada.vn/products/siro-gung-chanh-pomona-ginger-lemon-syrup-nguyen-lieu-pha-che-han-quoc-chai-thuy-tinh-1-lit-i2588570678.html", "https://www.lazada.vn/products/siro-gung-chanh-pomona-ginger-lemon-syrup-nguyen-lieu-pha-che-han-quoc-chai-thuy-tinh-1-lit-i2588570678.html")</f>
        <v>https://www.lazada.vn/products/siro-gung-chanh-pomona-ginger-lemon-syrup-nguyen-lieu-pha-che-han-quoc-chai-thuy-tinh-1-lit-i2588570678.html</v>
      </c>
      <c r="C4051" s="10" t="s">
        <v>4051</v>
      </c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8">
        <v>8906.0</v>
      </c>
      <c r="B4052" s="9" t="str">
        <f>HYPERLINK("https://www.lazada.vn/products/thung-2kg-khoang-59-60cbanh-bong-lan-qua-trung-nhan-kem-pho-mai-nhieu-bieu-cam-xinh-xan-b169-beegin-food-i2663187866.html", "https://www.lazada.vn/products/thung-2kg-khoang-59-60cbanh-bong-lan-qua-trung-nhan-kem-pho-mai-nhieu-bieu-cam-xinh-xan-b169-beegin-food-i2663187866.html")</f>
        <v>https://www.lazada.vn/products/thung-2kg-khoang-59-60cbanh-bong-lan-qua-trung-nhan-kem-pho-mai-nhieu-bieu-cam-xinh-xan-b169-beegin-food-i2663187866.html</v>
      </c>
      <c r="C4052" s="10" t="s">
        <v>4052</v>
      </c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8">
        <v>8907.0</v>
      </c>
      <c r="B4053" s="9" t="str">
        <f>HYPERLINK("https://www.lazada.vn/products/1-hu-rong-bien-nuong-vi-truyen-thong-i1881713381.html", "https://www.lazada.vn/products/1-hu-rong-bien-nuong-vi-truyen-thong-i1881713381.html")</f>
        <v>https://www.lazada.vn/products/1-hu-rong-bien-nuong-vi-truyen-thong-i1881713381.html</v>
      </c>
      <c r="C4053" s="10" t="s">
        <v>4053</v>
      </c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8">
        <v>8908.0</v>
      </c>
      <c r="B4054" s="9" t="str">
        <f>HYPERLINK("https://www.lazada.vn/products/vang-g7-cabernet-sauvignon-do-i2647650651.html", "https://www.lazada.vn/products/vang-g7-cabernet-sauvignon-do-i2647650651.html")</f>
        <v>https://www.lazada.vn/products/vang-g7-cabernet-sauvignon-do-i2647650651.html</v>
      </c>
      <c r="C4054" s="10" t="s">
        <v>4054</v>
      </c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8">
        <v>8909.0</v>
      </c>
      <c r="B4055" s="9" t="str">
        <f>HYPERLINK("https://www.lazada.vn/products/combo-5-banh-bong-lan-qua-trung-nhan-kem-pho-mai-nhieu-bieu-cam-xinh-xan-b169-beegin-food-shop-i2663129756.html", "https://www.lazada.vn/products/combo-5-banh-bong-lan-qua-trung-nhan-kem-pho-mai-nhieu-bieu-cam-xinh-xan-b169-beegin-food-shop-i2663129756.html")</f>
        <v>https://www.lazada.vn/products/combo-5-banh-bong-lan-qua-trung-nhan-kem-pho-mai-nhieu-bieu-cam-xinh-xan-b169-beegin-food-shop-i2663129756.html</v>
      </c>
      <c r="C4055" s="10" t="s">
        <v>4055</v>
      </c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8">
        <v>8910.0</v>
      </c>
      <c r="B4056" s="9" t="str">
        <f>HYPERLINK("https://www.lazada.vn/products/bot-socola-mole-powder-i2193550956.html", "https://www.lazada.vn/products/bot-socola-mole-powder-i2193550956.html")</f>
        <v>https://www.lazada.vn/products/bot-socola-mole-powder-i2193550956.html</v>
      </c>
      <c r="C4056" s="10" t="s">
        <v>4056</v>
      </c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8">
        <v>8911.0</v>
      </c>
      <c r="B4057" s="9" t="str">
        <f>HYPERLINK("https://www.lazada.vn/products/mua-hoa-o-liu-kho-co-huong-vi-man-500g-tui-dung-trai-cay-kho-dac-san-quang-dong-chao-shu-snack-trai-cay-kho-i2923752928.html", "https://www.lazada.vn/products/mua-hoa-o-liu-kho-co-huong-vi-man-500g-tui-dung-trai-cay-kho-dac-san-quang-dong-chao-shu-snack-trai-cay-kho-i2923752928.html")</f>
        <v>https://www.lazada.vn/products/mua-hoa-o-liu-kho-co-huong-vi-man-500g-tui-dung-trai-cay-kho-dac-san-quang-dong-chao-shu-snack-trai-cay-kho-i2923752928.html</v>
      </c>
      <c r="C4057" s="10" t="s">
        <v>4057</v>
      </c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8">
        <v>8912.0</v>
      </c>
      <c r="B4058" s="9" t="str">
        <f>HYPERLINK("https://www.lazada.vn/products/chinh-hang-ruou-sake-takanami-junmai-daiginjo-720ml-15-i2313292853.html", "https://www.lazada.vn/products/chinh-hang-ruou-sake-takanami-junmai-daiginjo-720ml-15-i2313292853.html")</f>
        <v>https://www.lazada.vn/products/chinh-hang-ruou-sake-takanami-junmai-daiginjo-720ml-15-i2313292853.html</v>
      </c>
      <c r="C4058" s="10" t="s">
        <v>4058</v>
      </c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8">
        <v>8913.0</v>
      </c>
      <c r="B4059" s="9" t="str">
        <f>HYPERLINK("https://www.lazada.vn/products/like-nest-hop-6-lo-x70ml-yen-sao-35-kids-vitamin-canxi-dha-danh-cho-tre-em-nhieu-vi-i2722802874.html", "https://www.lazada.vn/products/like-nest-hop-6-lo-x70ml-yen-sao-35-kids-vitamin-canxi-dha-danh-cho-tre-em-nhieu-vi-i2722802874.html")</f>
        <v>https://www.lazada.vn/products/like-nest-hop-6-lo-x70ml-yen-sao-35-kids-vitamin-canxi-dha-danh-cho-tre-em-nhieu-vi-i2722802874.html</v>
      </c>
      <c r="C4059" s="10" t="s">
        <v>4059</v>
      </c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8">
        <v>8914.0</v>
      </c>
      <c r="B4060" s="9" t="str">
        <f>HYPERLINK("https://www.lazada.vn/products/combo-3-goi-rong-bien-cuon-com-gim-bab-gim-20ggoi-i1881693527.html", "https://www.lazada.vn/products/combo-3-goi-rong-bien-cuon-com-gim-bab-gim-20ggoi-i1881693527.html")</f>
        <v>https://www.lazada.vn/products/combo-3-goi-rong-bien-cuon-com-gim-bab-gim-20ggoi-i1881693527.html</v>
      </c>
      <c r="C4060" s="10" t="s">
        <v>4060</v>
      </c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8">
        <v>8915.0</v>
      </c>
      <c r="B4061" s="9" t="str">
        <f>HYPERLINK("https://www.lazada.vn/products/nims-so-co-la-gion-tan-chay-mini-coco-crunch-250gram-i2928934378.html", "https://www.lazada.vn/products/nims-so-co-la-gion-tan-chay-mini-coco-crunch-250gram-i2928934378.html")</f>
        <v>https://www.lazada.vn/products/nims-so-co-la-gion-tan-chay-mini-coco-crunch-250gram-i2928934378.html</v>
      </c>
      <c r="C4061" s="10" t="s">
        <v>4061</v>
      </c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8">
        <v>8916.0</v>
      </c>
      <c r="B4062" s="9" t="str">
        <f>HYPERLINK("https://www.lazada.vn/products/starbucks-vien-nen-ca-phe-nespresso-capsule-16-vi-espresso-lungo-illy-starbucks-korea-i2700292877.html", "https://www.lazada.vn/products/starbucks-vien-nen-ca-phe-nespresso-capsule-16-vi-espresso-lungo-illy-starbucks-korea-i2700292877.html")</f>
        <v>https://www.lazada.vn/products/starbucks-vien-nen-ca-phe-nespresso-capsule-16-vi-espresso-lungo-illy-starbucks-korea-i2700292877.html</v>
      </c>
      <c r="C4062" s="10" t="s">
        <v>4062</v>
      </c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8">
        <v>8917.0</v>
      </c>
      <c r="B4063" s="9" t="str">
        <f>HYPERLINK("https://www.lazada.vn/products/cot-gung-nghe-hat-gac-ha-tho-annam-i2790850574.html", "https://www.lazada.vn/products/cot-gung-nghe-hat-gac-ha-tho-annam-i2790850574.html")</f>
        <v>https://www.lazada.vn/products/cot-gung-nghe-hat-gac-ha-tho-annam-i2790850574.html</v>
      </c>
      <c r="C4063" s="10" t="s">
        <v>4063</v>
      </c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8">
        <v>8918.0</v>
      </c>
      <c r="B4064" s="9" t="str">
        <f>HYPERLINK("https://www.lazada.vn/products/combo-tu-hai-long-vuong-ngam-8-10lit-ruou-i2586250599.html", "https://www.lazada.vn/products/combo-tu-hai-long-vuong-ngam-8-10lit-ruou-i2586250599.html")</f>
        <v>https://www.lazada.vn/products/combo-tu-hai-long-vuong-ngam-8-10lit-ruou-i2586250599.html</v>
      </c>
      <c r="C4064" s="10" t="s">
        <v>4064</v>
      </c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8">
        <v>8919.0</v>
      </c>
      <c r="B4065" s="9" t="str">
        <f>HYPERLINK("https://www.lazada.vn/products/hop-go-3-chai-bia-su-schorsch-13-500ml-i2965366492.html", "https://www.lazada.vn/products/hop-go-3-chai-bia-su-schorsch-13-500ml-i2965366492.html")</f>
        <v>https://www.lazada.vn/products/hop-go-3-chai-bia-su-schorsch-13-500ml-i2965366492.html</v>
      </c>
      <c r="C4065" s="10" t="s">
        <v>4065</v>
      </c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8">
        <v>8920.0</v>
      </c>
      <c r="B4066" s="9" t="str">
        <f>HYPERLINK("https://www.lazada.vn/products/01-lon-bo-huc-thai-redbull-250ml-i2521873417.html", "https://www.lazada.vn/products/01-lon-bo-huc-thai-redbull-250ml-i2521873417.html")</f>
        <v>https://www.lazada.vn/products/01-lon-bo-huc-thai-redbull-250ml-i2521873417.html</v>
      </c>
      <c r="C4066" s="10" t="s">
        <v>4066</v>
      </c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8">
        <v>8921.0</v>
      </c>
      <c r="B4067" s="9" t="str">
        <f>HYPERLINK("https://www.lazada.vn/products/1kg-com-chay-be-i1812715103.html", "https://www.lazada.vn/products/1kg-com-chay-be-i1812715103.html")</f>
        <v>https://www.lazada.vn/products/1kg-com-chay-be-i1812715103.html</v>
      </c>
      <c r="C4067" s="10" t="s">
        <v>4067</v>
      </c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8">
        <v>8922.0</v>
      </c>
      <c r="B4068" s="9" t="str">
        <f>HYPERLINK("https://www.lazada.vn/products/tui-banh-cha-la-chanh-ankie-huong-vi-truyen-thong-thom-bui-dac-san-ha-noi-i2912093335.html", "https://www.lazada.vn/products/tui-banh-cha-la-chanh-ankie-huong-vi-truyen-thong-thom-bui-dac-san-ha-noi-i2912093335.html")</f>
        <v>https://www.lazada.vn/products/tui-banh-cha-la-chanh-ankie-huong-vi-truyen-thong-thom-bui-dac-san-ha-noi-i2912093335.html</v>
      </c>
      <c r="C4068" s="10" t="s">
        <v>4068</v>
      </c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8">
        <v>8923.0</v>
      </c>
      <c r="B4069" s="9" t="str">
        <f>HYPERLINK("https://www.lazada.vn/products/loc-6-chai-7up-nuoc-ngot-co-gaz-chai-390ml-i2481474325.html", "https://www.lazada.vn/products/loc-6-chai-7up-nuoc-ngot-co-gaz-chai-390ml-i2481474325.html")</f>
        <v>https://www.lazada.vn/products/loc-6-chai-7up-nuoc-ngot-co-gaz-chai-390ml-i2481474325.html</v>
      </c>
      <c r="C4069" s="10" t="s">
        <v>4069</v>
      </c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8">
        <v>8924.0</v>
      </c>
      <c r="B4070" s="9" t="str">
        <f>HYPERLINK("https://www.lazada.vn/products/vang-trang-jardin-du-sud-sauvignon-pays-doc-i2279653665.html", "https://www.lazada.vn/products/vang-trang-jardin-du-sud-sauvignon-pays-doc-i2279653665.html")</f>
        <v>https://www.lazada.vn/products/vang-trang-jardin-du-sud-sauvignon-pays-doc-i2279653665.html</v>
      </c>
      <c r="C4070" s="10" t="s">
        <v>4070</v>
      </c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8">
        <v>8925.0</v>
      </c>
      <c r="B4071" s="9" t="str">
        <f>HYPERLINK("https://www.lazada.vn/products/rong-bien-cuon-com-gimbab-yaki-100-lagoi-co-le-50-la-i1881687555.html", "https://www.lazada.vn/products/rong-bien-cuon-com-gimbab-yaki-100-lagoi-co-le-50-la-i1881687555.html")</f>
        <v>https://www.lazada.vn/products/rong-bien-cuon-com-gimbab-yaki-100-lagoi-co-le-50-la-i1881687555.html</v>
      </c>
      <c r="C4071" s="10" t="s">
        <v>4071</v>
      </c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8">
        <v>8926.0</v>
      </c>
      <c r="B4072" s="9" t="str">
        <f>HYPERLINK("https://www.lazada.vn/products/rong-bien-chay-toi-ot-1-goi5g-i1881681635.html", "https://www.lazada.vn/products/rong-bien-chay-toi-ot-1-goi5g-i1881681635.html")</f>
        <v>https://www.lazada.vn/products/rong-bien-chay-toi-ot-1-goi5g-i1881681635.html</v>
      </c>
      <c r="C4072" s="10" t="s">
        <v>4072</v>
      </c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8">
        <v>8927.0</v>
      </c>
      <c r="B4073" s="9" t="str">
        <f>HYPERLINK("https://www.lazada.vn/products/rong-bien-an-lien-vi-muoi-1-loc-8-goi-i1881676634.html", "https://www.lazada.vn/products/rong-bien-an-lien-vi-muoi-1-loc-8-goi-i1881676634.html")</f>
        <v>https://www.lazada.vn/products/rong-bien-an-lien-vi-muoi-1-loc-8-goi-i1881676634.html</v>
      </c>
      <c r="C4073" s="10" t="s">
        <v>4073</v>
      </c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8">
        <v>8928.0</v>
      </c>
      <c r="B4074" s="9" t="str">
        <f>HYPERLINK("https://www.lazada.vn/products/mua-1-tang-1mi-kho-ga-cay-vi-cream-i1880969017.html", "https://www.lazada.vn/products/mua-1-tang-1mi-kho-ga-cay-vi-cream-i1880969017.html")</f>
        <v>https://www.lazada.vn/products/mua-1-tang-1mi-kho-ga-cay-vi-cream-i1880969017.html</v>
      </c>
      <c r="C4074" s="10" t="s">
        <v>4074</v>
      </c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8">
        <v>8929.0</v>
      </c>
      <c r="B4075" s="9" t="str">
        <f>HYPERLINK("https://www.lazada.vn/products/rong-bien-vun-em-be-cuoi-han-quoc-50g-i1872578246.html", "https://www.lazada.vn/products/rong-bien-vun-em-be-cuoi-han-quoc-50g-i1872578246.html")</f>
        <v>https://www.lazada.vn/products/rong-bien-vun-em-be-cuoi-han-quoc-50g-i1872578246.html</v>
      </c>
      <c r="C4075" s="10" t="s">
        <v>4075</v>
      </c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8">
        <v>8930.0</v>
      </c>
      <c r="B4076" s="9" t="str">
        <f>HYPERLINK("https://www.lazada.vn/products/quay-xoan-han-quoc-goi-280g-i1871451739.html", "https://www.lazada.vn/products/quay-xoan-han-quoc-goi-280g-i1871451739.html")</f>
        <v>https://www.lazada.vn/products/quay-xoan-han-quoc-goi-280g-i1871451739.html</v>
      </c>
      <c r="C4076" s="10" t="s">
        <v>4076</v>
      </c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8">
        <v>8931.0</v>
      </c>
      <c r="B4077" s="9" t="str">
        <f>HYPERLINK("https://www.lazada.vn/products/my-ga-dai-loan-huadiao-1-tui-gom-3-goi-x200g-tw-mall-i1848402995.html", "https://www.lazada.vn/products/my-ga-dai-loan-huadiao-1-tui-gom-3-goi-x200g-tw-mall-i1848402995.html")</f>
        <v>https://www.lazada.vn/products/my-ga-dai-loan-huadiao-1-tui-gom-3-goi-x200g-tw-mall-i1848402995.html</v>
      </c>
      <c r="C4077" s="10" t="s">
        <v>4077</v>
      </c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8">
        <v>8932.0</v>
      </c>
      <c r="B4078" s="9" t="str">
        <f>HYPERLINK("https://www.lazada.vn/products/hcm-rong-nho-tach-nuoc-bien-xanh-goi-25g-no-ra-rong-tuoi-tuong-duong-75gr-giau-dinh-duong-i1822781779.html", "https://www.lazada.vn/products/hcm-rong-nho-tach-nuoc-bien-xanh-goi-25g-no-ra-rong-tuoi-tuong-duong-75gr-giau-dinh-duong-i1822781779.html")</f>
        <v>https://www.lazada.vn/products/hcm-rong-nho-tach-nuoc-bien-xanh-goi-25g-no-ra-rong-tuoi-tuong-duong-75gr-giau-dinh-duong-i1822781779.html</v>
      </c>
      <c r="C4078" s="10" t="s">
        <v>4078</v>
      </c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8">
        <v>8933.0</v>
      </c>
      <c r="B4079" s="9" t="str">
        <f>HYPERLINK("https://www.lazada.vn/products/vang-do-da-lat-strong-wine-i2647638779.html", "https://www.lazada.vn/products/vang-do-da-lat-strong-wine-i2647638779.html")</f>
        <v>https://www.lazada.vn/products/vang-do-da-lat-strong-wine-i2647638779.html</v>
      </c>
      <c r="C4079" s="10" t="s">
        <v>4079</v>
      </c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8">
        <v>8934.0</v>
      </c>
      <c r="B4080" s="9" t="str">
        <f>HYPERLINK("https://www.lazada.vn/products/hcm-rong-nho-tach-nuoc-bien-xanh-100g-tang-kem-1-chai-sot-me-rang-kewpie-180ml-i1822672430.html", "https://www.lazada.vn/products/hcm-rong-nho-tach-nuoc-bien-xanh-100g-tang-kem-1-chai-sot-me-rang-kewpie-180ml-i1822672430.html")</f>
        <v>https://www.lazada.vn/products/hcm-rong-nho-tach-nuoc-bien-xanh-100g-tang-kem-1-chai-sot-me-rang-kewpie-180ml-i1822672430.html</v>
      </c>
      <c r="C4080" s="10" t="s">
        <v>4080</v>
      </c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8">
        <v>8935.0</v>
      </c>
      <c r="B4081" s="9" t="str">
        <f>HYPERLINK("https://www.lazada.vn/products/nuoc-ngot-pepsi-lon-320ml-i2480562149.html", "https://www.lazada.vn/products/nuoc-ngot-pepsi-lon-320ml-i2480562149.html")</f>
        <v>https://www.lazada.vn/products/nuoc-ngot-pepsi-lon-320ml-i2480562149.html</v>
      </c>
      <c r="C4081" s="10" t="s">
        <v>4081</v>
      </c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8">
        <v>8936.0</v>
      </c>
      <c r="B4082" s="9" t="str">
        <f>HYPERLINK("https://www.lazada.vn/products/strawberry-dried-fruit-500g-bulk-bag-baking-snowflake-snack-fresh-stock-honey-candy-fruit-dried-freezing-dry-mixed-dried-fruit-i2923743974.html", "https://www.lazada.vn/products/strawberry-dried-fruit-500g-bulk-bag-baking-snowflake-snack-fresh-stock-honey-candy-fruit-dried-freezing-dry-mixed-dried-fruit-i2923743974.html")</f>
        <v>https://www.lazada.vn/products/strawberry-dried-fruit-500g-bulk-bag-baking-snowflake-snack-fresh-stock-honey-candy-fruit-dried-freezing-dry-mixed-dried-fruit-i2923743974.html</v>
      </c>
      <c r="C4082" s="10" t="s">
        <v>4082</v>
      </c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8">
        <v>8937.0</v>
      </c>
      <c r="B4083" s="9" t="str">
        <f>HYPERLINK("https://www.lazada.vn/products/brilljoy-moi-tuoi-thuc-pham-trai-cay-bia-do-uong-hai-san-dong-lanh-hap-thu-ice-bag-i2963820152.html", "https://www.lazada.vn/products/brilljoy-moi-tuoi-thuc-pham-trai-cay-bia-do-uong-hai-san-dong-lanh-hap-thu-ice-bag-i2963820152.html")</f>
        <v>https://www.lazada.vn/products/brilljoy-moi-tuoi-thuc-pham-trai-cay-bia-do-uong-hai-san-dong-lanh-hap-thu-ice-bag-i2963820152.html</v>
      </c>
      <c r="C4083" s="10" t="s">
        <v>4083</v>
      </c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8">
        <v>8938.0</v>
      </c>
      <c r="B4084" s="9" t="str">
        <f>HYPERLINK("https://www.lazada.vn/products/ruou-mo-mat-ong-tia-to-choya-natures-feeling-325ml-i2308710105.html", "https://www.lazada.vn/products/ruou-mo-mat-ong-tia-to-choya-natures-feeling-325ml-i2308710105.html")</f>
        <v>https://www.lazada.vn/products/ruou-mo-mat-ong-tia-to-choya-natures-feeling-325ml-i2308710105.html</v>
      </c>
      <c r="C4084" s="10" t="s">
        <v>4084</v>
      </c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8">
        <v>8939.0</v>
      </c>
      <c r="B4085" s="9" t="str">
        <f>HYPERLINK("https://www.lazada.vn/products/thung-1kg-29-30cbanh-bong-lan-qua-trung-nhan-kem-pho-mai-nhieu-bieu-cam-xinh-xan-b169-gia-ngan-food-i2663126733.html", "https://www.lazada.vn/products/thung-1kg-29-30cbanh-bong-lan-qua-trung-nhan-kem-pho-mai-nhieu-bieu-cam-xinh-xan-b169-gia-ngan-food-i2663126733.html")</f>
        <v>https://www.lazada.vn/products/thung-1kg-29-30cbanh-bong-lan-qua-trung-nhan-kem-pho-mai-nhieu-bieu-cam-xinh-xan-b169-gia-ngan-food-i2663126733.html</v>
      </c>
      <c r="C4085" s="10" t="s">
        <v>4085</v>
      </c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8">
        <v>8940.0</v>
      </c>
      <c r="B4086" s="9" t="str">
        <f>HYPERLINK("https://www.lazada.vn/products/500g-hat-dieu-rang-toi-i1812694260.html", "https://www.lazada.vn/products/500g-hat-dieu-rang-toi-i1812694260.html")</f>
        <v>https://www.lazada.vn/products/500g-hat-dieu-rang-toi-i1812694260.html</v>
      </c>
      <c r="C4086" s="10" t="s">
        <v>4086</v>
      </c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8">
        <v>8941.0</v>
      </c>
      <c r="B4087" s="9" t="str">
        <f>HYPERLINK("https://www.lazada.vn/products/loc-6-chai-nuoc-tang-luc-wake-up-247-vi-cafe-330ml-i2521853666.html", "https://www.lazada.vn/products/loc-6-chai-nuoc-tang-luc-wake-up-247-vi-cafe-330ml-i2521853666.html")</f>
        <v>https://www.lazada.vn/products/loc-6-chai-nuoc-tang-luc-wake-up-247-vi-cafe-330ml-i2521853666.html</v>
      </c>
      <c r="C4087" s="10" t="s">
        <v>4087</v>
      </c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8">
        <v>8942.0</v>
      </c>
      <c r="B4088" s="9" t="str">
        <f>HYPERLINK("https://www.lazada.vn/products/banh-xuong-sach-rang-kamt-vi-ga-6-xuong-i2911947100.html", "https://www.lazada.vn/products/banh-xuong-sach-rang-kamt-vi-ga-6-xuong-i2911947100.html")</f>
        <v>https://www.lazada.vn/products/banh-xuong-sach-rang-kamt-vi-ga-6-xuong-i2911947100.html</v>
      </c>
      <c r="C4088" s="10" t="s">
        <v>4088</v>
      </c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8">
        <v>8943.0</v>
      </c>
      <c r="B4089" s="9" t="str">
        <f>HYPERLINK("https://www.lazada.vn/products/bot-cacao-hop-500gr-nguyen-chat-daklak-i2189606830.html", "https://www.lazada.vn/products/bot-cacao-hop-500gr-nguyen-chat-daklak-i2189606830.html")</f>
        <v>https://www.lazada.vn/products/bot-cacao-hop-500gr-nguyen-chat-daklak-i2189606830.html</v>
      </c>
      <c r="C4089" s="10" t="s">
        <v>4089</v>
      </c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8">
        <v>8944.0</v>
      </c>
      <c r="B4090" s="9" t="str">
        <f>HYPERLINK("https://www.lazada.vn/products/ruou-nhau-la-mot-loai-trai-cay-ket-hop-voi-ruou-tao-ra-nhieu-cong-dung-tuyet-voi-ho-tro-nhieu-loi-ich-cho-suc-khoe-ho-tro-ve-d-u-nhuc-dep-da-va-nhieu-cong-dung-khac-i2585264801.html", "https://www.lazada.vn/products/ruou-nhau-la-mot-loai-trai-cay-ket-hop-voi-ruou-tao-ra-nhieu-cong-dung-tuyet-voi-ho-tro-nhieu-loi-ich-cho-suc-khoe-ho-tro-ve-d-u-nhuc-dep-da-va-nhieu-cong-dung-khac-i2585264801.html")</f>
        <v>https://www.lazada.vn/products/ruou-nhau-la-mot-loai-trai-cay-ket-hop-voi-ruou-tao-ra-nhieu-cong-dung-tuyet-voi-ho-tro-nhieu-loi-ich-cho-suc-khoe-ho-tro-ve-d-u-nhuc-dep-da-va-nhieu-cong-dung-khac-i2585264801.html</v>
      </c>
      <c r="C4090" s="10" t="s">
        <v>4090</v>
      </c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8">
        <v>8945.0</v>
      </c>
      <c r="B4091" s="9" t="str">
        <f>HYPERLINK("https://www.lazada.vn/products/moi-32-yen-chung-hop-6-lo-x70ml-yen-duong-phen-like-nest-cao-cap-i2722778862.html", "https://www.lazada.vn/products/moi-32-yen-chung-hop-6-lo-x70ml-yen-duong-phen-like-nest-cao-cap-i2722778862.html")</f>
        <v>https://www.lazada.vn/products/moi-32-yen-chung-hop-6-lo-x70ml-yen-duong-phen-like-nest-cao-cap-i2722778862.html</v>
      </c>
      <c r="C4091" s="10" t="s">
        <v>4091</v>
      </c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8">
        <v>8946.0</v>
      </c>
      <c r="B4092" s="9" t="str">
        <f>HYPERLINK("https://www.lazada.vn/products/ca-phe-rang-xay-trung-nguyen-legend-cafe-rang-xay-s-chinh-phuc-bich-500gr-ca-phe-viet-nam-i2699072539.html", "https://www.lazada.vn/products/ca-phe-rang-xay-trung-nguyen-legend-cafe-rang-xay-s-chinh-phuc-bich-500gr-ca-phe-viet-nam-i2699072539.html")</f>
        <v>https://www.lazada.vn/products/ca-phe-rang-xay-trung-nguyen-legend-cafe-rang-xay-s-chinh-phuc-bich-500gr-ca-phe-viet-nam-i2699072539.html</v>
      </c>
      <c r="C4092" s="10" t="s">
        <v>4092</v>
      </c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8">
        <v>8947.0</v>
      </c>
      <c r="B4093" s="9" t="str">
        <f>HYPERLINK("https://www.lazada.vn/products/hcm500g-mu-trom-thien-nhien-hat-luu-mu-trom-sach-cao-cap-i2704929565.html", "https://www.lazada.vn/products/hcm500g-mu-trom-thien-nhien-hat-luu-mu-trom-sach-cao-cap-i2704929565.html")</f>
        <v>https://www.lazada.vn/products/hcm500g-mu-trom-thien-nhien-hat-luu-mu-trom-sach-cao-cap-i2704929565.html</v>
      </c>
      <c r="C4093" s="10" t="s">
        <v>4093</v>
      </c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8">
        <v>8948.0</v>
      </c>
      <c r="B4094" s="9" t="str">
        <f>HYPERLINK("https://www.lazada.vn/products/mien-tron-phu-huong-vi-bo-chua-ngot-i1730066014.html", "https://www.lazada.vn/products/mien-tron-phu-huong-vi-bo-chua-ngot-i1730066014.html")</f>
        <v>https://www.lazada.vn/products/mien-tron-phu-huong-vi-bo-chua-ngot-i1730066014.html</v>
      </c>
      <c r="C4094" s="10" t="s">
        <v>4094</v>
      </c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8">
        <v>8949.0</v>
      </c>
      <c r="B4095" s="9" t="str">
        <f>HYPERLINK("https://www.lazada.vn/products/nims-so-co-la-gion-tan-chay-coco-ball-250gram-i2928898489.html", "https://www.lazada.vn/products/nims-so-co-la-gion-tan-chay-coco-ball-250gram-i2928898489.html")</f>
        <v>https://www.lazada.vn/products/nims-so-co-la-gion-tan-chay-coco-ball-250gram-i2928898489.html</v>
      </c>
      <c r="C4095" s="10" t="s">
        <v>4095</v>
      </c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8">
        <v>8950.0</v>
      </c>
      <c r="B4096" s="9" t="str">
        <f>HYPERLINK("https://www.lazada.vn/products/thach-rau-cau-pha-san-thach-dua-uc-1-goi-500gr-khong-can-dun-nau-du-vi-cost-thap-de-pha-chi-20k1kg-thach-thanh-pham-i2485462185.html", "https://www.lazada.vn/products/thach-rau-cau-pha-san-thach-dua-uc-1-goi-500gr-khong-can-dun-nau-du-vi-cost-thap-de-pha-chi-20k1kg-thach-thanh-pham-i2485462185.html")</f>
        <v>https://www.lazada.vn/products/thach-rau-cau-pha-san-thach-dua-uc-1-goi-500gr-khong-can-dun-nau-du-vi-cost-thap-de-pha-chi-20k1kg-thach-thanh-pham-i2485462185.html</v>
      </c>
      <c r="C4096" s="10" t="s">
        <v>4096</v>
      </c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8">
        <v>8951.0</v>
      </c>
      <c r="B4097" s="9" t="str">
        <f>HYPERLINK("https://www.lazada.vn/products/vang-do-m-chapoutier-crozes-hermitage-les-meysonniers-750ml-i2279528737.html", "https://www.lazada.vn/products/vang-do-m-chapoutier-crozes-hermitage-les-meysonniers-750ml-i2279528737.html")</f>
        <v>https://www.lazada.vn/products/vang-do-m-chapoutier-crozes-hermitage-les-meysonniers-750ml-i2279528737.html</v>
      </c>
      <c r="C4097" s="10" t="s">
        <v>4097</v>
      </c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8">
        <v>8952.0</v>
      </c>
      <c r="B4098" s="9" t="str">
        <f>HYPERLINK("https://www.lazada.vn/products/50g-rong-bien-nau-canh-i1812649445.html", "https://www.lazada.vn/products/50g-rong-bien-nau-canh-i1812649445.html")</f>
        <v>https://www.lazada.vn/products/50g-rong-bien-nau-canh-i1812649445.html</v>
      </c>
      <c r="C4098" s="10" t="s">
        <v>4098</v>
      </c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8">
        <v>8953.0</v>
      </c>
      <c r="B4099" s="9" t="str">
        <f>HYPERLINK("https://www.lazada.vn/products/che-duong-nhan-thien-nhan-500gram-i2720271837.html", "https://www.lazada.vn/products/che-duong-nhan-thien-nhan-500gram-i2720271837.html")</f>
        <v>https://www.lazada.vn/products/che-duong-nhan-thien-nhan-500gram-i2720271837.html</v>
      </c>
      <c r="C4099" s="10" t="s">
        <v>4099</v>
      </c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8">
        <v>8954.0</v>
      </c>
      <c r="B4100" s="9" t="str">
        <f>HYPERLINK("https://www.lazada.vn/products/bo-huc-thai-redbull-thung-24-lon-x-250ml-chinh-hang-i2521618887.html", "https://www.lazada.vn/products/bo-huc-thai-redbull-thung-24-lon-x-250ml-chinh-hang-i2521618887.html")</f>
        <v>https://www.lazada.vn/products/bo-huc-thai-redbull-thung-24-lon-x-250ml-chinh-hang-i2521618887.html</v>
      </c>
      <c r="C4100" s="10" t="s">
        <v>4100</v>
      </c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8">
        <v>8955.0</v>
      </c>
      <c r="B4101" s="9" t="str">
        <f>HYPERLINK("https://www.lazada.vn/products/cao-nhung-huou-100g-nguyen-chat-i2719559644.html", "https://www.lazada.vn/products/cao-nhung-huou-100g-nguyen-chat-i2719559644.html")</f>
        <v>https://www.lazada.vn/products/cao-nhung-huou-100g-nguyen-chat-i2719559644.html</v>
      </c>
      <c r="C4101" s="10" t="s">
        <v>4101</v>
      </c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8">
        <v>8956.0</v>
      </c>
      <c r="B4102" s="9" t="str">
        <f>HYPERLINK("https://www.lazada.vn/products/luong-kho-thuan-chay-voi-ham-luong-dam-gap-3-lan-luong-kho-thuong-an-1-vien-no-khoe-ca-ngay-i2911941179.html", "https://www.lazada.vn/products/luong-kho-thuan-chay-voi-ham-luong-dam-gap-3-lan-luong-kho-thuong-an-1-vien-no-khoe-ca-ngay-i2911941179.html")</f>
        <v>https://www.lazada.vn/products/luong-kho-thuan-chay-voi-ham-luong-dam-gap-3-lan-luong-kho-thuong-an-1-vien-no-khoe-ca-ngay-i2911941179.html</v>
      </c>
      <c r="C4102" s="10" t="s">
        <v>4102</v>
      </c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8">
        <v>8957.0</v>
      </c>
      <c r="B4103" s="9" t="str">
        <f>HYPERLINK("https://www.lazada.vn/products/thuc-uong-lua-mach-nestle-milo-bot-hu-400g-hop-giay-285g-i2184673830.html", "https://www.lazada.vn/products/thuc-uong-lua-mach-nestle-milo-bot-hu-400g-hop-giay-285g-i2184673830.html")</f>
        <v>https://www.lazada.vn/products/thuc-uong-lua-mach-nestle-milo-bot-hu-400g-hop-giay-285g-i2184673830.html</v>
      </c>
      <c r="C4103" s="10" t="s">
        <v>4103</v>
      </c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8">
        <v>8958.0</v>
      </c>
      <c r="B4104" s="9" t="str">
        <f>HYPERLINK("https://www.lazada.vn/products/cao-ngua-bach-100g-dam-bao-nguyen-chat-i2717760411.html", "https://www.lazada.vn/products/cao-ngua-bach-100g-dam-bao-nguyen-chat-i2717760411.html")</f>
        <v>https://www.lazada.vn/products/cao-ngua-bach-100g-dam-bao-nguyen-chat-i2717760411.html</v>
      </c>
      <c r="C4104" s="10" t="s">
        <v>4104</v>
      </c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8">
        <v>8959.0</v>
      </c>
      <c r="B4105" s="9" t="str">
        <f>HYPERLINK("https://www.lazada.vn/products/loc-6-chai-pepsi-nuoc-ngot-co-gaz-chai-390ml-i2480094028.html", "https://www.lazada.vn/products/loc-6-chai-pepsi-nuoc-ngot-co-gaz-chai-390ml-i2480094028.html")</f>
        <v>https://www.lazada.vn/products/loc-6-chai-pepsi-nuoc-ngot-co-gaz-chai-390ml-i2480094028.html</v>
      </c>
      <c r="C4105" s="10" t="s">
        <v>4105</v>
      </c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8">
        <v>8960.0</v>
      </c>
      <c r="B4106" s="9" t="str">
        <f>HYPERLINK("https://www.lazada.vn/products/khoai-say-deo-500g-1kg-i2923739447.html", "https://www.lazada.vn/products/khoai-say-deo-500g-1kg-i2923739447.html")</f>
        <v>https://www.lazada.vn/products/khoai-say-deo-500g-1kg-i2923739447.html</v>
      </c>
      <c r="C4106" s="10" t="s">
        <v>4106</v>
      </c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8">
        <v>8961.0</v>
      </c>
      <c r="B4107" s="9" t="str">
        <f>HYPERLINK("https://www.lazada.vn/products/bia-heineken-phap-thung-20-chai-nhap-khau-phap-i2959398218.html", "https://www.lazada.vn/products/bia-heineken-phap-thung-20-chai-nhap-khau-phap-i2959398218.html")</f>
        <v>https://www.lazada.vn/products/bia-heineken-phap-thung-20-chai-nhap-khau-phap-i2959398218.html</v>
      </c>
      <c r="C4107" s="10" t="s">
        <v>4107</v>
      </c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8">
        <v>8962.0</v>
      </c>
      <c r="B4108" s="9" t="str">
        <f>HYPERLINK("https://www.lazada.vn/products/vang-mixtus-syrah-malbec-thuong-hang-i2647627967.html", "https://www.lazada.vn/products/vang-mixtus-syrah-malbec-thuong-hang-i2647627967.html")</f>
        <v>https://www.lazada.vn/products/vang-mixtus-syrah-malbec-thuong-hang-i2647627967.html</v>
      </c>
      <c r="C4108" s="10" t="s">
        <v>4108</v>
      </c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8">
        <v>8963.0</v>
      </c>
      <c r="B4109" s="9" t="str">
        <f>HYPERLINK("https://www.lazada.vn/products/banh-cookies-lai-phu-kem-sau-riengcamkhoai-mon-120g-i1741862293.html", "https://www.lazada.vn/products/banh-cookies-lai-phu-kem-sau-riengcamkhoai-mon-120g-i1741862293.html")</f>
        <v>https://www.lazada.vn/products/banh-cookies-lai-phu-kem-sau-riengcamkhoai-mon-120g-i1741862293.html</v>
      </c>
      <c r="C4109" s="10" t="s">
        <v>4109</v>
      </c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8">
        <v>8964.0</v>
      </c>
      <c r="B4110" s="9" t="str">
        <f>HYPERLINK("https://www.lazada.vn/products/mi-tom-trung-quoc-thung-24-goi-mix-vi-sieu-ngon-i1716785224.html", "https://www.lazada.vn/products/mi-tom-trung-quoc-thung-24-goi-mix-vi-sieu-ngon-i1716785224.html")</f>
        <v>https://www.lazada.vn/products/mi-tom-trung-quoc-thung-24-goi-mix-vi-sieu-ngon-i1716785224.html</v>
      </c>
      <c r="C4110" s="10" t="s">
        <v>4110</v>
      </c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8">
        <v>8965.0</v>
      </c>
      <c r="B4111" s="9" t="str">
        <f>HYPERLINK("https://www.lazada.vn/products/thach-rau-cau-thach-nha-dam-uc-1goi500grkhong-can-dun-nau-du-vicost-thap-de-pha-chi-20k1kg-thach-thanh-pham-i2485415485.html", "https://www.lazada.vn/products/thach-rau-cau-thach-nha-dam-uc-1goi500grkhong-can-dun-nau-du-vicost-thap-de-pha-chi-20k1kg-thach-thanh-pham-i2485415485.html")</f>
        <v>https://www.lazada.vn/products/thach-rau-cau-thach-nha-dam-uc-1goi500grkhong-can-dun-nau-du-vicost-thap-de-pha-chi-20k1kg-thach-thanh-pham-i2485415485.html</v>
      </c>
      <c r="C4111" s="10" t="s">
        <v>4111</v>
      </c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8">
        <v>8966.0</v>
      </c>
      <c r="B4112" s="9" t="str">
        <f>HYPERLINK("https://www.lazada.vn/products/vien-mut-gung-gio-loai-vien-ngam-co-ba-cay-dam-vi-duong-phen-nau-cot-gung-i2580176209.html", "https://www.lazada.vn/products/vien-mut-gung-gio-loai-vien-ngam-co-ba-cay-dam-vi-duong-phen-nau-cot-gung-i2580176209.html")</f>
        <v>https://www.lazada.vn/products/vien-mut-gung-gio-loai-vien-ngam-co-ba-cay-dam-vi-duong-phen-nau-cot-gung-i2580176209.html</v>
      </c>
      <c r="C4112" s="10" t="s">
        <v>4112</v>
      </c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8">
        <v>8967.0</v>
      </c>
      <c r="B4113" s="9" t="str">
        <f>HYPERLINK("https://www.lazada.vn/products/ca-phe-g7-ca-phe-sua-hoa-tan-3in1-bich-50-goi-x16gr-dac-san-coffee-trung-nguyen-legend-cafe-viet-nam-g7-bich-50-goi-i2699051529.html", "https://www.lazada.vn/products/ca-phe-g7-ca-phe-sua-hoa-tan-3in1-bich-50-goi-x16gr-dac-san-coffee-trung-nguyen-legend-cafe-viet-nam-g7-bich-50-goi-i2699051529.html")</f>
        <v>https://www.lazada.vn/products/ca-phe-g7-ca-phe-sua-hoa-tan-3in1-bich-50-goi-x16gr-dac-san-coffee-trung-nguyen-legend-cafe-viet-nam-g7-bich-50-goi-i2699051529.html</v>
      </c>
      <c r="C4113" s="10" t="s">
        <v>4113</v>
      </c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8">
        <v>8968.0</v>
      </c>
      <c r="B4114" s="9" t="str">
        <f>HYPERLINK("https://www.lazada.vn/products/500g-bot-dau-nanh-nguyen-chat-thom-ngon-hcm-giao-hoa-toc-i2702671354.html", "https://www.lazada.vn/products/500g-bot-dau-nanh-nguyen-chat-thom-ngon-hcm-giao-hoa-toc-i2702671354.html")</f>
        <v>https://www.lazada.vn/products/500g-bot-dau-nanh-nguyen-chat-thom-ngon-hcm-giao-hoa-toc-i2702671354.html</v>
      </c>
      <c r="C4114" s="10" t="s">
        <v>4114</v>
      </c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8">
        <v>8969.0</v>
      </c>
      <c r="B4115" s="9" t="str">
        <f>HYPERLINK("https://www.lazada.vn/products/socola-den-jacquot-70-80-88-95-100g-leetrinh-i2927776550.html", "https://www.lazada.vn/products/socola-den-jacquot-70-80-88-95-100g-leetrinh-i2927776550.html")</f>
        <v>https://www.lazada.vn/products/socola-den-jacquot-70-80-88-95-100g-leetrinh-i2927776550.html</v>
      </c>
      <c r="C4115" s="10" t="s">
        <v>4115</v>
      </c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8">
        <v>8970.0</v>
      </c>
      <c r="B4116" s="9" t="str">
        <f>HYPERLINK("https://www.lazada.vn/products/ban-si-banh-bong-lan-ruoc-thit-banh-gau-master-min-hop-30-goi-40g-thom-ngon-do-an-vat-trung-do-an-vat-cong-truong-hot-i2661133235.html", "https://www.lazada.vn/products/ban-si-banh-bong-lan-ruoc-thit-banh-gau-master-min-hop-30-goi-40g-thom-ngon-do-an-vat-trung-do-an-vat-cong-truong-hot-i2661133235.html")</f>
        <v>https://www.lazada.vn/products/ban-si-banh-bong-lan-ruoc-thit-banh-gau-master-min-hop-30-goi-40g-thom-ngon-do-an-vat-trung-do-an-vat-cong-truong-hot-i2661133235.html</v>
      </c>
      <c r="C4116" s="10" t="s">
        <v>4116</v>
      </c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8">
        <v>8971.0</v>
      </c>
      <c r="B4117" s="9" t="str">
        <f>HYPERLINK("https://www.lazada.vn/products/ky-tu-ninh-ha-cau-ky-tu-nguyen-lieu-tra-tao-do-ky-tu-goi-50g-va-100g-tiem-che-thanh-xuan-i2715712803.html", "https://www.lazada.vn/products/ky-tu-ninh-ha-cau-ky-tu-nguyen-lieu-tra-tao-do-ky-tu-goi-50g-va-100g-tiem-che-thanh-xuan-i2715712803.html")</f>
        <v>https://www.lazada.vn/products/ky-tu-ninh-ha-cau-ky-tu-nguyen-lieu-tra-tao-do-ky-tu-goi-50g-va-100g-tiem-che-thanh-xuan-i2715712803.html</v>
      </c>
      <c r="C4117" s="10" t="s">
        <v>4117</v>
      </c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8">
        <v>8972.0</v>
      </c>
      <c r="B4118" s="9" t="str">
        <f>HYPERLINK("https://www.lazada.vn/products/bia-heineken-phap-thung-20-chai-nhap-khau-chinh-hang-i2959171546.html", "https://www.lazada.vn/products/bia-heineken-phap-thung-20-chai-nhap-khau-chinh-hang-i2959171546.html")</f>
        <v>https://www.lazada.vn/products/bia-heineken-phap-thung-20-chai-nhap-khau-chinh-hang-i2959171546.html</v>
      </c>
      <c r="C4118" s="10" t="s">
        <v>4118</v>
      </c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8">
        <v>8973.0</v>
      </c>
      <c r="B4119" s="9" t="str">
        <f>HYPERLINK("https://www.lazada.vn/products/blocs-sua-chua-trai-cay-meijie-150g-dau-tay-vai-hat-dau-tay-sua-dac-thom-ngon-ngay-lap-tuc-snack-dried-fruit-snack-i2923734707.html", "https://www.lazada.vn/products/blocs-sua-chua-trai-cay-meijie-150g-dau-tay-vai-hat-dau-tay-sua-dac-thom-ngon-ngay-lap-tuc-snack-dried-fruit-snack-i2923734707.html")</f>
        <v>https://www.lazada.vn/products/blocs-sua-chua-trai-cay-meijie-150g-dau-tay-vai-hat-dau-tay-sua-dac-thom-ngon-ngay-lap-tuc-snack-dried-fruit-snack-i2923734707.html</v>
      </c>
      <c r="C4119" s="10" t="s">
        <v>4119</v>
      </c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8">
        <v>8974.0</v>
      </c>
      <c r="B4120" s="9" t="str">
        <f>HYPERLINK("https://www.lazada.vn/products/vang-y-capello-750ml-i2647615805.html", "https://www.lazada.vn/products/vang-y-capello-750ml-i2647615805.html")</f>
        <v>https://www.lazada.vn/products/vang-y-capello-750ml-i2647615805.html</v>
      </c>
      <c r="C4120" s="10" t="s">
        <v>4120</v>
      </c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8">
        <v>8975.0</v>
      </c>
      <c r="B4121" s="9" t="str">
        <f>HYPERLINK("https://www.lazada.vn/products/nu-nhi-hong-mau-moi-2023-500ml-i2139881193.html", "https://www.lazada.vn/products/nu-nhi-hong-mau-moi-2023-500ml-i2139881193.html")</f>
        <v>https://www.lazada.vn/products/nu-nhi-hong-mau-moi-2023-500ml-i2139881193.html</v>
      </c>
      <c r="C4121" s="10" t="s">
        <v>4121</v>
      </c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8">
        <v>8976.0</v>
      </c>
      <c r="B4122" s="9" t="str">
        <f>HYPERLINK("https://www.lazada.vn/products/chinh-hang-loc-6-lon-250ml-bo-huc-redbull-thai-lan-i2521440887.html", "https://www.lazada.vn/products/chinh-hang-loc-6-lon-250ml-bo-huc-redbull-thai-lan-i2521440887.html")</f>
        <v>https://www.lazada.vn/products/chinh-hang-loc-6-lon-250ml-bo-huc-redbull-thai-lan-i2521440887.html</v>
      </c>
      <c r="C4122" s="10" t="s">
        <v>4122</v>
      </c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8">
        <v>8977.0</v>
      </c>
      <c r="B4123" s="9" t="str">
        <f>HYPERLINK("https://www.lazada.vn/products/1kg-hat-dieu-be-rang-muoi-i1812608798.html", "https://www.lazada.vn/products/1kg-hat-dieu-be-rang-muoi-i1812608798.html")</f>
        <v>https://www.lazada.vn/products/1kg-hat-dieu-be-rang-muoi-i1812608798.html</v>
      </c>
      <c r="C4123" s="10" t="s">
        <v>4123</v>
      </c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8">
        <v>8978.0</v>
      </c>
      <c r="B4124" s="9" t="str">
        <f>HYPERLINK("https://www.lazada.vn/products/banh-quy-gion-kep-kem-pho-mai-bo-dau-phong-zess-2295g-ha-anh-2k-i2911916542.html", "https://www.lazada.vn/products/banh-quy-gion-kep-kem-pho-mai-bo-dau-phong-zess-2295g-ha-anh-2k-i2911916542.html")</f>
        <v>https://www.lazada.vn/products/banh-quy-gion-kep-kem-pho-mai-bo-dau-phong-zess-2295g-ha-anh-2k-i2911916542.html</v>
      </c>
      <c r="C4124" s="10" t="s">
        <v>4124</v>
      </c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8">
        <v>8979.0</v>
      </c>
      <c r="B4125" s="9" t="str">
        <f>HYPERLINK("https://www.lazada.vn/products/nuoc-ngot-pepsi-chai-1500ml-dam-da-thom-ngon-dung-vi-cola-la-nuoc-giai-khac-ho-tro-tot-cho-duong-tieu-hoa-han-su-dung-luon-moi-i2457869196.html", "https://www.lazada.vn/products/nuoc-ngot-pepsi-chai-1500ml-dam-da-thom-ngon-dung-vi-cola-la-nuoc-giai-khac-ho-tro-tot-cho-duong-tieu-hoa-han-su-dung-luon-moi-i2457869196.html")</f>
        <v>https://www.lazada.vn/products/nuoc-ngot-pepsi-chai-1500ml-dam-da-thom-ngon-dung-vi-cola-la-nuoc-giai-khac-ho-tro-tot-cho-duong-tieu-hoa-han-su-dung-luon-moi-i2457869196.html</v>
      </c>
      <c r="C4125" s="10" t="s">
        <v>4125</v>
      </c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8">
        <v>8980.0</v>
      </c>
      <c r="B4126" s="9" t="str">
        <f>HYPERLINK("https://www.lazada.vn/products/bot-ca-cao-sua-dua-tu-nhien-cacaomi-dam-vi-cacao-thom-beo-vi-dua-dac-san-xu-dua-ben-tre-goi-tien-loi-pha-che-lam-qua-tang-i2183546325.html", "https://www.lazada.vn/products/bot-ca-cao-sua-dua-tu-nhien-cacaomi-dam-vi-cacao-thom-beo-vi-dua-dac-san-xu-dua-ben-tre-goi-tien-loi-pha-che-lam-qua-tang-i2183546325.html")</f>
        <v>https://www.lazada.vn/products/bot-ca-cao-sua-dua-tu-nhien-cacaomi-dam-vi-cacao-thom-beo-vi-dua-dac-san-xu-dua-ben-tre-goi-tien-loi-pha-che-lam-qua-tang-i2183546325.html</v>
      </c>
      <c r="C4126" s="10" t="s">
        <v>4126</v>
      </c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8">
        <v>8981.0</v>
      </c>
      <c r="B4127" s="9" t="str">
        <f>HYPERLINK("https://www.lazada.vn/products/metro-chef-lo-tt-lon-690g-nu-bach-hoa-lon-trai-ngam-giam-y-capers-in-vinegar-i3036427217.html", "https://www.lazada.vn/products/metro-chef-lo-tt-lon-690g-nu-bach-hoa-lon-trai-ngam-giam-y-capers-in-vinegar-i3036427217.html")</f>
        <v>https://www.lazada.vn/products/metro-chef-lo-tt-lon-690g-nu-bach-hoa-lon-trai-ngam-giam-y-capers-in-vinegar-i3036427217.html</v>
      </c>
      <c r="C4127" s="10" t="s">
        <v>4127</v>
      </c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8">
        <v>8982.0</v>
      </c>
      <c r="B4128" s="9" t="str">
        <f>HYPERLINK("https://www.lazada.vn/products/ruou-mo-vang-the-choya-single-year-650ml-i2308666316.html", "https://www.lazada.vn/products/ruou-mo-vang-the-choya-single-year-650ml-i2308666316.html")</f>
        <v>https://www.lazada.vn/products/ruou-mo-vang-the-choya-single-year-650ml-i2308666316.html</v>
      </c>
      <c r="C4128" s="10" t="s">
        <v>4128</v>
      </c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8">
        <v>8983.0</v>
      </c>
      <c r="B4129" s="9" t="str">
        <f>HYPERLINK("https://www.lazada.vn/products/giam-5-tu-ngay-1803-303-combo-2-hu-gac-chanh-day-duong-phen-lac-yen-foods-600g-khong-chat-bao-quan-hay-duong-hoa-hoc-bo-mat-dep-da-giau-vitamin-c-vit-a-i2806177376.html", "https://www.lazada.vn/products/giam-5-tu-ngay-1803-303-combo-2-hu-gac-chanh-day-duong-phen-lac-yen-foods-600g-khong-chat-bao-quan-hay-duong-hoa-hoc-bo-mat-dep-da-giau-vitamin-c-vit-a-i2806177376.html")</f>
        <v>https://www.lazada.vn/products/giam-5-tu-ngay-1803-303-combo-2-hu-gac-chanh-day-duong-phen-lac-yen-foods-600g-khong-chat-bao-quan-hay-duong-hoa-hoc-bo-mat-dep-da-giau-vitamin-c-vit-a-i2806177376.html</v>
      </c>
      <c r="C4129" s="10" t="s">
        <v>4129</v>
      </c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8">
        <v>8984.0</v>
      </c>
      <c r="B4130" s="9" t="str">
        <f>HYPERLINK("https://www.lazada.vn/products/bia-thu-cong-east-west-pale-ale-lon-330ml-i2281433785.html", "https://www.lazada.vn/products/bia-thu-cong-east-west-pale-ale-lon-330ml-i2281433785.html")</f>
        <v>https://www.lazada.vn/products/bia-thu-cong-east-west-pale-ale-lon-330ml-i2281433785.html</v>
      </c>
      <c r="C4130" s="10" t="s">
        <v>4130</v>
      </c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8">
        <v>8985.0</v>
      </c>
      <c r="B4131" s="9" t="str">
        <f>HYPERLINK("https://www.lazada.vn/products/banh-tai-heo-mam-man-lets-nuts-tui-1kg-tui-zip-tien-loi-sach-se-banh-dam-gia-vi-thom-ngon-an-khong-dut-duoc-i2606807221.html", "https://www.lazada.vn/products/banh-tai-heo-mam-man-lets-nuts-tui-1kg-tui-zip-tien-loi-sach-se-banh-dam-gia-vi-thom-ngon-an-khong-dut-duoc-i2606807221.html")</f>
        <v>https://www.lazada.vn/products/banh-tai-heo-mam-man-lets-nuts-tui-1kg-tui-zip-tien-loi-sach-se-banh-dam-gia-vi-thom-ngon-an-khong-dut-duoc-i2606807221.html</v>
      </c>
      <c r="C4131" s="10" t="s">
        <v>4131</v>
      </c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8">
        <v>8986.0</v>
      </c>
      <c r="B4132" s="9" t="str">
        <f>HYPERLINK("https://www.lazada.vn/products/bim-bim-snack-pho-mai-super-ring-nhap-khau-malaysia-60g-i2785421804.html", "https://www.lazada.vn/products/bim-bim-snack-pho-mai-super-ring-nhap-khau-malaysia-60g-i2785421804.html")</f>
        <v>https://www.lazada.vn/products/bim-bim-snack-pho-mai-super-ring-nhap-khau-malaysia-60g-i2785421804.html</v>
      </c>
      <c r="C4132" s="10" t="s">
        <v>4132</v>
      </c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8">
        <v>8987.0</v>
      </c>
      <c r="B4133" s="9" t="str">
        <f>HYPERLINK("https://www.lazada.vn/products/mi-rau-cu-an-lien-khong-chien-ngu-vi-an-chay-duoc-co-gia-vi-goi-70gr-chum-ngay-rau-ma-ca-rot-nghe-cu-den-i3022299315.html", "https://www.lazada.vn/products/mi-rau-cu-an-lien-khong-chien-ngu-vi-an-chay-duoc-co-gia-vi-goi-70gr-chum-ngay-rau-ma-ca-rot-nghe-cu-den-i3022299315.html")</f>
        <v>https://www.lazada.vn/products/mi-rau-cu-an-lien-khong-chien-ngu-vi-an-chay-duoc-co-gia-vi-goi-70gr-chum-ngay-rau-ma-ca-rot-nghe-cu-den-i3022299315.html</v>
      </c>
      <c r="C4133" s="10" t="s">
        <v>4133</v>
      </c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8">
        <v>8988.0</v>
      </c>
      <c r="B4134" s="9" t="str">
        <f>HYPERLINK("https://www.lazada.vn/products/o-mai-sau-muoi-ot-xien-que-kem-muoi-cham-hop-500gr-hop-7-xien-i2967167631.html", "https://www.lazada.vn/products/o-mai-sau-muoi-ot-xien-que-kem-muoi-cham-hop-500gr-hop-7-xien-i2967167631.html")</f>
        <v>https://www.lazada.vn/products/o-mai-sau-muoi-ot-xien-que-kem-muoi-cham-hop-500gr-hop-7-xien-i2967167631.html</v>
      </c>
      <c r="C4134" s="10" t="s">
        <v>4134</v>
      </c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8">
        <v>8989.0</v>
      </c>
      <c r="B4135" s="9" t="str">
        <f>HYPERLINK("https://www.lazada.vn/products/roza-hop-do-150g-ca-thu-chien-sot-ca-mala-tha-lan-fried-mackerel-mala-sauce-halal-i3036427214.html", "https://www.lazada.vn/products/roza-hop-do-150g-ca-thu-chien-sot-ca-mala-tha-lan-fried-mackerel-mala-sauce-halal-i3036427214.html")</f>
        <v>https://www.lazada.vn/products/roza-hop-do-150g-ca-thu-chien-sot-ca-mala-tha-lan-fried-mackerel-mala-sauce-halal-i3036427214.html</v>
      </c>
      <c r="C4135" s="10" t="s">
        <v>4135</v>
      </c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8">
        <v>8990.0</v>
      </c>
      <c r="B4136" s="9" t="str">
        <f>HYPERLINK("https://www.lazada.vn/products/vang-y-canapi-grillo-i2647602005.html", "https://www.lazada.vn/products/vang-y-canapi-grillo-i2647602005.html")</f>
        <v>https://www.lazada.vn/products/vang-y-canapi-grillo-i2647602005.html</v>
      </c>
      <c r="C4136" s="10" t="s">
        <v>4136</v>
      </c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8">
        <v>8991.0</v>
      </c>
      <c r="B4137" s="9" t="str">
        <f>HYPERLINK("https://www.lazada.vn/products/combo-banh-karo-hoang-kim-richy-va-banh-trung-tuoi-cha-bong-an-sang-i2659610554.html", "https://www.lazada.vn/products/combo-banh-karo-hoang-kim-richy-va-banh-trung-tuoi-cha-bong-an-sang-i2659610554.html")</f>
        <v>https://www.lazada.vn/products/combo-banh-karo-hoang-kim-richy-va-banh-trung-tuoi-cha-bong-an-sang-i2659610554.html</v>
      </c>
      <c r="C4137" s="10" t="s">
        <v>4137</v>
      </c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8">
        <v>8992.0</v>
      </c>
      <c r="B4138" s="9" t="str">
        <f>HYPERLINK("https://www.lazada.vn/products/banh-cookies-lai-phu-kem-cam-350g-i1741837811.html", "https://www.lazada.vn/products/banh-cookies-lai-phu-kem-cam-350g-i1741837811.html")</f>
        <v>https://www.lazada.vn/products/banh-cookies-lai-phu-kem-cam-350g-i1741837811.html</v>
      </c>
      <c r="C4138" s="10" t="s">
        <v>4138</v>
      </c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8">
        <v>8993.0</v>
      </c>
      <c r="B4139" s="9" t="str">
        <f>HYPERLINK("https://www.lazada.vn/products/banh-trang-xi-ke-dac-san-tay-ninh-tui-65g-do-an-vat-nha-lets-nuts-banh-trang-cay-cay-thom-ngon-i2604810463.html", "https://www.lazada.vn/products/banh-trang-xi-ke-dac-san-tay-ninh-tui-65g-do-an-vat-nha-lets-nuts-banh-trang-cay-cay-thom-ngon-i2604810463.html")</f>
        <v>https://www.lazada.vn/products/banh-trang-xi-ke-dac-san-tay-ninh-tui-65g-do-an-vat-nha-lets-nuts-banh-trang-cay-cay-thom-ngon-i2604810463.html</v>
      </c>
      <c r="C4139" s="10" t="s">
        <v>4139</v>
      </c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8">
        <v>8994.0</v>
      </c>
      <c r="B4140" s="9" t="str">
        <f>HYPERLINK("https://www.lazada.vn/products/ruou-vang-no-tay-ban-nha-fogoso-azul-i2228911401.html", "https://www.lazada.vn/products/ruou-vang-no-tay-ban-nha-fogoso-azul-i2228911401.html")</f>
        <v>https://www.lazada.vn/products/ruou-vang-no-tay-ban-nha-fogoso-azul-i2228911401.html</v>
      </c>
      <c r="C4140" s="10" t="s">
        <v>4140</v>
      </c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8">
        <v>8995.0</v>
      </c>
      <c r="B4141" s="9" t="str">
        <f>HYPERLINK("https://www.lazada.vn/products/notland-hi-trong-huong-vi-ran-uong-chanh-tra-den-huong-vi-ran-uong-i2700324211.html", "https://www.lazada.vn/products/notland-hi-trong-huong-vi-ran-uong-chanh-tra-den-huong-vi-ran-uong-i2700324211.html")</f>
        <v>https://www.lazada.vn/products/notland-hi-trong-huong-vi-ran-uong-chanh-tra-den-huong-vi-ran-uong-i2700324211.html</v>
      </c>
      <c r="C4141" s="10" t="s">
        <v>4141</v>
      </c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8">
        <v>8996.0</v>
      </c>
      <c r="B4142" s="9" t="str">
        <f>HYPERLINK("https://www.lazada.vn/products/chuoi-say-deo-500g-1kg-i2923732492.html", "https://www.lazada.vn/products/chuoi-say-deo-500g-1kg-i2923732492.html")</f>
        <v>https://www.lazada.vn/products/chuoi-say-deo-500g-1kg-i2923732492.html</v>
      </c>
      <c r="C4142" s="10" t="s">
        <v>4142</v>
      </c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8">
        <v>8997.0</v>
      </c>
      <c r="B4143" s="9" t="str">
        <f>HYPERLINK("https://www.lazada.vn/products/wumei-hawthorn-poria-uong-nuoc-giai-khat-ran-i2700324112.html", "https://www.lazada.vn/products/wumei-hawthorn-poria-uong-nuoc-giai-khat-ran-i2700324112.html")</f>
        <v>https://www.lazada.vn/products/wumei-hawthorn-poria-uong-nuoc-giai-khat-ran-i2700324112.html</v>
      </c>
      <c r="C4143" s="10" t="s">
        <v>4143</v>
      </c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8">
        <v>8998.0</v>
      </c>
      <c r="B4144" s="9" t="str">
        <f>HYPERLINK("https://www.lazada.vn/products/ca-phe-sua-ong-bau-240g-i2697448481.html", "https://www.lazada.vn/products/ca-phe-sua-ong-bau-240g-i2697448481.html")</f>
        <v>https://www.lazada.vn/products/ca-phe-sua-ong-bau-240g-i2697448481.html</v>
      </c>
      <c r="C4144" s="10" t="s">
        <v>4144</v>
      </c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8">
        <v>8999.0</v>
      </c>
      <c r="B4145" s="9" t="str">
        <f>HYPERLINK("https://www.lazada.vn/products/bao-li-xi-tet-tan-suu-2022-qua-tang-01-cai-khong-ban-flash-sale-3-i1677290647.html", "https://www.lazada.vn/products/bao-li-xi-tet-tan-suu-2022-qua-tang-01-cai-khong-ban-flash-sale-3-i1677290647.html")</f>
        <v>https://www.lazada.vn/products/bao-li-xi-tet-tan-suu-2022-qua-tang-01-cai-khong-ban-flash-sale-3-i1677290647.html</v>
      </c>
      <c r="C4145" s="10" t="s">
        <v>4145</v>
      </c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8">
        <v>9000.0</v>
      </c>
      <c r="B4146" s="9" t="str">
        <f>HYPERLINK("https://www.lazada.vn/products/qua-tang-combo-2-keo-so-co-la-mm-145g-i2927178383.html", "https://www.lazada.vn/products/qua-tang-combo-2-keo-so-co-la-mm-145g-i2927178383.html")</f>
        <v>https://www.lazada.vn/products/qua-tang-combo-2-keo-so-co-la-mm-145g-i2927178383.html</v>
      </c>
      <c r="C4146" s="10" t="s">
        <v>4146</v>
      </c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8">
        <v>9001.0</v>
      </c>
      <c r="B4147" s="9" t="str">
        <f>HYPERLINK("https://www.lazada.vn/products/si-ro-hoa-hong-an-do-hamdard-dawakhana-roohafza-rose-syrup-750ml-i2566986630.html", "https://www.lazada.vn/products/si-ro-hoa-hong-an-do-hamdard-dawakhana-roohafza-rose-syrup-750ml-i2566986630.html")</f>
        <v>https://www.lazada.vn/products/si-ro-hoa-hong-an-do-hamdard-dawakhana-roohafza-rose-syrup-750ml-i2566986630.html</v>
      </c>
      <c r="C4147" s="10" t="s">
        <v>4147</v>
      </c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8">
        <v>9002.0</v>
      </c>
      <c r="B4148" s="9" t="str">
        <f>HYPERLINK("https://www.lazada.vn/products/khoai-say-deo-500g-1kg-i2923724503.html", "https://www.lazada.vn/products/khoai-say-deo-500g-1kg-i2923724503.html")</f>
        <v>https://www.lazada.vn/products/khoai-say-deo-500g-1kg-i2923724503.html</v>
      </c>
      <c r="C4148" s="10" t="s">
        <v>4148</v>
      </c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8">
        <v>9003.0</v>
      </c>
      <c r="B4149" s="9" t="str">
        <f>HYPERLINK("https://www.lazada.vn/products/ruou-sake-nau-an-nhat-ban-chai-18l-i2287970868.html", "https://www.lazada.vn/products/ruou-sake-nau-an-nhat-ban-chai-18l-i2287970868.html")</f>
        <v>https://www.lazada.vn/products/ruou-sake-nau-an-nhat-ban-chai-18l-i2287970868.html</v>
      </c>
      <c r="C4149" s="10" t="s">
        <v>4149</v>
      </c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8">
        <v>9004.0</v>
      </c>
      <c r="B4150" s="9" t="str">
        <f>HYPERLINK("https://www.lazada.vn/products/voucher-15-tra-xanh-th-true-milk-100-tuoi-mat-thung-24-chai-i2714910195.html", "https://www.lazada.vn/products/voucher-15-tra-xanh-th-true-milk-100-tuoi-mat-thung-24-chai-i2714910195.html")</f>
        <v>https://www.lazada.vn/products/voucher-15-tra-xanh-th-true-milk-100-tuoi-mat-thung-24-chai-i2714910195.html</v>
      </c>
      <c r="C4150" s="10" t="s">
        <v>4150</v>
      </c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8">
        <v>9005.0</v>
      </c>
      <c r="B4151" s="9" t="str">
        <f>HYPERLINK("https://www.lazada.vn/products/giam-10k-combo-khoe-bung-gom-tac-gung-mat-ong-950gr-tra-gung-rang-moc-500gr-khong-chat-bao-quan-khong-duong-hoa-hoc-i2806171988.html", "https://www.lazada.vn/products/giam-10k-combo-khoe-bung-gom-tac-gung-mat-ong-950gr-tra-gung-rang-moc-500gr-khong-chat-bao-quan-khong-duong-hoa-hoc-i2806171988.html")</f>
        <v>https://www.lazada.vn/products/giam-10k-combo-khoe-bung-gom-tac-gung-mat-ong-950gr-tra-gung-rang-moc-500gr-khong-chat-bao-quan-khong-duong-hoa-hoc-i2806171988.html</v>
      </c>
      <c r="C4151" s="10" t="s">
        <v>4151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8">
        <v>9006.0</v>
      </c>
      <c r="B4152" s="9" t="str">
        <f>HYPERLINK("https://www.lazada.vn/products/sot-tron-com-thom-ngon-toping-gom-thit-bo-xao-cay-nhe-va-khong-cay-lo-200g-hang-chuan-i2549413340.html", "https://www.lazada.vn/products/sot-tron-com-thom-ngon-toping-gom-thit-bo-xao-cay-nhe-va-khong-cay-lo-200g-hang-chuan-i2549413340.html")</f>
        <v>https://www.lazada.vn/products/sot-tron-com-thom-ngon-toping-gom-thit-bo-xao-cay-nhe-va-khong-cay-lo-200g-hang-chuan-i2549413340.html</v>
      </c>
      <c r="C4152" s="10" t="s">
        <v>4152</v>
      </c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8">
        <v>9007.0</v>
      </c>
      <c r="B4153" s="9" t="str">
        <f>HYPERLINK("https://www.lazada.vn/products/combo-5-thung-15-lon-bia-budweiser-partypack-chinh-hang-250mllon-i2959165227.html", "https://www.lazada.vn/products/combo-5-thung-15-lon-bia-budweiser-partypack-chinh-hang-250mllon-i2959165227.html")</f>
        <v>https://www.lazada.vn/products/combo-5-thung-15-lon-bia-budweiser-partypack-chinh-hang-250mllon-i2959165227.html</v>
      </c>
      <c r="C4153" s="10" t="s">
        <v>4153</v>
      </c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8">
        <v>9008.0</v>
      </c>
      <c r="B4154" s="9" t="str">
        <f>HYPERLINK("https://www.lazada.vn/products/cb-15-goi-mi-3-mien-reeva-ga-soi-pho-65gr-b-i3015837481.html", "https://www.lazada.vn/products/cb-15-goi-mi-3-mien-reeva-ga-soi-pho-65gr-b-i3015837481.html")</f>
        <v>https://www.lazada.vn/products/cb-15-goi-mi-3-mien-reeva-ga-soi-pho-65gr-b-i3015837481.html</v>
      </c>
      <c r="C4154" s="10" t="s">
        <v>4154</v>
      </c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8">
        <v>9009.0</v>
      </c>
      <c r="B4155" s="9" t="str">
        <f>HYPERLINK("https://www.lazada.vn/products/banh-ep-hue-banh-ep-thuan-an-huong-vi-truyen-thong-co-do-hue-banh-ep-hai-san-tom-thit-banh-ep-hue-vi-bbq-i2911914238.html", "https://www.lazada.vn/products/banh-ep-hue-banh-ep-thuan-an-huong-vi-truyen-thong-co-do-hue-banh-ep-hai-san-tom-thit-banh-ep-hue-vi-bbq-i2911914238.html")</f>
        <v>https://www.lazada.vn/products/banh-ep-hue-banh-ep-thuan-an-huong-vi-truyen-thong-co-do-hue-banh-ep-hai-san-tom-thit-banh-ep-hue-vi-bbq-i2911914238.html</v>
      </c>
      <c r="C4155" s="10" t="s">
        <v>4155</v>
      </c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8">
        <v>9010.0</v>
      </c>
      <c r="B4156" s="9" t="str">
        <f>HYPERLINK("https://www.lazada.vn/products/khoai-tay-chien-cong-bi-tui-1kg-chien-ngon-gion-rum-ship-hoa-toc-1h-hcm-i2785166348.html", "https://www.lazada.vn/products/khoai-tay-chien-cong-bi-tui-1kg-chien-ngon-gion-rum-ship-hoa-toc-1h-hcm-i2785166348.html")</f>
        <v>https://www.lazada.vn/products/khoai-tay-chien-cong-bi-tui-1kg-chien-ngon-gion-rum-ship-hoa-toc-1h-hcm-i2785166348.html</v>
      </c>
      <c r="C4156" s="10" t="s">
        <v>4156</v>
      </c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8">
        <v>9011.0</v>
      </c>
      <c r="B4157" s="9" t="str">
        <f>HYPERLINK("https://www.lazada.vn/products/thach-rau-cau-pha-san-thach-dau-uc-1goi-500grkhong-can-dun-naudu-vicost-thap-de-pha-chi-20k1kg-thach-thanh-pham-i2485382703.html", "https://www.lazada.vn/products/thach-rau-cau-pha-san-thach-dau-uc-1goi-500grkhong-can-dun-naudu-vicost-thap-de-pha-chi-20k1kg-thach-thanh-pham-i2485382703.html")</f>
        <v>https://www.lazada.vn/products/thach-rau-cau-pha-san-thach-dau-uc-1goi-500grkhong-can-dun-naudu-vicost-thap-de-pha-chi-20k1kg-thach-thanh-pham-i2485382703.html</v>
      </c>
      <c r="C4157" s="10" t="s">
        <v>4157</v>
      </c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8">
        <v>9012.0</v>
      </c>
      <c r="B4158" s="9" t="str">
        <f>HYPERLINK("https://www.lazada.vn/products/hang-vn-bot-cacao-dang-ngot-malaysia-tan-thanh-ngoc-i2179405593.html", "https://www.lazada.vn/products/hang-vn-bot-cacao-dang-ngot-malaysia-tan-thanh-ngoc-i2179405593.html")</f>
        <v>https://www.lazada.vn/products/hang-vn-bot-cacao-dang-ngot-malaysia-tan-thanh-ngoc-i2179405593.html</v>
      </c>
      <c r="C4158" s="10" t="s">
        <v>4158</v>
      </c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8">
        <v>9013.0</v>
      </c>
      <c r="B4159" s="9" t="str">
        <f>HYPERLINK("https://www.lazada.vn/products/combo-12-lon-nuoc-ngot-pepsi-320ml-dam-da-thom-ngon-dung-vi-la-nuoc-giai-khac-uong-lanh-ngon-tuyet-han-su-dung-luon-moi-co-mau-xuan-2025-i2457858288.html", "https://www.lazada.vn/products/combo-12-lon-nuoc-ngot-pepsi-320ml-dam-da-thom-ngon-dung-vi-la-nuoc-giai-khac-uong-lanh-ngon-tuyet-han-su-dung-luon-moi-co-mau-xuan-2025-i2457858288.html")</f>
        <v>https://www.lazada.vn/products/combo-12-lon-nuoc-ngot-pepsi-320ml-dam-da-thom-ngon-dung-vi-la-nuoc-giai-khac-uong-lanh-ngon-tuyet-han-su-dung-luon-moi-co-mau-xuan-2025-i2457858288.html</v>
      </c>
      <c r="C4159" s="10" t="s">
        <v>4159</v>
      </c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8">
        <v>9014.0</v>
      </c>
      <c r="B4160" s="9" t="str">
        <f>HYPERLINK("https://www.lazada.vn/products/chat-luong-xuc-xich-an-lien-boom-boom-mai-vang-lo-50-cay-x-23-g-i1807466530.html", "https://www.lazada.vn/products/chat-luong-xuc-xich-an-lien-boom-boom-mai-vang-lo-50-cay-x-23-g-i1807466530.html")</f>
        <v>https://www.lazada.vn/products/chat-luong-xuc-xich-an-lien-boom-boom-mai-vang-lo-50-cay-x-23-g-i1807466530.html</v>
      </c>
      <c r="C4160" s="10" t="s">
        <v>4160</v>
      </c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8">
        <v>9015.0</v>
      </c>
      <c r="B4161" s="9" t="str">
        <f>HYPERLINK("https://www.lazada.vn/products/nuoc-khoang-thien-nhien-bo-sung-gas-hieu-jermuk-i2518868797.html", "https://www.lazada.vn/products/nuoc-khoang-thien-nhien-bo-sung-gas-hieu-jermuk-i2518868797.html")</f>
        <v>https://www.lazada.vn/products/nuoc-khoang-thien-nhien-bo-sung-gas-hieu-jermuk-i2518868797.html</v>
      </c>
      <c r="C4161" s="10" t="s">
        <v>4161</v>
      </c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8">
        <v>9016.0</v>
      </c>
      <c r="B4162" s="9" t="str">
        <f>HYPERLINK("https://www.lazada.vn/products/ong-cha-va-hop-do-200g-thit-nguoi-dau-nanh-chay-vi-hun-khoi-plant-based-soybean-luncheon-vegan-meat-i3036425261.html", "https://www.lazada.vn/products/ong-cha-va-hop-do-200g-thit-nguoi-dau-nanh-chay-vi-hun-khoi-plant-based-soybean-luncheon-vegan-meat-i3036425261.html")</f>
        <v>https://www.lazada.vn/products/ong-cha-va-hop-do-200g-thit-nguoi-dau-nanh-chay-vi-hun-khoi-plant-based-soybean-luncheon-vegan-meat-i3036425261.html</v>
      </c>
      <c r="C4162" s="10" t="s">
        <v>4162</v>
      </c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8">
        <v>9017.0</v>
      </c>
      <c r="B4163" s="9" t="str">
        <f>HYPERLINK("https://www.lazada.vn/products/vang-tay-ban-nha-pedro-luis-monastrell_750ml-i2647590905.html", "https://www.lazada.vn/products/vang-tay-ban-nha-pedro-luis-monastrell_750ml-i2647590905.html")</f>
        <v>https://www.lazada.vn/products/vang-tay-ban-nha-pedro-luis-monastrell_750ml-i2647590905.html</v>
      </c>
      <c r="C4163" s="10" t="s">
        <v>4163</v>
      </c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8">
        <v>9018.0</v>
      </c>
      <c r="B4164" s="9" t="str">
        <f>HYPERLINK("https://www.lazada.vn/products/san-pham-moi-banh-gao-nuong-orion-an-com-sen-goi-168g-i2658920124.html", "https://www.lazada.vn/products/san-pham-moi-banh-gao-nuong-orion-an-com-sen-goi-168g-i2658920124.html")</f>
        <v>https://www.lazada.vn/products/san-pham-moi-banh-gao-nuong-orion-an-com-sen-goi-168g-i2658920124.html</v>
      </c>
      <c r="C4164" s="10" t="s">
        <v>4164</v>
      </c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8">
        <v>9019.0</v>
      </c>
      <c r="B4165" s="9" t="str">
        <f>HYPERLINK("https://www.lazada.vn/products/banh-cookies-lai-phu-kem-sau-rieng-350g-i1741796978.html", "https://www.lazada.vn/products/banh-cookies-lai-phu-kem-sau-rieng-350g-i1741796978.html")</f>
        <v>https://www.lazada.vn/products/banh-cookies-lai-phu-kem-sau-rieng-350g-i1741796978.html</v>
      </c>
      <c r="C4165" s="10" t="s">
        <v>4165</v>
      </c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8">
        <v>9020.0</v>
      </c>
      <c r="B4166" s="9" t="str">
        <f>HYPERLINK("https://www.lazada.vn/products/banh-trang-bo-dac-san-tay-ninh-tui-65g-do-an-vat-nha-lets-nuts-cuc-hap-dan-cho-hoi-nhom-gia-dinh-i2604763681.html", "https://www.lazada.vn/products/banh-trang-bo-dac-san-tay-ninh-tui-65g-do-an-vat-nha-lets-nuts-cuc-hap-dan-cho-hoi-nhom-gia-dinh-i2604763681.html")</f>
        <v>https://www.lazada.vn/products/banh-trang-bo-dac-san-tay-ninh-tui-65g-do-an-vat-nha-lets-nuts-cuc-hap-dan-cho-hoi-nhom-gia-dinh-i2604763681.html</v>
      </c>
      <c r="C4166" s="10" t="s">
        <v>4166</v>
      </c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8">
        <v>9021.0</v>
      </c>
      <c r="B4167" s="9" t="str">
        <f>HYPERLINK("https://www.lazada.vn/products/monroecare-sua-tra-gung-uong-ran-monroecare-i2700233864.html", "https://www.lazada.vn/products/monroecare-sua-tra-gung-uong-ran-monroecare-i2700233864.html")</f>
        <v>https://www.lazada.vn/products/monroecare-sua-tra-gung-uong-ran-monroecare-i2700233864.html</v>
      </c>
      <c r="C4167" s="10" t="s">
        <v>4167</v>
      </c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8">
        <v>9022.0</v>
      </c>
      <c r="B4168" s="9" t="str">
        <f>HYPERLINK("https://www.lazada.vn/products/1-lit-dau-dua-2-chai-nau-thu-cong-nguyen-chat-thom-lung-i2203739134.html", "https://www.lazada.vn/products/1-lit-dau-dua-2-chai-nau-thu-cong-nguyen-chat-thom-lung-i2203739134.html")</f>
        <v>https://www.lazada.vn/products/1-lit-dau-dua-2-chai-nau-thu-cong-nguyen-chat-thom-lung-i2203739134.html</v>
      </c>
      <c r="C4168" s="10" t="s">
        <v>4168</v>
      </c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8">
        <v>9023.0</v>
      </c>
      <c r="B4169" s="9" t="str">
        <f>HYPERLINK("https://www.lazada.vn/products/5-vien-keo-a7-anpha-seven-mau-vang-chanh-2025-chuan-bao-dung-hop-10v-che-ten-san-pham-i3056049129.html", "https://www.lazada.vn/products/5-vien-keo-a7-anpha-seven-mau-vang-chanh-2025-chuan-bao-dung-hop-10v-che-ten-san-pham-i3056049129.html")</f>
        <v>https://www.lazada.vn/products/5-vien-keo-a7-anpha-seven-mau-vang-chanh-2025-chuan-bao-dung-hop-10v-che-ten-san-pham-i3056049129.html</v>
      </c>
      <c r="C4169" s="10" t="s">
        <v>4169</v>
      </c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8">
        <v>9024.0</v>
      </c>
      <c r="B4170" s="9" t="str">
        <f>HYPERLINK("https://www.lazada.vn/products/si-ro-hoa-hong-an-do-hamdard-dawakhana-roohafza-rose-syrup-750ml-i2566685730.html", "https://www.lazada.vn/products/si-ro-hoa-hong-an-do-hamdard-dawakhana-roohafza-rose-syrup-750ml-i2566685730.html")</f>
        <v>https://www.lazada.vn/products/si-ro-hoa-hong-an-do-hamdard-dawakhana-roohafza-rose-syrup-750ml-i2566685730.html</v>
      </c>
      <c r="C4170" s="10" t="s">
        <v>4170</v>
      </c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8">
        <v>9025.0</v>
      </c>
      <c r="B4171" s="9" t="str">
        <f>HYPERLINK("https://www.lazada.vn/products/bao-li-xi-tet-tan-suu-2022-qua-tang-01-cai-khong-ban-flash-sale-1-i1677289637.html", "https://www.lazada.vn/products/bao-li-xi-tet-tan-suu-2022-qua-tang-01-cai-khong-ban-flash-sale-1-i1677289637.html")</f>
        <v>https://www.lazada.vn/products/bao-li-xi-tet-tan-suu-2022-qua-tang-01-cai-khong-ban-flash-sale-1-i1677289637.html</v>
      </c>
      <c r="C4171" s="10" t="s">
        <v>4171</v>
      </c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8">
        <v>9026.0</v>
      </c>
      <c r="B4172" s="9" t="str">
        <f>HYPERLINK("https://www.lazada.vn/products/qua-tang-keo-so-co-la-mm-145g-i2927125473.html", "https://www.lazada.vn/products/qua-tang-keo-so-co-la-mm-145g-i2927125473.html")</f>
        <v>https://www.lazada.vn/products/qua-tang-keo-so-co-la-mm-145g-i2927125473.html</v>
      </c>
      <c r="C4172" s="10" t="s">
        <v>4172</v>
      </c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8">
        <v>9027.0</v>
      </c>
      <c r="B4173" s="9" t="str">
        <f>HYPERLINK("https://www.lazada.vn/products/ruou-ngot-mirin-nau-an-ngot-thanh-thung-18l-i2287953954.html", "https://www.lazada.vn/products/ruou-ngot-mirin-nau-an-ngot-thanh-thung-18l-i2287953954.html")</f>
        <v>https://www.lazada.vn/products/ruou-ngot-mirin-nau-an-ngot-thanh-thung-18l-i2287953954.html</v>
      </c>
      <c r="C4173" s="10" t="s">
        <v>4173</v>
      </c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8">
        <v>9028.0</v>
      </c>
      <c r="B4174" s="9" t="str">
        <f>HYPERLINK("https://www.lazada.vn/products/cao-ngua-bach-nguyen-chat-100g-dam-bao-chat-luong-i2714663396.html", "https://www.lazada.vn/products/cao-ngua-bach-nguyen-chat-100g-dam-bao-chat-luong-i2714663396.html")</f>
        <v>https://www.lazada.vn/products/cao-ngua-bach-nguyen-chat-100g-dam-bao-chat-luong-i2714663396.html</v>
      </c>
      <c r="C4174" s="10" t="s">
        <v>4174</v>
      </c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8">
        <v>9029.0</v>
      </c>
      <c r="B4175" s="9" t="str">
        <f>HYPERLINK("https://www.lazada.vn/products/khoai-say-deo-500g-1kg-i2923721543.html", "https://www.lazada.vn/products/khoai-say-deo-500g-1kg-i2923721543.html")</f>
        <v>https://www.lazada.vn/products/khoai-say-deo-500g-1kg-i2923721543.html</v>
      </c>
      <c r="C4175" s="10" t="s">
        <v>4175</v>
      </c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8">
        <v>9030.0</v>
      </c>
      <c r="B4176" s="9" t="str">
        <f>HYPERLINK("https://www.lazada.vn/products/bia-heineken-phap-thung-20-chai-nhap-khau-chinh-hang-i2959131613.html", "https://www.lazada.vn/products/bia-heineken-phap-thung-20-chai-nhap-khau-chinh-hang-i2959131613.html")</f>
        <v>https://www.lazada.vn/products/bia-heineken-phap-thung-20-chai-nhap-khau-chinh-hang-i2959131613.html</v>
      </c>
      <c r="C4176" s="10" t="s">
        <v>4176</v>
      </c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8">
        <v>9031.0</v>
      </c>
      <c r="B4177" s="9" t="str">
        <f>HYPERLINK("https://www.lazada.vn/products/ruou-mo-umeshu-oneo-hop-giay-2l-nhat-ban-8-do-i2091040333.html", "https://www.lazada.vn/products/ruou-mo-umeshu-oneo-hop-giay-2l-nhat-ban-8-do-i2091040333.html")</f>
        <v>https://www.lazada.vn/products/ruou-mo-umeshu-oneo-hop-giay-2l-nhat-ban-8-do-i2091040333.html</v>
      </c>
      <c r="C4177" s="10" t="s">
        <v>4177</v>
      </c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8">
        <v>9032.0</v>
      </c>
      <c r="B4178" s="9" t="str">
        <f>HYPERLINK("https://www.lazada.vn/products/giam-10k-tu-ngay-213-303-combo-2-hu-tac-gung-mat-ong-duong-phen-950gramtang-1-tac-gung-mat-ong-duong-phen-440gram-i2806171520.html", "https://www.lazada.vn/products/giam-10k-tu-ngay-213-303-combo-2-hu-tac-gung-mat-ong-duong-phen-950gramtang-1-tac-gung-mat-ong-duong-phen-440gram-i2806171520.html")</f>
        <v>https://www.lazada.vn/products/giam-10k-tu-ngay-213-303-combo-2-hu-tac-gung-mat-ong-duong-phen-950gramtang-1-tac-gung-mat-ong-duong-phen-440gram-i2806171520.html</v>
      </c>
      <c r="C4178" s="10" t="s">
        <v>4178</v>
      </c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8">
        <v>9033.0</v>
      </c>
      <c r="B4179" s="9" t="str">
        <f>HYPERLINK("https://www.lazada.vn/products/ca-phe-decaf-colombia-caldas-ca-phe-tach-caffeine-i2697329536.html", "https://www.lazada.vn/products/ca-phe-decaf-colombia-caldas-ca-phe-tach-caffeine-i2697329536.html")</f>
        <v>https://www.lazada.vn/products/ca-phe-decaf-colombia-caldas-ca-phe-tach-caffeine-i2697329536.html</v>
      </c>
      <c r="C4179" s="10" t="s">
        <v>4179</v>
      </c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8">
        <v>9034.0</v>
      </c>
      <c r="B4180" s="9" t="str">
        <f>HYPERLINK("https://www.lazada.vn/products/thung-24-chai-nuoc-tang-luc-number-one-x-330ml-i2518224506.html", "https://www.lazada.vn/products/thung-24-chai-nuoc-tang-luc-number-one-x-330ml-i2518224506.html")</f>
        <v>https://www.lazada.vn/products/thung-24-chai-nuoc-tang-luc-number-one-x-330ml-i2518224506.html</v>
      </c>
      <c r="C4180" s="10" t="s">
        <v>4180</v>
      </c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8">
        <v>9035.0</v>
      </c>
      <c r="B4181" s="9" t="str">
        <f>HYPERLINK("https://www.lazada.vn/products/combo-2-banh-ep-hue-one-food-vi-hai-san-tom-thit-tui-40g-thom-ngon-gion-rum-dac-san-thuan-an-i2911847611.html", "https://www.lazada.vn/products/combo-2-banh-ep-hue-one-food-vi-hai-san-tom-thit-tui-40g-thom-ngon-gion-rum-dac-san-thuan-an-i2911847611.html")</f>
        <v>https://www.lazada.vn/products/combo-2-banh-ep-hue-one-food-vi-hai-san-tom-thit-tui-40g-thom-ngon-gion-rum-dac-san-thuan-an-i2911847611.html</v>
      </c>
      <c r="C4181" s="10" t="s">
        <v>4181</v>
      </c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8">
        <v>9036.0</v>
      </c>
      <c r="B4182" s="9" t="str">
        <f>HYPERLINK("https://www.lazada.vn/products/loc-6lon-nuoc-ngot-pepsi-345ml-mau-vang-lon-roi-co-mau-xuan-2024-han-su-dung-luon-moi-i2457846305.html", "https://www.lazada.vn/products/loc-6lon-nuoc-ngot-pepsi-345ml-mau-vang-lon-roi-co-mau-xuan-2024-han-su-dung-luon-moi-i2457846305.html")</f>
        <v>https://www.lazada.vn/products/loc-6lon-nuoc-ngot-pepsi-345ml-mau-vang-lon-roi-co-mau-xuan-2024-han-su-dung-luon-moi-i2457846305.html</v>
      </c>
      <c r="C4182" s="10" t="s">
        <v>4182</v>
      </c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8">
        <v>9037.0</v>
      </c>
      <c r="B4183" s="9" t="str">
        <f>HYPERLINK("https://www.lazada.vn/products/combo-10-goi-snack-bim-tam-mix-vfood-thai-lan-i1806154589.html", "https://www.lazada.vn/products/combo-10-goi-snack-bim-tam-mix-vfood-thai-lan-i1806154589.html")</f>
        <v>https://www.lazada.vn/products/combo-10-goi-snack-bim-tam-mix-vfood-thai-lan-i1806154589.html</v>
      </c>
      <c r="C4183" s="10" t="s">
        <v>4183</v>
      </c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8">
        <v>9038.0</v>
      </c>
      <c r="B4184" s="9" t="str">
        <f>HYPERLINK("https://www.lazada.vn/products/thach-rau-cau-pha-san-thach-xoai-uc-1-goi-500gr-khong-can-dun-nau-du-vi-cost-thap-de-pha-chi-20k1kg-thach-thanh-pham-i2485367746.html", "https://www.lazada.vn/products/thach-rau-cau-pha-san-thach-xoai-uc-1-goi-500gr-khong-can-dun-nau-du-vi-cost-thap-de-pha-chi-20k1kg-thach-thanh-pham-i2485367746.html")</f>
        <v>https://www.lazada.vn/products/thach-rau-cau-pha-san-thach-xoai-uc-1-goi-500gr-khong-can-dun-nau-du-vi-cost-thap-de-pha-chi-20k1kg-thach-thanh-pham-i2485367746.html</v>
      </c>
      <c r="C4184" s="10" t="s">
        <v>4184</v>
      </c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8">
        <v>9039.0</v>
      </c>
      <c r="B4185" s="9" t="str">
        <f>HYPERLINK("https://www.lazada.vn/products/mi-tre-em-vifon-20g-goi-i2961819402.html", "https://www.lazada.vn/products/mi-tre-em-vifon-20g-goi-i2961819402.html")</f>
        <v>https://www.lazada.vn/products/mi-tre-em-vifon-20g-goi-i2961819402.html</v>
      </c>
      <c r="C4185" s="10" t="s">
        <v>4185</v>
      </c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8">
        <v>9040.0</v>
      </c>
      <c r="B4186" s="9" t="str">
        <f>HYPERLINK("https://www.lazada.vn/products/bot-cacao-dak-lak-nguyen-chat-100-loai-dac-biet-i2172982117.html", "https://www.lazada.vn/products/bot-cacao-dak-lak-nguyen-chat-100-loai-dac-biet-i2172982117.html")</f>
        <v>https://www.lazada.vn/products/bot-cacao-dak-lak-nguyen-chat-100-loai-dac-biet-i2172982117.html</v>
      </c>
      <c r="C4186" s="10" t="s">
        <v>4186</v>
      </c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8">
        <v>9041.0</v>
      </c>
      <c r="B4187" s="9" t="str">
        <f>HYPERLINK("https://www.lazada.vn/products/khoai-lang-say-deo-natural-core-cho-cho-meo-50gr-i2780987352.html", "https://www.lazada.vn/products/khoai-lang-say-deo-natural-core-cho-cho-meo-50gr-i2780987352.html")</f>
        <v>https://www.lazada.vn/products/khoai-lang-say-deo-natural-core-cho-cho-meo-50gr-i2780987352.html</v>
      </c>
      <c r="C4187" s="10" t="s">
        <v>4187</v>
      </c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8">
        <v>9042.0</v>
      </c>
      <c r="B4188" s="9" t="str">
        <f>HYPERLINK("https://www.lazada.vn/products/ybarra-lon-lon-3kg-qua-o-liu-den-tach-hat-tay-ban-nha-pitted-black-olives-i3036412229.html", "https://www.lazada.vn/products/ybarra-lon-lon-3kg-qua-o-liu-den-tach-hat-tay-ban-nha-pitted-black-olives-i3036412229.html")</f>
        <v>https://www.lazada.vn/products/ybarra-lon-lon-3kg-qua-o-liu-den-tach-hat-tay-ban-nha-pitted-black-olives-i3036412229.html</v>
      </c>
      <c r="C4188" s="10" t="s">
        <v>4188</v>
      </c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8">
        <v>9043.0</v>
      </c>
      <c r="B4189" s="9" t="str">
        <f>HYPERLINK("https://www.lazada.vn/products/vang-y-spartito-cabernet-sauvignon-i2647589918.html", "https://www.lazada.vn/products/vang-y-spartito-cabernet-sauvignon-i2647589918.html")</f>
        <v>https://www.lazada.vn/products/vang-y-spartito-cabernet-sauvignon-i2647589918.html</v>
      </c>
      <c r="C4189" s="10" t="s">
        <v>4189</v>
      </c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8">
        <v>9044.0</v>
      </c>
      <c r="B4190" s="9" t="str">
        <f>HYPERLINK("https://www.lazada.vn/products/banh-trang-rong-bien-4-vi-i2658610858.html", "https://www.lazada.vn/products/banh-trang-rong-bien-4-vi-i2658610858.html")</f>
        <v>https://www.lazada.vn/products/banh-trang-rong-bien-4-vi-i2658610858.html</v>
      </c>
      <c r="C4190" s="10" t="s">
        <v>4190</v>
      </c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8">
        <v>9045.0</v>
      </c>
      <c r="B4191" s="9" t="str">
        <f>HYPERLINK("https://www.lazada.vn/products/banh-cookies-lai-phu-kem-sau-rieng-120g-i1741788461.html", "https://www.lazada.vn/products/banh-cookies-lai-phu-kem-sau-rieng-120g-i1741788461.html")</f>
        <v>https://www.lazada.vn/products/banh-cookies-lai-phu-kem-sau-rieng-120g-i1741788461.html</v>
      </c>
      <c r="C4191" s="10" t="s">
        <v>4191</v>
      </c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8">
        <v>9046.0</v>
      </c>
      <c r="B4192" s="9" t="str">
        <f>HYPERLINK("https://www.lazada.vn/products/banh-mi-que-tuoi-an-kieng-tu-phuong-thanh-phan-organic-thom-beo-bao-quan-cap-dong-co-hut-chan-khong-10-caitui-tien-loi-su-dung-i2658234869.html", "https://www.lazada.vn/products/banh-mi-que-tuoi-an-kieng-tu-phuong-thanh-phan-organic-thom-beo-bao-quan-cap-dong-co-hut-chan-khong-10-caitui-tien-loi-su-dung-i2658234869.html")</f>
        <v>https://www.lazada.vn/products/banh-mi-que-tuoi-an-kieng-tu-phuong-thanh-phan-organic-thom-beo-bao-quan-cap-dong-co-hut-chan-khong-10-caitui-tien-loi-su-dung-i2658234869.html</v>
      </c>
      <c r="C4192" s="10" t="s">
        <v>4192</v>
      </c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8">
        <v>9047.0</v>
      </c>
      <c r="B4193" s="9" t="str">
        <f>HYPERLINK("https://www.lazada.vn/products/thach-rau-cau-sua-chua-umay-pudding-fruit-yogurt-510g-i2484378285.html", "https://www.lazada.vn/products/thach-rau-cau-sua-chua-umay-pudding-fruit-yogurt-510g-i2484378285.html")</f>
        <v>https://www.lazada.vn/products/thach-rau-cau-sua-chua-umay-pudding-fruit-yogurt-510g-i2484378285.html</v>
      </c>
      <c r="C4193" s="10" t="s">
        <v>4193</v>
      </c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8">
        <v>9048.0</v>
      </c>
      <c r="B4194" s="9" t="str">
        <f>HYPERLINK("https://www.lazada.vn/products/snack-pho-mai-vien-cheese-ball-good-today-hop-270g-i2780329089.html", "https://www.lazada.vn/products/snack-pho-mai-vien-cheese-ball-good-today-hop-270g-i2780329089.html")</f>
        <v>https://www.lazada.vn/products/snack-pho-mai-vien-cheese-ball-good-today-hop-270g-i2780329089.html</v>
      </c>
      <c r="C4194" s="10" t="s">
        <v>4194</v>
      </c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8">
        <v>9049.0</v>
      </c>
      <c r="B4195" s="9" t="str">
        <f>HYPERLINK("https://www.lazada.vn/products/tra-to-yen-100-healthy-tang-suc-khoe-tui-24-goi-x-14g-i2714538646.html", "https://www.lazada.vn/products/tra-to-yen-100-healthy-tang-suc-khoe-tui-24-goi-x-14g-i2714538646.html")</f>
        <v>https://www.lazada.vn/products/tra-to-yen-100-healthy-tang-suc-khoe-tui-24-goi-x-14g-i2714538646.html</v>
      </c>
      <c r="C4195" s="10" t="s">
        <v>4195</v>
      </c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8">
        <v>9050.0</v>
      </c>
      <c r="B4196" s="9" t="str">
        <f>HYPERLINK("https://www.lazada.vn/products/500g-keo-le-chanh-muoi-bien-bac-ha-an-phe-mat-hongthom-mieng-i3008970829.html", "https://www.lazada.vn/products/500g-keo-le-chanh-muoi-bien-bac-ha-an-phe-mat-hongthom-mieng-i3008970829.html")</f>
        <v>https://www.lazada.vn/products/500g-keo-le-chanh-muoi-bien-bac-ha-an-phe-mat-hongthom-mieng-i3008970829.html</v>
      </c>
      <c r="C4196" s="10" t="s">
        <v>4196</v>
      </c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8">
        <v>9051.0</v>
      </c>
      <c r="B4197" s="9" t="str">
        <f>HYPERLINK("https://www.lazada.vn/products/bot-cu-sen-mix-hat-35g-dinh-duong-lanh-manh-thanh-nhiet-i2699931393.html", "https://www.lazada.vn/products/bot-cu-sen-mix-hat-35g-dinh-duong-lanh-manh-thanh-nhiet-i2699931393.html")</f>
        <v>https://www.lazada.vn/products/bot-cu-sen-mix-hat-35g-dinh-duong-lanh-manh-thanh-nhiet-i2699931393.html</v>
      </c>
      <c r="C4197" s="10" t="s">
        <v>4197</v>
      </c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8">
        <v>9052.0</v>
      </c>
      <c r="B4198" s="9" t="str">
        <f>HYPERLINK("https://www.lazada.vn/products/giam-5-duy-nhat-273-303-gac-chanh-leo-duong-phen-lac-yen-foods-bo-mat-cai-thien-thi-luc-dep-da-giau-vitamin-a-vitamin-c-i2806093606.html", "https://www.lazada.vn/products/giam-5-duy-nhat-273-303-gac-chanh-leo-duong-phen-lac-yen-foods-bo-mat-cai-thien-thi-luc-dep-da-giau-vitamin-a-vitamin-c-i2806093606.html")</f>
        <v>https://www.lazada.vn/products/giam-5-duy-nhat-273-303-gac-chanh-leo-duong-phen-lac-yen-foods-bo-mat-cai-thien-thi-luc-dep-da-giau-vitamin-a-vitamin-c-i2806093606.html</v>
      </c>
      <c r="C4198" s="10" t="s">
        <v>4198</v>
      </c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8">
        <v>9053.0</v>
      </c>
      <c r="B4199" s="9" t="str">
        <f>HYPERLINK("https://www.lazada.vn/products/strawberry-dried-snack-crispy-30g-x10-bags-dried-fruit-snacks-sweetened-dried-fruit-strawberries-dried-fruit-snack-crispy-i2923676760.html", "https://www.lazada.vn/products/strawberry-dried-snack-crispy-30g-x10-bags-dried-fruit-snacks-sweetened-dried-fruit-strawberries-dried-fruit-snack-crispy-i2923676760.html")</f>
        <v>https://www.lazada.vn/products/strawberry-dried-snack-crispy-30g-x10-bags-dried-fruit-snacks-sweetened-dried-fruit-strawberries-dried-fruit-snack-crispy-i2923676760.html</v>
      </c>
      <c r="C4199" s="10" t="s">
        <v>4199</v>
      </c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8">
        <v>9054.0</v>
      </c>
      <c r="B4200" s="9" t="str">
        <f>HYPERLINK("https://www.lazada.vn/products/siro-bac-ha-xanh-longbeach-mint-syrup-740ml-i2565922833.html", "https://www.lazada.vn/products/siro-bac-ha-xanh-longbeach-mint-syrup-740ml-i2565922833.html")</f>
        <v>https://www.lazada.vn/products/siro-bac-ha-xanh-longbeach-mint-syrup-740ml-i2565922833.html</v>
      </c>
      <c r="C4200" s="10" t="s">
        <v>4200</v>
      </c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8">
        <v>9055.0</v>
      </c>
      <c r="B4201" s="9" t="str">
        <f>HYPERLINK("https://www.lazada.vn/products/keo-lac-nha-lam-dac-san-dai-dong-thach-that-hn-i2019086608.html", "https://www.lazada.vn/products/keo-lac-nha-lam-dac-san-dai-dong-thach-that-hn-i2019086608.html")</f>
        <v>https://www.lazada.vn/products/keo-lac-nha-lam-dac-san-dai-dong-thach-that-hn-i2019086608.html</v>
      </c>
      <c r="C4201" s="10" t="s">
        <v>4201</v>
      </c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8">
        <v>9056.0</v>
      </c>
      <c r="B4202" s="9" t="str">
        <f>HYPERLINK("https://www.lazada.vn/products/20h-3-64-vc-18-cho-don-tu-199k-combo-2-ca-phe-vinacafe-chat-sua-da-3in1-phien-ban-moi-hop-10-goi-x-24g-i2697109460.html", "https://www.lazada.vn/products/20h-3-64-vc-18-cho-don-tu-199k-combo-2-ca-phe-vinacafe-chat-sua-da-3in1-phien-ban-moi-hop-10-goi-x-24g-i2697109460.html")</f>
        <v>https://www.lazada.vn/products/20h-3-64-vc-18-cho-don-tu-199k-combo-2-ca-phe-vinacafe-chat-sua-da-3in1-phien-ban-moi-hop-10-goi-x-24g-i2697109460.html</v>
      </c>
      <c r="C4202" s="10" t="s">
        <v>4202</v>
      </c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8">
        <v>9057.0</v>
      </c>
      <c r="B4203" s="9" t="str">
        <f>HYPERLINK("https://www.lazada.vn/products/hcmthung-12-lon-bia-far-east-ipa-12x330ml-i2173175241.html", "https://www.lazada.vn/products/hcmthung-12-lon-bia-far-east-ipa-12x330ml-i2173175241.html")</f>
        <v>https://www.lazada.vn/products/hcmthung-12-lon-bia-far-east-ipa-12x330ml-i2173175241.html</v>
      </c>
      <c r="C4203" s="10" t="s">
        <v>4203</v>
      </c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8">
        <v>9058.0</v>
      </c>
      <c r="B4204" s="9" t="str">
        <f>HYPERLINK("https://www.lazada.vn/products/tang-luc-winc1-uu-viet-i2510613213.html", "https://www.lazada.vn/products/tang-luc-winc1-uu-viet-i2510613213.html")</f>
        <v>https://www.lazada.vn/products/tang-luc-winc1-uu-viet-i2510613213.html</v>
      </c>
      <c r="C4204" s="10" t="s">
        <v>4204</v>
      </c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8">
        <v>9059.0</v>
      </c>
      <c r="B4205" s="9" t="str">
        <f>HYPERLINK("https://www.lazada.vn/products/thung-24chai-nuoc-ngot-pepsi-390ml-dam-da-thom-ngon-dung-vi-la-nuoc-giai-khac-ho-tro-tot-cho-duong-tieu-hoa-uong-lanh-ngon-tuyet-dinh-han-su-dung-luon-moi-i2457795224.html", "https://www.lazada.vn/products/thung-24chai-nuoc-ngot-pepsi-390ml-dam-da-thom-ngon-dung-vi-la-nuoc-giai-khac-ho-tro-tot-cho-duong-tieu-hoa-uong-lanh-ngon-tuyet-dinh-han-su-dung-luon-moi-i2457795224.html")</f>
        <v>https://www.lazada.vn/products/thung-24chai-nuoc-ngot-pepsi-390ml-dam-da-thom-ngon-dung-vi-la-nuoc-giai-khac-ho-tro-tot-cho-duong-tieu-hoa-uong-lanh-ngon-tuyet-dinh-han-su-dung-luon-moi-i2457795224.html</v>
      </c>
      <c r="C4205" s="10" t="s">
        <v>4205</v>
      </c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8">
        <v>9060.0</v>
      </c>
      <c r="B4206" s="9" t="str">
        <f>HYPERLINK("https://www.lazada.vn/products/sake-nhat-ban-jyoku-hanaomoi-junmai-daiginjo-720ml-i2282564276.html", "https://www.lazada.vn/products/sake-nhat-ban-jyoku-hanaomoi-junmai-daiginjo-720ml-i2282564276.html")</f>
        <v>https://www.lazada.vn/products/sake-nhat-ban-jyoku-hanaomoi-junmai-daiginjo-720ml-i2282564276.html</v>
      </c>
      <c r="C4206" s="10" t="s">
        <v>4206</v>
      </c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8">
        <v>9061.0</v>
      </c>
      <c r="B4207" s="9" t="str">
        <f>HYPERLINK("https://www.lazada.vn/products/bao-li-xi-tet-tan-suu-2022-qua-tang-01-cai-khong-ban-flash-sale-2-i1677275764.html", "https://www.lazada.vn/products/bao-li-xi-tet-tan-suu-2022-qua-tang-01-cai-khong-ban-flash-sale-2-i1677275764.html")</f>
        <v>https://www.lazada.vn/products/bao-li-xi-tet-tan-suu-2022-qua-tang-01-cai-khong-ban-flash-sale-2-i1677275764.html</v>
      </c>
      <c r="C4207" s="10" t="s">
        <v>4207</v>
      </c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8">
        <v>9062.0</v>
      </c>
      <c r="B4208" s="9" t="str">
        <f>HYPERLINK("https://www.lazada.vn/products/vang-uc-merlot-bin-999-i2647564193.html", "https://www.lazada.vn/products/vang-uc-merlot-bin-999-i2647564193.html")</f>
        <v>https://www.lazada.vn/products/vang-uc-merlot-bin-999-i2647564193.html</v>
      </c>
      <c r="C4208" s="10" t="s">
        <v>4208</v>
      </c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8">
        <v>9063.0</v>
      </c>
      <c r="B4209" s="9" t="str">
        <f>HYPERLINK("https://www.lazada.vn/products/banh-trang-cuon-tom-dac-san-tay-ninh-do-an-vat-cuc-hap-dan-nha-lets-nuts-tui-500g-i2604732764.html", "https://www.lazada.vn/products/banh-trang-cuon-tom-dac-san-tay-ninh-do-an-vat-cuc-hap-dan-nha-lets-nuts-tui-500g-i2604732764.html")</f>
        <v>https://www.lazada.vn/products/banh-trang-cuon-tom-dac-san-tay-ninh-do-an-vat-cuc-hap-dan-nha-lets-nuts-tui-500g-i2604732764.html</v>
      </c>
      <c r="C4209" s="10" t="s">
        <v>4209</v>
      </c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8">
        <v>9064.0</v>
      </c>
      <c r="B4210" s="9" t="str">
        <f>HYPERLINK("https://www.lazada.vn/products/hop-dau-hanh-140g-ca-ngu-sot-dau-hanh-tuna-viet-nam-tuna-in-dressing-i3036409170.html", "https://www.lazada.vn/products/hop-dau-hanh-140g-ca-ngu-sot-dau-hanh-tuna-viet-nam-tuna-in-dressing-i3036409170.html")</f>
        <v>https://www.lazada.vn/products/hop-dau-hanh-140g-ca-ngu-sot-dau-hanh-tuna-viet-nam-tuna-in-dressing-i3036409170.html</v>
      </c>
      <c r="C4210" s="10" t="s">
        <v>4210</v>
      </c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8">
        <v>9065.0</v>
      </c>
      <c r="B4211" s="9" t="str">
        <f>HYPERLINK("https://www.lazada.vn/products/20h-5-171-qua-tang-nam-moi-voucher-den-40k-combo-3-keo-so-co-la-sua-mms-goi-180g-i2925306052.html", "https://www.lazada.vn/products/20h-5-171-qua-tang-nam-moi-voucher-den-40k-combo-3-keo-so-co-la-sua-mms-goi-180g-i2925306052.html")</f>
        <v>https://www.lazada.vn/products/20h-5-171-qua-tang-nam-moi-voucher-den-40k-combo-3-keo-so-co-la-sua-mms-goi-180g-i2925306052.html</v>
      </c>
      <c r="C4211" s="10" t="s">
        <v>4211</v>
      </c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8">
        <v>9066.0</v>
      </c>
      <c r="B4212" s="9" t="str">
        <f>HYPERLINK("https://www.lazada.vn/products/all-in-one-kuch-kuch-namkeen-i1747728046.html", "https://www.lazada.vn/products/all-in-one-kuch-kuch-namkeen-i1747728046.html")</f>
        <v>https://www.lazada.vn/products/all-in-one-kuch-kuch-namkeen-i1747728046.html</v>
      </c>
      <c r="C4212" s="10" t="s">
        <v>4212</v>
      </c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8">
        <v>9067.0</v>
      </c>
      <c r="B4213" s="9" t="str">
        <f>HYPERLINK("https://www.lazada.vn/products/banh-quy-gion-rum-thom-ngon-mix-3-vi-hat-dieu-hanh-nhan-dua-do-an-nhe-an-vat-hap-dan-cho-ca-nha-i2911581964.html", "https://www.lazada.vn/products/banh-quy-gion-rum-thom-ngon-mix-3-vi-hat-dieu-hanh-nhan-dua-do-an-nhe-an-vat-hap-dan-cho-ca-nha-i2911581964.html")</f>
        <v>https://www.lazada.vn/products/banh-quy-gion-rum-thom-ngon-mix-3-vi-hat-dieu-hanh-nhan-dua-do-an-nhe-an-vat-hap-dan-cho-ca-nha-i2911581964.html</v>
      </c>
      <c r="C4213" s="10" t="s">
        <v>4213</v>
      </c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8">
        <v>9068.0</v>
      </c>
      <c r="B4214" s="9" t="str">
        <f>HYPERLINK("https://www.lazada.vn/products/bia-heineken-phap-thung-20-chai-nhap-khau-phap-i2959102908.html", "https://www.lazada.vn/products/bia-heineken-phap-thung-20-chai-nhap-khau-phap-i2959102908.html")</f>
        <v>https://www.lazada.vn/products/bia-heineken-phap-thung-20-chai-nhap-khau-phap-i2959102908.html</v>
      </c>
      <c r="C4214" s="10" t="s">
        <v>4214</v>
      </c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8">
        <v>9069.0</v>
      </c>
      <c r="B4215" s="9" t="str">
        <f>HYPERLINK("https://www.lazada.vn/products/bot-cacao-nguyen-chat-ka-cacao-khong-duong-huong-vi-socola-tu-nhien-dam-da-khong-huong-lieu-phu-gia-i2163999558.html", "https://www.lazada.vn/products/bot-cacao-nguyen-chat-ka-cacao-khong-duong-huong-vi-socola-tu-nhien-dam-da-khong-huong-lieu-phu-gia-i2163999558.html")</f>
        <v>https://www.lazada.vn/products/bot-cacao-nguyen-chat-ka-cacao-khong-duong-huong-vi-socola-tu-nhien-dam-da-khong-huong-lieu-phu-gia-i2163999558.html</v>
      </c>
      <c r="C4215" s="10" t="s">
        <v>4215</v>
      </c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8">
        <v>9070.0</v>
      </c>
      <c r="B4216" s="9" t="str">
        <f>HYPERLINK("https://www.lazada.vn/products/combo-2-mi-xao-khay-tao-quan-thit-bam-thap-cam-mix-2-vi-acecook-khay-95gr-i2961450524.html", "https://www.lazada.vn/products/combo-2-mi-xao-khay-tao-quan-thit-bam-thap-cam-mix-2-vi-acecook-khay-95gr-i2961450524.html")</f>
        <v>https://www.lazada.vn/products/combo-2-mi-xao-khay-tao-quan-thit-bam-thap-cam-mix-2-vi-acecook-khay-95gr-i2961450524.html</v>
      </c>
      <c r="C4216" s="10" t="s">
        <v>4216</v>
      </c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8">
        <v>9071.0</v>
      </c>
      <c r="B4217" s="9" t="str">
        <f>HYPERLINK("https://www.lazada.vn/products/banh-cookies-lai-phu-kem-sau-rieng-210g-i1741787874.html", "https://www.lazada.vn/products/banh-cookies-lai-phu-kem-sau-rieng-210g-i1741787874.html")</f>
        <v>https://www.lazada.vn/products/banh-cookies-lai-phu-kem-sau-rieng-210g-i1741787874.html</v>
      </c>
      <c r="C4217" s="10" t="s">
        <v>4217</v>
      </c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8">
        <v>9072.0</v>
      </c>
      <c r="B4218" s="9" t="str">
        <f>HYPERLINK("https://www.lazada.vn/products/banh-ran-sua-trung-tuoi-kido-dorayaki-nhat-ban-tuoi-tho-vi-cha-bong-xot-bo-150g-5-goi-hsd-29-ngay-i2658191004.html", "https://www.lazada.vn/products/banh-ran-sua-trung-tuoi-kido-dorayaki-nhat-ban-tuoi-tho-vi-cha-bong-xot-bo-150g-5-goi-hsd-29-ngay-i2658191004.html")</f>
        <v>https://www.lazada.vn/products/banh-ran-sua-trung-tuoi-kido-dorayaki-nhat-ban-tuoi-tho-vi-cha-bong-xot-bo-150g-5-goi-hsd-29-ngay-i2658191004.html</v>
      </c>
      <c r="C4218" s="10" t="s">
        <v>4218</v>
      </c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8">
        <v>9073.0</v>
      </c>
      <c r="B4219" s="9" t="str">
        <f>HYPERLINK("https://www.lazada.vn/products/khoai-tay-ong-vang-dang-tong-hop-tam-pho-mai-bo-toi-gia-gion-ngon-i2779131715.html", "https://www.lazada.vn/products/khoai-tay-ong-vang-dang-tong-hop-tam-pho-mai-bo-toi-gia-gion-ngon-i2779131715.html")</f>
        <v>https://www.lazada.vn/products/khoai-tay-ong-vang-dang-tong-hop-tam-pho-mai-bo-toi-gia-gion-ngon-i2779131715.html</v>
      </c>
      <c r="C4219" s="10" t="s">
        <v>4219</v>
      </c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8">
        <v>9074.0</v>
      </c>
      <c r="B4220" s="9" t="str">
        <f>HYPERLINK("https://www.lazada.vn/products/thach-trung-rau-cau-pudding-hop-16-cai-egg-flavored-pudding-houyi-dai-loan-260g-i2484014214.html", "https://www.lazada.vn/products/thach-trung-rau-cau-pudding-hop-16-cai-egg-flavored-pudding-houyi-dai-loan-260g-i2484014214.html")</f>
        <v>https://www.lazada.vn/products/thach-trung-rau-cau-pudding-hop-16-cai-egg-flavored-pudding-houyi-dai-loan-260g-i2484014214.html</v>
      </c>
      <c r="C4220" s="10" t="s">
        <v>4220</v>
      </c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8">
        <v>9075.0</v>
      </c>
      <c r="B4221" s="9" t="str">
        <f>HYPERLINK("https://www.lazada.vn/products/che-to-yen-nam-tuyet-duong-nhan-an-lien-8g-che-tao-do-ky-tu-sen-bach-hop-hoa-hong-le-i2714321516.html", "https://www.lazada.vn/products/che-to-yen-nam-tuyet-duong-nhan-an-lien-8g-che-tao-do-ky-tu-sen-bach-hop-hoa-hong-le-i2714321516.html")</f>
        <v>https://www.lazada.vn/products/che-to-yen-nam-tuyet-duong-nhan-an-lien-8g-che-tao-do-ky-tu-sen-bach-hop-hoa-hong-le-i2714321516.html</v>
      </c>
      <c r="C4221" s="10" t="s">
        <v>4221</v>
      </c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8">
        <v>9076.0</v>
      </c>
      <c r="B4222" s="9" t="str">
        <f>HYPERLINK("https://www.lazada.vn/products/ruou-mo-nghien-nhat-ban-yosamusume-nigori-umesyu-500ml-i2282430664.html", "https://www.lazada.vn/products/ruou-mo-nghien-nhat-ban-yosamusume-nigori-umesyu-500ml-i2282430664.html")</f>
        <v>https://www.lazada.vn/products/ruou-mo-nghien-nhat-ban-yosamusume-nigori-umesyu-500ml-i2282430664.html</v>
      </c>
      <c r="C4222" s="10" t="s">
        <v>4222</v>
      </c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8">
        <v>9077.0</v>
      </c>
      <c r="B4223" s="9" t="str">
        <f>HYPERLINK("https://www.lazada.vn/products/socola-dubai-nhan-soi-kataifi-hop-40gr-60gr-hottrend-cuoi-nam-2024-co-mix-3-visongthienshop-i2925270484.html", "https://www.lazada.vn/products/socola-dubai-nhan-soi-kataifi-hop-40gr-60gr-hottrend-cuoi-nam-2024-co-mix-3-visongthienshop-i2925270484.html")</f>
        <v>https://www.lazada.vn/products/socola-dubai-nhan-soi-kataifi-hop-40gr-60gr-hottrend-cuoi-nam-2024-co-mix-3-visongthienshop-i2925270484.html</v>
      </c>
      <c r="C4223" s="10" t="s">
        <v>4223</v>
      </c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8">
        <v>9078.0</v>
      </c>
      <c r="B4224" s="9" t="str">
        <f>HYPERLINK("https://www.lazada.vn/products/1-vien-keo-sam-mentalk-chinh-hang-malay-date-moi-nhat-2027-i2953892359.html", "https://www.lazada.vn/products/1-vien-keo-sam-mentalk-chinh-hang-malay-date-moi-nhat-2027-i2953892359.html")</f>
        <v>https://www.lazada.vn/products/1-vien-keo-sam-mentalk-chinh-hang-malay-date-moi-nhat-2027-i2953892359.html</v>
      </c>
      <c r="C4224" s="10" t="s">
        <v>4224</v>
      </c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8">
        <v>9079.0</v>
      </c>
      <c r="B4225" s="9" t="str">
        <f>HYPERLINK("https://www.lazada.vn/products/li-shizhen-mua-he-essential-man-sup-bot-ran-uong-i2699867087.html", "https://www.lazada.vn/products/li-shizhen-mua-he-essential-man-sup-bot-ran-uong-i2699867087.html")</f>
        <v>https://www.lazada.vn/products/li-shizhen-mua-he-essential-man-sup-bot-ran-uong-i2699867087.html</v>
      </c>
      <c r="C4225" s="10" t="s">
        <v>4225</v>
      </c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8">
        <v>9080.0</v>
      </c>
      <c r="B4226" s="9" t="str">
        <f>HYPERLINK("https://www.lazada.vn/products/ruou-buoi-tam-thanh-500ml-i2804874971.html", "https://www.lazada.vn/products/ruou-buoi-tam-thanh-500ml-i2804874971.html")</f>
        <v>https://www.lazada.vn/products/ruou-buoi-tam-thanh-500ml-i2804874971.html</v>
      </c>
      <c r="C4226" s="10" t="s">
        <v>4226</v>
      </c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8">
        <v>9081.0</v>
      </c>
      <c r="B4227" s="9" t="str">
        <f>HYPERLINK("https://www.lazada.vn/products/siro-bac-ha-ice-hot-glacier-mint-syrup-1l-i2563225046.html", "https://www.lazada.vn/products/siro-bac-ha-ice-hot-glacier-mint-syrup-1l-i2563225046.html")</f>
        <v>https://www.lazada.vn/products/siro-bac-ha-ice-hot-glacier-mint-syrup-1l-i2563225046.html</v>
      </c>
      <c r="C4227" s="10" t="s">
        <v>4227</v>
      </c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8">
        <v>9082.0</v>
      </c>
      <c r="B4228" s="9" t="str">
        <f>HYPERLINK("https://www.lazada.vn/products/tang-binh-nuoc-yama-1200ml-cafe-pho-den-da-35goi-x-16gtui-ca-phe-pho-cafe-den-da-maccoffee-cafe-pho-720g-cafe-pho-cafe-pho-den-da-maccoffee-coffee-trueme-truemilk-truemenews-lazadatrueme-phoden35-i2696619292.html", "https://www.lazada.vn/products/tang-binh-nuoc-yama-1200ml-cafe-pho-den-da-35goi-x-16gtui-ca-phe-pho-cafe-den-da-maccoffee-cafe-pho-720g-cafe-pho-cafe-pho-den-da-maccoffee-coffee-trueme-truemilk-truemenews-lazadatrueme-phoden35-i2696619292.html")</f>
        <v>https://www.lazada.vn/products/tang-binh-nuoc-yama-1200ml-cafe-pho-den-da-35goi-x-16gtui-ca-phe-pho-cafe-den-da-maccoffee-cafe-pho-720g-cafe-pho-cafe-pho-den-da-maccoffee-coffee-trueme-truemilk-truemenews-lazadatrueme-phoden35-i2696619292.html</v>
      </c>
      <c r="C4228" s="10" t="s">
        <v>4228</v>
      </c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8">
        <v>9083.0</v>
      </c>
      <c r="B4229" s="9" t="str">
        <f>HYPERLINK("https://www.lazada.vn/products/hcmthung-12-lon-bia-summer-hefeweizen-12x330ml-i2173127945.html", "https://www.lazada.vn/products/hcmthung-12-lon-bia-summer-hefeweizen-12x330ml-i2173127945.html")</f>
        <v>https://www.lazada.vn/products/hcmthung-12-lon-bia-summer-hefeweizen-12x330ml-i2173127945.html</v>
      </c>
      <c r="C4229" s="10" t="s">
        <v>4229</v>
      </c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8">
        <v>9084.0</v>
      </c>
      <c r="B4230" s="9" t="str">
        <f>HYPERLINK("https://www.lazada.vn/products/trai-cay-dong-lanh-da-dang-huong-vi-60g-tra-sua-ngot-ngao-san-pham-dac-biet-tu-tinh-shandong-trung-quoc-xuat-xu-trai-cay-dong-lanh-i2923676515.html", "https://www.lazada.vn/products/trai-cay-dong-lanh-da-dang-huong-vi-60g-tra-sua-ngot-ngao-san-pham-dac-biet-tu-tinh-shandong-trung-quoc-xuat-xu-trai-cay-dong-lanh-i2923676515.html")</f>
        <v>https://www.lazada.vn/products/trai-cay-dong-lanh-da-dang-huong-vi-60g-tra-sua-ngot-ngao-san-pham-dac-biet-tu-tinh-shandong-trung-quoc-xuat-xu-trai-cay-dong-lanh-i2923676515.html</v>
      </c>
      <c r="C4230" s="10" t="s">
        <v>4230</v>
      </c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8">
        <v>9085.0</v>
      </c>
      <c r="B4231" s="9" t="str">
        <f>HYPERLINK("https://www.lazada.vn/products/cham-cheo-uot-i1992380268.html", "https://www.lazada.vn/products/cham-cheo-uot-i1992380268.html")</f>
        <v>https://www.lazada.vn/products/cham-cheo-uot-i1992380268.html</v>
      </c>
      <c r="C4231" s="10" t="s">
        <v>4231</v>
      </c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8">
        <v>9086.0</v>
      </c>
      <c r="B4232" s="9" t="str">
        <f>HYPERLINK("https://www.lazada.vn/products/nuoc-tang-luc-number-one-i2509616503.html", "https://www.lazada.vn/products/nuoc-tang-luc-number-one-i2509616503.html")</f>
        <v>https://www.lazada.vn/products/nuoc-tang-luc-number-one-i2509616503.html</v>
      </c>
      <c r="C4232" s="10" t="s">
        <v>4232</v>
      </c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8">
        <v>9087.0</v>
      </c>
      <c r="B4233" s="9" t="str">
        <f>HYPERLINK("https://www.lazada.vn/products/loc-6lon-nuoc-ngot-coca-cola-330ml-dam-da-thom-ngon-dung-vi-la-nuoc-giai-khac-ho-tro-tot-cho-duong-tieu-hoa-ban-su-dung-luon-moi-i2457712265.html", "https://www.lazada.vn/products/loc-6lon-nuoc-ngot-coca-cola-330ml-dam-da-thom-ngon-dung-vi-la-nuoc-giai-khac-ho-tro-tot-cho-duong-tieu-hoa-ban-su-dung-luon-moi-i2457712265.html")</f>
        <v>https://www.lazada.vn/products/loc-6lon-nuoc-ngot-coca-cola-330ml-dam-da-thom-ngon-dung-vi-la-nuoc-giai-khac-ho-tro-tot-cho-duong-tieu-hoa-ban-su-dung-luon-moi-i2457712265.html</v>
      </c>
      <c r="C4233" s="10" t="s">
        <v>4233</v>
      </c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8">
        <v>9088.0</v>
      </c>
      <c r="B4234" s="9" t="str">
        <f>HYPERLINK("https://www.lazada.vn/products/sua-socola-da-hanh-nhan-chai-500ml-nhap-khau-uc-i2713555949.html", "https://www.lazada.vn/products/sua-socola-da-hanh-nhan-chai-500ml-nhap-khau-uc-i2713555949.html")</f>
        <v>https://www.lazada.vn/products/sua-socola-da-hanh-nhan-chai-500ml-nhap-khau-uc-i2713555949.html</v>
      </c>
      <c r="C4234" s="10" t="s">
        <v>4234</v>
      </c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8">
        <v>9089.0</v>
      </c>
      <c r="B4235" s="9" t="str">
        <f>HYPERLINK("https://www.lazada.vn/products/banh-tai-heo-mam-ot-lets-nuts-tui-500g-banh-gion-ket-hop-mam-ot-cay-man-dam-gia-vi-mon-an-vat-thom-ngon-thuong-hang-i2603685308.html", "https://www.lazada.vn/products/banh-tai-heo-mam-ot-lets-nuts-tui-500g-banh-gion-ket-hop-mam-ot-cay-man-dam-gia-vi-mon-an-vat-thom-ngon-thuong-hang-i2603685308.html")</f>
        <v>https://www.lazada.vn/products/banh-tai-heo-mam-ot-lets-nuts-tui-500g-banh-gion-ket-hop-mam-ot-cay-man-dam-gia-vi-mon-an-vat-thom-ngon-thuong-hang-i2603685308.html</v>
      </c>
      <c r="C4235" s="10" t="s">
        <v>4235</v>
      </c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8">
        <v>9090.0</v>
      </c>
      <c r="B4236" s="9" t="str">
        <f>HYPERLINK("https://www.lazada.vn/products/sake-nhat-ban-tango-shitihime-junmai-ginjo-720ml-15-i2282427383.html", "https://www.lazada.vn/products/sake-nhat-ban-tango-shitihime-junmai-ginjo-720ml-15-i2282427383.html")</f>
        <v>https://www.lazada.vn/products/sake-nhat-ban-tango-shitihime-junmai-ginjo-720ml-15-i2282427383.html</v>
      </c>
      <c r="C4236" s="10" t="s">
        <v>4236</v>
      </c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8">
        <v>9091.0</v>
      </c>
      <c r="B4237" s="9" t="str">
        <f>HYPERLINK("https://www.lazada.vn/products/bao-li-xi-tet-tan-suu-2022-qua-tang-01-cai-khong-ban-flash-sale-5-i1677274840.html", "https://www.lazada.vn/products/bao-li-xi-tet-tan-suu-2022-qua-tang-01-cai-khong-ban-flash-sale-5-i1677274840.html")</f>
        <v>https://www.lazada.vn/products/bao-li-xi-tet-tan-suu-2022-qua-tang-01-cai-khong-ban-flash-sale-5-i1677274840.html</v>
      </c>
      <c r="C4237" s="10" t="s">
        <v>4237</v>
      </c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8">
        <v>9092.0</v>
      </c>
      <c r="B4238" s="9" t="str">
        <f>HYPERLINK("https://www.lazada.vn/products/fiamma-lon-400g-dau-lang-y-vesuviana-lentils-halal-i3036408228.html", "https://www.lazada.vn/products/fiamma-lon-400g-dau-lang-y-vesuviana-lentils-halal-i3036408228.html")</f>
        <v>https://www.lazada.vn/products/fiamma-lon-400g-dau-lang-y-vesuviana-lentils-halal-i3036408228.html</v>
      </c>
      <c r="C4238" s="10" t="s">
        <v>4238</v>
      </c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8">
        <v>9093.0</v>
      </c>
      <c r="B4239" s="9" t="str">
        <f>HYPERLINK("https://www.lazada.vn/products/banh-quy-hop-sat-hanh-nhan-oc-cho-hat-dieu-mamama-120gr-302gr-i2911315079.html", "https://www.lazada.vn/products/banh-quy-hop-sat-hanh-nhan-oc-cho-hat-dieu-mamama-120gr-302gr-i2911315079.html")</f>
        <v>https://www.lazada.vn/products/banh-quy-hop-sat-hanh-nhan-oc-cho-hat-dieu-mamama-120gr-302gr-i2911315079.html</v>
      </c>
      <c r="C4239" s="10" t="s">
        <v>4239</v>
      </c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8">
        <v>9094.0</v>
      </c>
      <c r="B4240" s="9" t="str">
        <f>HYPERLINK("https://www.lazada.vn/products/freeship-max-mau-moi-cacao-giam-can-himiko-slim-20-goi_mau-moi-team-mien-nam-i2147788123.html", "https://www.lazada.vn/products/freeship-max-mau-moi-cacao-giam-can-himiko-slim-20-goi_mau-moi-team-mien-nam-i2147788123.html")</f>
        <v>https://www.lazada.vn/products/freeship-max-mau-moi-cacao-giam-can-himiko-slim-20-goi_mau-moi-team-mien-nam-i2147788123.html</v>
      </c>
      <c r="C4240" s="10" t="s">
        <v>4240</v>
      </c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8">
        <v>9095.0</v>
      </c>
      <c r="B4241" s="9" t="str">
        <f>HYPERLINK("https://www.lazada.vn/products/bikaneri-bhujia-savory-spiced-dew-beans-gram-flour-noodle-snacks-200g-i1747715031.html", "https://www.lazada.vn/products/bikaneri-bhujia-savory-spiced-dew-beans-gram-flour-noodle-snacks-200g-i1747715031.html")</f>
        <v>https://www.lazada.vn/products/bikaneri-bhujia-savory-spiced-dew-beans-gram-flour-noodle-snacks-200g-i1747715031.html</v>
      </c>
      <c r="C4241" s="10" t="s">
        <v>4241</v>
      </c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8">
        <v>9096.0</v>
      </c>
      <c r="B4242" s="9" t="str">
        <f>HYPERLINK("https://www.lazada.vn/products/goi-le-asiafoods-mi-gau-do-huong-vi-tom-va-ga-mi-tom-va-ga-gau-do-mi-goi-an-lien-gau-do-tom-va-ga-63ggoi-i2948597784.html", "https://www.lazada.vn/products/goi-le-asiafoods-mi-gau-do-huong-vi-tom-va-ga-mi-tom-va-ga-gau-do-mi-goi-an-lien-gau-do-tom-va-ga-63ggoi-i2948597784.html")</f>
        <v>https://www.lazada.vn/products/goi-le-asiafoods-mi-gau-do-huong-vi-tom-va-ga-mi-tom-va-ga-gau-do-mi-goi-an-lien-gau-do-tom-va-ga-63ggoi-i2948597784.html</v>
      </c>
      <c r="C4242" s="10" t="s">
        <v>4242</v>
      </c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8">
        <v>9097.0</v>
      </c>
      <c r="B4243" s="9" t="str">
        <f>HYPERLINK("https://www.lazada.vn/products/thung-24-lon-bia-tiger-crystal-cool-pack-250-mllon-i2957930042.html", "https://www.lazada.vn/products/thung-24-lon-bia-tiger-crystal-cool-pack-250-mllon-i2957930042.html")</f>
        <v>https://www.lazada.vn/products/thung-24-lon-bia-tiger-crystal-cool-pack-250-mllon-i2957930042.html</v>
      </c>
      <c r="C4243" s="10" t="s">
        <v>4243</v>
      </c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8">
        <v>9098.0</v>
      </c>
      <c r="B4244" s="9" t="str">
        <f>HYPERLINK("https://www.lazada.vn/products/snack-tom-lon-hanami-thai-lan-110-gram-sn04-beegin-food-i1741488417.html", "https://www.lazada.vn/products/snack-tom-lon-hanami-thai-lan-110-gram-sn04-beegin-food-i1741488417.html")</f>
        <v>https://www.lazada.vn/products/snack-tom-lon-hanami-thai-lan-110-gram-sn04-beegin-food-i1741488417.html</v>
      </c>
      <c r="C4244" s="10" t="s">
        <v>4244</v>
      </c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8">
        <v>9099.0</v>
      </c>
      <c r="B4245" s="9" t="str">
        <f>HYPERLINK("https://www.lazada.vn/products/banh-chung-gu-banh-tay-nhan-dau-thit-thom-ngon-1-cap-i2655863897.html", "https://www.lazada.vn/products/banh-chung-gu-banh-tay-nhan-dau-thit-thom-ngon-1-cap-i2655863897.html")</f>
        <v>https://www.lazada.vn/products/banh-chung-gu-banh-tay-nhan-dau-thit-thom-ngon-1-cap-i2655863897.html</v>
      </c>
      <c r="C4245" s="10" t="s">
        <v>4245</v>
      </c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8">
        <v>9100.0</v>
      </c>
      <c r="B4246" s="9" t="str">
        <f>HYPERLINK("https://www.lazada.vn/products/combo-5-goi-snack-mi-an-lien-snack-mi-spaghetti-snack-que-cay-snack-dai-cay-khong-lo-do-an-vat-thai-taokaenia-sn06-tknk-beegin-i2778323864.html", "https://www.lazada.vn/products/combo-5-goi-snack-mi-an-lien-snack-mi-spaghetti-snack-que-cay-snack-dai-cay-khong-lo-do-an-vat-thai-taokaenia-sn06-tknk-beegin-i2778323864.html")</f>
        <v>https://www.lazada.vn/products/combo-5-goi-snack-mi-an-lien-snack-mi-spaghetti-snack-que-cay-snack-dai-cay-khong-lo-do-an-vat-thai-taokaenia-sn06-tknk-beegin-i2778323864.html</v>
      </c>
      <c r="C4246" s="10" t="s">
        <v>4246</v>
      </c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8">
        <v>9101.0</v>
      </c>
      <c r="B4247" s="9" t="str">
        <f>HYPERLINK("https://www.lazada.vn/products/thach-xanh-kombucha-hasu-vi-vaei-dua-xoai-dao-dau-tam-chanh-leo-500g-1kg-i2480678960.html", "https://www.lazada.vn/products/thach-xanh-kombucha-hasu-vi-vaei-dua-xoai-dao-dau-tam-chanh-leo-500g-1kg-i2480678960.html")</f>
        <v>https://www.lazada.vn/products/thach-xanh-kombucha-hasu-vi-vaei-dua-xoai-dao-dau-tam-chanh-leo-500g-1kg-i2480678960.html</v>
      </c>
      <c r="C4247" s="10" t="s">
        <v>4247</v>
      </c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8">
        <v>9102.0</v>
      </c>
      <c r="B4248" s="9" t="str">
        <f>HYPERLINK("https://www.lazada.vn/products/nuoc-uong-van-dong-aquarius-thung-24-chai-390-ml-nuoc-ngot-co-ga-nuoc-dien-giai-i2804644600.html", "https://www.lazada.vn/products/nuoc-uong-van-dong-aquarius-thung-24-chai-390-ml-nuoc-ngot-co-ga-nuoc-dien-giai-i2804644600.html")</f>
        <v>https://www.lazada.vn/products/nuoc-uong-van-dong-aquarius-thung-24-chai-390-ml-nuoc-ngot-co-ga-nuoc-dien-giai-i2804644600.html</v>
      </c>
      <c r="C4248" s="10" t="s">
        <v>4248</v>
      </c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8">
        <v>9103.0</v>
      </c>
      <c r="B4249" s="9" t="str">
        <f>HYPERLINK("https://www.lazada.vn/products/keo-theo-leo-dau-phong-cot-dua-mix-i2953850488.html", "https://www.lazada.vn/products/keo-theo-leo-dau-phong-cot-dua-mix-i2953850488.html")</f>
        <v>https://www.lazada.vn/products/keo-theo-leo-dau-phong-cot-dua-mix-i2953850488.html</v>
      </c>
      <c r="C4249" s="10" t="s">
        <v>4249</v>
      </c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8">
        <v>9104.0</v>
      </c>
      <c r="B4250" s="9" t="str">
        <f>HYPERLINK("https://www.lazada.vn/products/siro-dao-longbeach-peach-syrup-i2562597435.html", "https://www.lazada.vn/products/siro-dao-longbeach-peach-syrup-i2562597435.html")</f>
        <v>https://www.lazada.vn/products/siro-dao-longbeach-peach-syrup-i2562597435.html</v>
      </c>
      <c r="C4250" s="10" t="s">
        <v>4250</v>
      </c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8">
        <v>9105.0</v>
      </c>
      <c r="B4251" s="9" t="str">
        <f>HYPERLINK("https://www.lazada.vn/products/1kg-keo-cafe-khong-duong-giam-can-coffee-candy-pamiriter-mix-nhieu-vi-i2695646117.html", "https://www.lazada.vn/products/1kg-keo-cafe-khong-duong-giam-can-coffee-candy-pamiriter-mix-nhieu-vi-i2695646117.html")</f>
        <v>https://www.lazada.vn/products/1kg-keo-cafe-khong-duong-giam-can-coffee-candy-pamiriter-mix-nhieu-vi-i2695646117.html</v>
      </c>
      <c r="C4251" s="10" t="s">
        <v>4251</v>
      </c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8">
        <v>9106.0</v>
      </c>
      <c r="B4252" s="9" t="str">
        <f>HYPERLINK("https://www.lazada.vn/products/bot-rau-ma-say-lanh-nguyen-chat-100-da-lat-farm-hop-500g-thuc-pham-dinh-duong-ho-tro-lam-dep-chong-lao-hoa-thai-doc-va-giam-dau-khop-i2698214934.html", "https://www.lazada.vn/products/bot-rau-ma-say-lanh-nguyen-chat-100-da-lat-farm-hop-500g-thuc-pham-dinh-duong-ho-tro-lam-dep-chong-lao-hoa-thai-doc-va-giam-dau-khop-i2698214934.html")</f>
        <v>https://www.lazada.vn/products/bot-rau-ma-say-lanh-nguyen-chat-100-da-lat-farm-hop-500g-thuc-pham-dinh-duong-ho-tro-lam-dep-chong-lao-hoa-thai-doc-va-giam-dau-khop-i2698214934.html</v>
      </c>
      <c r="C4252" s="10" t="s">
        <v>4252</v>
      </c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8">
        <v>9107.0</v>
      </c>
      <c r="B4253" s="9" t="str">
        <f>HYPERLINK("https://www.lazada.vn/products/combo-4-keo-so-co-la-dau-phong-mms-goi-90g-i2925263121.html", "https://www.lazada.vn/products/combo-4-keo-so-co-la-dau-phong-mms-goi-90g-i2925263121.html")</f>
        <v>https://www.lazada.vn/products/combo-4-keo-so-co-la-dau-phong-mms-goi-90g-i2925263121.html</v>
      </c>
      <c r="C4253" s="10" t="s">
        <v>4253</v>
      </c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8">
        <v>9108.0</v>
      </c>
      <c r="B4254" s="9" t="str">
        <f>HYPERLINK("https://www.lazada.vn/products/hcmthung-12-lon-bia-east-west-pale-ale-12x330ml-i2172938709.html", "https://www.lazada.vn/products/hcmthung-12-lon-bia-east-west-pale-ale-12x330ml-i2172938709.html")</f>
        <v>https://www.lazada.vn/products/hcmthung-12-lon-bia-east-west-pale-ale-12x330ml-i2172938709.html</v>
      </c>
      <c r="C4254" s="10" t="s">
        <v>4254</v>
      </c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8">
        <v>9109.0</v>
      </c>
      <c r="B4255" s="9" t="str">
        <f>HYPERLINK("https://www.lazada.vn/products/khoai-lang-say-gion-tam-mat-ong-noi-dia-trung-quoc-250gr-i2923674718.html", "https://www.lazada.vn/products/khoai-lang-say-gion-tam-mat-ong-noi-dia-trung-quoc-250gr-i2923674718.html")</f>
        <v>https://www.lazada.vn/products/khoai-lang-say-gion-tam-mat-ong-noi-dia-trung-quoc-250gr-i2923674718.html</v>
      </c>
      <c r="C4255" s="10" t="s">
        <v>4255</v>
      </c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8">
        <v>9110.0</v>
      </c>
      <c r="B4256" s="9" t="str">
        <f>HYPERLINK("https://www.lazada.vn/products/loc-6chai-nuoc-ngot-pepsi-390ml-dam-da-thom-ngon-dung-vi-la-nuoc-giai-khac-ho-tro-tot-cho-duong-tieu-hoa-han-su-dung-luon-moi-i2457663786.html", "https://www.lazada.vn/products/loc-6chai-nuoc-ngot-pepsi-390ml-dam-da-thom-ngon-dung-vi-la-nuoc-giai-khac-ho-tro-tot-cho-duong-tieu-hoa-han-su-dung-luon-moi-i2457663786.html")</f>
        <v>https://www.lazada.vn/products/loc-6chai-nuoc-ngot-pepsi-390ml-dam-da-thom-ngon-dung-vi-la-nuoc-giai-khac-ho-tro-tot-cho-duong-tieu-hoa-han-su-dung-luon-moi-i2457663786.html</v>
      </c>
      <c r="C4256" s="10" t="s">
        <v>4256</v>
      </c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8">
        <v>9111.0</v>
      </c>
      <c r="B4257" s="9" t="str">
        <f>HYPERLINK("https://www.lazada.vn/products/500g-tat-xi-mui-nha-lam-i1992354352.html", "https://www.lazada.vn/products/500g-tat-xi-mui-nha-lam-i1992354352.html")</f>
        <v>https://www.lazada.vn/products/500g-tat-xi-mui-nha-lam-i1992354352.html</v>
      </c>
      <c r="C4257" s="10" t="s">
        <v>4257</v>
      </c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8">
        <v>9112.0</v>
      </c>
      <c r="B4258" s="9" t="str">
        <f>HYPERLINK("https://www.lazada.vn/products/nuoc-tang-luc-number-one-i2509524764.html", "https://www.lazada.vn/products/nuoc-tang-luc-number-one-i2509524764.html")</f>
        <v>https://www.lazada.vn/products/nuoc-tang-luc-number-one-i2509524764.html</v>
      </c>
      <c r="C4258" s="10" t="s">
        <v>4258</v>
      </c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8">
        <v>9113.0</v>
      </c>
      <c r="B4259" s="9" t="str">
        <f>HYPERLINK("https://www.lazada.vn/products/tra-sua-tran-chau-hillway-hop-260g-gom-5-goi-i2713337777.html", "https://www.lazada.vn/products/tra-sua-tran-chau-hillway-hop-260g-gom-5-goi-i2713337777.html")</f>
        <v>https://www.lazada.vn/products/tra-sua-tran-chau-hillway-hop-260g-gom-5-goi-i2713337777.html</v>
      </c>
      <c r="C4259" s="10" t="s">
        <v>4259</v>
      </c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8">
        <v>9114.0</v>
      </c>
      <c r="B4260" s="9" t="str">
        <f>HYPERLINK("https://www.lazada.vn/products/banh-trang-xep-nuoc-cot-dua-thanh-tuyen-chat-luong-thom-ngon-i2602314239.html", "https://www.lazada.vn/products/banh-trang-xep-nuoc-cot-dua-thanh-tuyen-chat-luong-thom-ngon-i2602314239.html")</f>
        <v>https://www.lazada.vn/products/banh-trang-xep-nuoc-cot-dua-thanh-tuyen-chat-luong-thom-ngon-i2602314239.html</v>
      </c>
      <c r="C4260" s="10" t="s">
        <v>4260</v>
      </c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8">
        <v>9115.0</v>
      </c>
      <c r="B4261" s="9" t="str">
        <f>HYPERLINK("https://www.lazada.vn/products/sake-nhat-ban-dewatsuru-junmai-daiginjo-hitenoyume-chai-720ml300ml-i2282414519.html", "https://www.lazada.vn/products/sake-nhat-ban-dewatsuru-junmai-daiginjo-hitenoyume-chai-720ml300ml-i2282414519.html")</f>
        <v>https://www.lazada.vn/products/sake-nhat-ban-dewatsuru-junmai-daiginjo-hitenoyume-chai-720ml300ml-i2282414519.html</v>
      </c>
      <c r="C4261" s="10" t="s">
        <v>4261</v>
      </c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8">
        <v>9116.0</v>
      </c>
      <c r="B4262" s="9" t="str">
        <f>HYPERLINK("https://www.lazada.vn/products/bao-li-xi-tet-tan-suu-2022-qua-tang-01-cai-khong-ban-flash-sale-4-i1677242815.html", "https://www.lazada.vn/products/bao-li-xi-tet-tan-suu-2022-qua-tang-01-cai-khong-ban-flash-sale-4-i1677242815.html")</f>
        <v>https://www.lazada.vn/products/bao-li-xi-tet-tan-suu-2022-qua-tang-01-cai-khong-ban-flash-sale-4-i1677242815.html</v>
      </c>
      <c r="C4262" s="10" t="s">
        <v>4262</v>
      </c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8">
        <v>9117.0</v>
      </c>
      <c r="B4263" s="9" t="str">
        <f>HYPERLINK("https://www.lazada.vn/products/tong-garden-lon-wasabi-tron-180g-dau-ha-lan-tam-mu-tat-tha-lan-wasabi-coated-green-peas-halal-i3036407260.html", "https://www.lazada.vn/products/tong-garden-lon-wasabi-tron-180g-dau-ha-lan-tam-mu-tat-tha-lan-wasabi-coated-green-peas-halal-i3036407260.html")</f>
        <v>https://www.lazada.vn/products/tong-garden-lon-wasabi-tron-180g-dau-ha-lan-tam-mu-tat-tha-lan-wasabi-coated-green-peas-halal-i3036407260.html</v>
      </c>
      <c r="C4263" s="10" t="s">
        <v>4263</v>
      </c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8">
        <v>9118.0</v>
      </c>
      <c r="B4264" s="9" t="str">
        <f>HYPERLINK("https://www.lazada.vn/products/banh-gao-nuong-vi-dua-say-gion-haku-oishi-138gr-san-pham-chat-luong-den-tu-nha-oishi-i2911050566.html", "https://www.lazada.vn/products/banh-gao-nuong-vi-dua-say-gion-haku-oishi-138gr-san-pham-chat-luong-den-tu-nha-oishi-i2911050566.html")</f>
        <v>https://www.lazada.vn/products/banh-gao-nuong-vi-dua-say-gion-haku-oishi-138gr-san-pham-chat-luong-den-tu-nha-oishi-i2911050566.html</v>
      </c>
      <c r="C4264" s="10" t="s">
        <v>4264</v>
      </c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8">
        <v>9119.0</v>
      </c>
      <c r="B4265" s="9" t="str">
        <f>HYPERLINK("https://www.lazada.vn/products/sua-bot-milo-day-10-goi-22gram-i2141479204.html", "https://www.lazada.vn/products/sua-bot-milo-day-10-goi-22gram-i2141479204.html")</f>
        <v>https://www.lazada.vn/products/sua-bot-milo-day-10-goi-22gram-i2141479204.html</v>
      </c>
      <c r="C4265" s="10" t="s">
        <v>4265</v>
      </c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8">
        <v>9120.0</v>
      </c>
      <c r="B4266" s="9" t="str">
        <f>HYPERLINK("https://www.lazada.vn/products/khatta-meetha-tana-bana-sweet-sour-snack-mixture-200g-i1747697529.html", "https://www.lazada.vn/products/khatta-meetha-tana-bana-sweet-sour-snack-mixture-200g-i1747697529.html")</f>
        <v>https://www.lazada.vn/products/khatta-meetha-tana-bana-sweet-sour-snack-mixture-200g-i1747697529.html</v>
      </c>
      <c r="C4266" s="10" t="s">
        <v>4266</v>
      </c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8">
        <v>9121.0</v>
      </c>
      <c r="B4267" s="9" t="str">
        <f>HYPERLINK("https://www.lazada.vn/products/thung-30-goi-bun-bo-hue-vifon-65g-goi-i2919219931.html", "https://www.lazada.vn/products/thung-30-goi-bun-bo-hue-vifon-65g-goi-i2919219931.html")</f>
        <v>https://www.lazada.vn/products/thung-30-goi-bun-bo-hue-vifon-65g-goi-i2919219931.html</v>
      </c>
      <c r="C4267" s="10" t="s">
        <v>4267</v>
      </c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8">
        <v>9122.0</v>
      </c>
      <c r="B4268" s="9" t="str">
        <f>HYPERLINK("https://www.lazada.vn/products/thung-1224-lon-bia-heineken-00-do-con-330mllon-i2957835849.html", "https://www.lazada.vn/products/thung-1224-lon-bia-heineken-00-do-con-330mllon-i2957835849.html")</f>
        <v>https://www.lazada.vn/products/thung-1224-lon-bia-heineken-00-do-con-330mllon-i2957835849.html</v>
      </c>
      <c r="C4268" s="10" t="s">
        <v>4268</v>
      </c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8">
        <v>9123.0</v>
      </c>
      <c r="B4269" s="9" t="str">
        <f>HYPERLINK("https://www.lazada.vn/products/banh-solite-khay-bong-lan-hop-20-cai-360g-vi-ngau-nhien-i1736781212.html", "https://www.lazada.vn/products/banh-solite-khay-bong-lan-hop-20-cai-360g-vi-ngau-nhien-i1736781212.html")</f>
        <v>https://www.lazada.vn/products/banh-solite-khay-bong-lan-hop-20-cai-360g-vi-ngau-nhien-i1736781212.html</v>
      </c>
      <c r="C4269" s="10" t="s">
        <v>4269</v>
      </c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8">
        <v>9124.0</v>
      </c>
      <c r="B4270" s="9" t="str">
        <f>HYPERLINK("https://www.lazada.vn/products/combo-5-banh-dorayaki-banh-ran-doraemon-kido-i2655208980.html", "https://www.lazada.vn/products/combo-5-banh-dorayaki-banh-ran-doraemon-kido-i2655208980.html")</f>
        <v>https://www.lazada.vn/products/combo-5-banh-dorayaki-banh-ran-doraemon-kido-i2655208980.html</v>
      </c>
      <c r="C4270" s="10" t="s">
        <v>4270</v>
      </c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8">
        <v>9125.0</v>
      </c>
      <c r="B4271" s="9" t="str">
        <f>HYPERLINK("https://www.lazada.vn/products/500g-bim-bim-que-dau-ha-lan-snack-hon-hop-snack-food-thuc-an-vat-tuoi-tho-thom-ngon-i2773364179.html", "https://www.lazada.vn/products/500g-bim-bim-que-dau-ha-lan-snack-hon-hop-snack-food-thuc-an-vat-tuoi-tho-thom-ngon-i2773364179.html")</f>
        <v>https://www.lazada.vn/products/500g-bim-bim-que-dau-ha-lan-snack-hon-hop-snack-food-thuc-an-vat-tuoi-tho-thom-ngon-i2773364179.html</v>
      </c>
      <c r="C4271" s="10" t="s">
        <v>4271</v>
      </c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8">
        <v>9126.0</v>
      </c>
      <c r="B4272" s="9" t="str">
        <f>HYPERLINK("https://www.lazada.vn/products/thach-trai-cay-orihiro-nhat-nhieu-vi-240g-i2480283319.html", "https://www.lazada.vn/products/thach-trai-cay-orihiro-nhat-nhieu-vi-240g-i2480283319.html")</f>
        <v>https://www.lazada.vn/products/thach-trai-cay-orihiro-nhat-nhieu-vi-240g-i2480283319.html</v>
      </c>
      <c r="C4272" s="10" t="s">
        <v>4272</v>
      </c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8">
        <v>9127.0</v>
      </c>
      <c r="B4273" s="9" t="str">
        <f>HYPERLINK("https://www.lazada.vn/products/nuoc-cot-nhau-tuoi-nguyen-chat-khong-duong-combo-2-chai-loai-1-lit-i2804266164.html", "https://www.lazada.vn/products/nuoc-cot-nhau-tuoi-nguyen-chat-khong-duong-combo-2-chai-loai-1-lit-i2804266164.html")</f>
        <v>https://www.lazada.vn/products/nuoc-cot-nhau-tuoi-nguyen-chat-khong-duong-combo-2-chai-loai-1-lit-i2804266164.html</v>
      </c>
      <c r="C4273" s="10" t="s">
        <v>4273</v>
      </c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8">
        <v>9128.0</v>
      </c>
      <c r="B4274" s="9" t="str">
        <f>HYPERLINK("https://www.lazada.vn/products/ruou-vodka-ha-noi-viet-nam-295-300ml-chai-nho-i3061544154.html", "https://www.lazada.vn/products/ruou-vodka-ha-noi-viet-nam-295-300ml-chai-nho-i3061544154.html")</f>
        <v>https://www.lazada.vn/products/ruou-vodka-ha-noi-viet-nam-295-300ml-chai-nho-i3061544154.html</v>
      </c>
      <c r="C4274" s="10" t="s">
        <v>4274</v>
      </c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8">
        <v>9129.0</v>
      </c>
      <c r="B4275" s="9" t="str">
        <f>HYPERLINK("https://www.lazada.vn/products/combo-ca-phe-dong-trung-ha-thao-va-ca-phe-nam-linh-chi-nhat-kim-anh-i2695628033.html", "https://www.lazada.vn/products/combo-ca-phe-dong-trung-ha-thao-va-ca-phe-nam-linh-chi-nhat-kim-anh-i2695628033.html")</f>
        <v>https://www.lazada.vn/products/combo-ca-phe-dong-trung-ha-thao-va-ca-phe-nam-linh-chi-nhat-kim-anh-i2695628033.html</v>
      </c>
      <c r="C4275" s="10" t="s">
        <v>4275</v>
      </c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8">
        <v>9130.0</v>
      </c>
      <c r="B4276" s="9" t="str">
        <f>HYPERLINK("https://www.lazada.vn/products/keo-le-an-phe-100g-keo-ngam-ho-mat-ong-thom-mieng-thanh-nhiet-tieu-dom-phu-hop-moi-lua-tuoi-i2928539070.html", "https://www.lazada.vn/products/keo-le-an-phe-100g-keo-ngam-ho-mat-ong-thom-mieng-thanh-nhiet-tieu-dom-phu-hop-moi-lua-tuoi-i2928539070.html")</f>
        <v>https://www.lazada.vn/products/keo-le-an-phe-100g-keo-ngam-ho-mat-ong-thom-mieng-thanh-nhiet-tieu-dom-phu-hop-moi-lua-tuoi-i2928539070.html</v>
      </c>
      <c r="C4276" s="10" t="s">
        <v>4276</v>
      </c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8">
        <v>9131.0</v>
      </c>
      <c r="B4277" s="9" t="str">
        <f>HYPERLINK("https://www.lazada.vn/products/sot-topping-siro-socola-nguyen-chat-hersheys-syrup-chocolate-136kg-hang-nhap-my-gia-vi-than-thanh-cho-thuc-uong-i2561678020.html", "https://www.lazada.vn/products/sot-topping-siro-socola-nguyen-chat-hersheys-syrup-chocolate-136kg-hang-nhap-my-gia-vi-than-thanh-cho-thuc-uong-i2561678020.html")</f>
        <v>https://www.lazada.vn/products/sot-topping-siro-socola-nguyen-chat-hersheys-syrup-chocolate-136kg-hang-nhap-my-gia-vi-than-thanh-cho-thuc-uong-i2561678020.html</v>
      </c>
      <c r="C4277" s="10" t="s">
        <v>4277</v>
      </c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8">
        <v>9132.0</v>
      </c>
      <c r="B4278" s="9" t="str">
        <f>HYPERLINK("https://www.lazada.vn/products/100g-enzyme-xylanase-99-cap-thuc-pham-xylanase-10000-ug-i2698024295.html", "https://www.lazada.vn/products/100g-enzyme-xylanase-99-cap-thuc-pham-xylanase-10000-ug-i2698024295.html")</f>
        <v>https://www.lazada.vn/products/100g-enzyme-xylanase-99-cap-thuc-pham-xylanase-10000-ug-i2698024295.html</v>
      </c>
      <c r="C4278" s="10" t="s">
        <v>4278</v>
      </c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8">
        <v>9133.0</v>
      </c>
      <c r="B4279" s="9" t="str">
        <f>HYPERLINK("https://www.lazada.vn/products/combo-4-keo-so-co-la-sua-mms-goi-90g-i2925230230.html", "https://www.lazada.vn/products/combo-4-keo-so-co-la-sua-mms-goi-90g-i2925230230.html")</f>
        <v>https://www.lazada.vn/products/combo-4-keo-so-co-la-sua-mms-goi-90g-i2925230230.html</v>
      </c>
      <c r="C4279" s="10" t="s">
        <v>4279</v>
      </c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8">
        <v>9134.0</v>
      </c>
      <c r="B4280" s="9" t="str">
        <f>HYPERLINK("https://www.lazada.vn/products/hcmthung-12-lon-bia-pacific-pilsner-12x330ml-i2172867691.html", "https://www.lazada.vn/products/hcmthung-12-lon-bia-pacific-pilsner-12x330ml-i2172867691.html")</f>
        <v>https://www.lazada.vn/products/hcmthung-12-lon-bia-pacific-pilsner-12x330ml-i2172867691.html</v>
      </c>
      <c r="C4280" s="10" t="s">
        <v>4280</v>
      </c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8">
        <v>9135.0</v>
      </c>
      <c r="B4281" s="9" t="str">
        <f>HYPERLINK("https://www.lazada.vn/products/bo-suu-tap-dac-biet-dried-durian-500g-deo-crispy-durian-cay-lon-trung-quoc-dai-luc-tui-dung-trai-cay-kho-green-mountain-feeling-i2923672748.html", "https://www.lazada.vn/products/bo-suu-tap-dac-biet-dried-durian-500g-deo-crispy-durian-cay-lon-trung-quoc-dai-luc-tui-dung-trai-cay-kho-green-mountain-feeling-i2923672748.html")</f>
        <v>https://www.lazada.vn/products/bo-suu-tap-dac-biet-dried-durian-500g-deo-crispy-durian-cay-lon-trung-quoc-dai-luc-tui-dung-trai-cay-kho-green-mountain-feeling-i2923672748.html</v>
      </c>
      <c r="C4281" s="10" t="s">
        <v>4281</v>
      </c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8">
        <v>9136.0</v>
      </c>
      <c r="B4282" s="9" t="str">
        <f>HYPERLINK("https://www.lazada.vn/products/nuoc-cot-nhau-tuoi-ngam-duong-phen-vang-chai-500ml-i2804135418.html", "https://www.lazada.vn/products/nuoc-cot-nhau-tuoi-ngam-duong-phen-vang-chai-500ml-i2804135418.html")</f>
        <v>https://www.lazada.vn/products/nuoc-cot-nhau-tuoi-ngam-duong-phen-vang-chai-500ml-i2804135418.html</v>
      </c>
      <c r="C4282" s="10" t="s">
        <v>4282</v>
      </c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8">
        <v>9137.0</v>
      </c>
      <c r="B4283" s="9" t="str">
        <f>HYPERLINK("https://www.lazada.vn/products/ruou-vodka-ha-noi-viet-nam-i3061422563.html", "https://www.lazada.vn/products/ruou-vodka-ha-noi-viet-nam-i3061422563.html")</f>
        <v>https://www.lazada.vn/products/ruou-vodka-ha-noi-viet-nam-i3061422563.html</v>
      </c>
      <c r="C4283" s="10" t="s">
        <v>4283</v>
      </c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8">
        <v>9138.0</v>
      </c>
      <c r="B4284" s="9" t="str">
        <f>HYPERLINK("https://www.lazada.vn/products/banh-kem-xop-nabati-300g-3-vi-multifood-i1733885256.html", "https://www.lazada.vn/products/banh-kem-xop-nabati-300g-3-vi-multifood-i1733885256.html")</f>
        <v>https://www.lazada.vn/products/banh-kem-xop-nabati-300g-3-vi-multifood-i1733885256.html</v>
      </c>
      <c r="C4284" s="10" t="s">
        <v>4284</v>
      </c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8">
        <v>9139.0</v>
      </c>
      <c r="B4285" s="9" t="str">
        <f>HYPERLINK("https://www.lazada.vn/products/combo-2-thung-thach-trai-cay-nuvi-khong-chat-bao-quan-tui-110ml-x-24-cung-cap-nang-luong-phat-trien-tri-nao-i2479936738.html", "https://www.lazada.vn/products/combo-2-thung-thach-trai-cay-nuvi-khong-chat-bao-quan-tui-110ml-x-24-cung-cap-nang-luong-phat-trien-tri-nao-i2479936738.html")</f>
        <v>https://www.lazada.vn/products/combo-2-thung-thach-trai-cay-nuvi-khong-chat-bao-quan-tui-110ml-x-24-cung-cap-nang-luong-phat-trien-tri-nao-i2479936738.html</v>
      </c>
      <c r="C4285" s="10" t="s">
        <v>4285</v>
      </c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8">
        <v>9140.0</v>
      </c>
      <c r="B4286" s="9" t="str">
        <f>HYPERLINK("https://www.lazada.vn/products/dau-phu-ngon-den-noi-khong-the-cuong-lai-cua-wa-long-sichuan-spicy-va-chua-dau-phu-mat-isinly-15g-50-goi-qua-an-nhe-do-an-vat-i2773119620.html", "https://www.lazada.vn/products/dau-phu-ngon-den-noi-khong-the-cuong-lai-cua-wa-long-sichuan-spicy-va-chua-dau-phu-mat-isinly-15g-50-goi-qua-an-nhe-do-an-vat-i2773119620.html")</f>
        <v>https://www.lazada.vn/products/dau-phu-ngon-den-noi-khong-the-cuong-lai-cua-wa-long-sichuan-spicy-va-chua-dau-phu-mat-isinly-15g-50-goi-qua-an-nhe-do-an-vat-i2773119620.html</v>
      </c>
      <c r="C4286" s="10" t="s">
        <v>4286</v>
      </c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8">
        <v>9141.0</v>
      </c>
      <c r="B4287" s="9" t="str">
        <f>HYPERLINK("https://www.lazada.vn/products/bot-milo-nguyen-chat-1kg-nestle-hang-san-giao-ngay-i2141383380.html", "https://www.lazada.vn/products/bot-milo-nguyen-chat-1kg-nestle-hang-san-giao-ngay-i2141383380.html")</f>
        <v>https://www.lazada.vn/products/bot-milo-nguyen-chat-1kg-nestle-hang-san-giao-ngay-i2141383380.html</v>
      </c>
      <c r="C4287" s="10" t="s">
        <v>4287</v>
      </c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8">
        <v>9142.0</v>
      </c>
      <c r="B4288" s="9" t="str">
        <f>HYPERLINK("https://www.lazada.vn/products/hang-tang-khong-ban-mi-nau-omtomi-goi-x-101g-i2878094782.html", "https://www.lazada.vn/products/hang-tang-khong-ban-mi-nau-omtomi-goi-x-101g-i2878094782.html")</f>
        <v>https://www.lazada.vn/products/hang-tang-khong-ban-mi-nau-omtomi-goi-x-101g-i2878094782.html</v>
      </c>
      <c r="C4288" s="10" t="s">
        <v>4288</v>
      </c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8">
        <v>9143.0</v>
      </c>
      <c r="B4289" s="9" t="str">
        <f>HYPERLINK("https://www.lazada.vn/products/navratna-mix-sub-kuch-spicy-snacks-blend-of-savoury-noodles-lentils-peanuts-sun-dried-potato-200g-i1747654124.html", "https://www.lazada.vn/products/navratna-mix-sub-kuch-spicy-snacks-blend-of-savoury-noodles-lentils-peanuts-sun-dried-potato-200g-i1747654124.html")</f>
        <v>https://www.lazada.vn/products/navratna-mix-sub-kuch-spicy-snacks-blend-of-savoury-noodles-lentils-peanuts-sun-dried-potato-200g-i1747654124.html</v>
      </c>
      <c r="C4289" s="10" t="s">
        <v>4289</v>
      </c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8">
        <v>9144.0</v>
      </c>
      <c r="B4290" s="9" t="str">
        <f>HYPERLINK("https://www.lazada.vn/products/loc-6-lon-bia-heineken-00-do-con-330mllon-i2957758593.html", "https://www.lazada.vn/products/loc-6-lon-bia-heineken-00-do-con-330mllon-i2957758593.html")</f>
        <v>https://www.lazada.vn/products/loc-6-lon-bia-heineken-00-do-con-330mllon-i2957758593.html</v>
      </c>
      <c r="C4290" s="10" t="s">
        <v>4290</v>
      </c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8">
        <v>9145.0</v>
      </c>
      <c r="B4291" s="9" t="str">
        <f>HYPERLINK("https://www.lazada.vn/products/thung-24lon-nuoc-ngot-coca-cola-330ml-dam-da-thom-ngon-dung-vi-cola-la-nuoc-giai-khac-ho-tro-tot-cho-duong-tieu-hoa-uong-lanh-ngon-tuyet-dinh-han-su-dung-luon-moi-i2457655783.html", "https://www.lazada.vn/products/thung-24lon-nuoc-ngot-coca-cola-330ml-dam-da-thom-ngon-dung-vi-cola-la-nuoc-giai-khac-ho-tro-tot-cho-duong-tieu-hoa-uong-lanh-ngon-tuyet-dinh-han-su-dung-luon-moi-i2457655783.html")</f>
        <v>https://www.lazada.vn/products/thung-24lon-nuoc-ngot-coca-cola-330ml-dam-da-thom-ngon-dung-vi-cola-la-nuoc-giai-khac-ho-tro-tot-cho-duong-tieu-hoa-uong-lanh-ngon-tuyet-dinh-han-su-dung-luon-moi-i2457655783.html</v>
      </c>
      <c r="C4291" s="10" t="s">
        <v>4291</v>
      </c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8">
        <v>9146.0</v>
      </c>
      <c r="B4292" s="9" t="str">
        <f>HYPERLINK("https://www.lazada.vn/products/1kg-mam-ngam-chua-ngot-i1991863230.html", "https://www.lazada.vn/products/1kg-mam-ngam-chua-ngot-i1991863230.html")</f>
        <v>https://www.lazada.vn/products/1kg-mam-ngam-chua-ngot-i1991863230.html</v>
      </c>
      <c r="C4292" s="10" t="s">
        <v>4292</v>
      </c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8">
        <v>9147.0</v>
      </c>
      <c r="B4293" s="9" t="str">
        <f>HYPERLINK("https://www.lazada.vn/products/set-che-khoai-deo-nau-20-25-chen-multifood-i2712027767.html", "https://www.lazada.vn/products/set-che-khoai-deo-nau-20-25-chen-multifood-i2712027767.html")</f>
        <v>https://www.lazada.vn/products/set-che-khoai-deo-nau-20-25-chen-multifood-i2712027767.html</v>
      </c>
      <c r="C4293" s="10" t="s">
        <v>4293</v>
      </c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8">
        <v>9148.0</v>
      </c>
      <c r="B4294" s="9" t="str">
        <f>HYPERLINK("https://www.lazada.vn/products/nuoc-uong-ion-kiem-saka-550ml-i2505388151.html", "https://www.lazada.vn/products/nuoc-uong-ion-kiem-saka-550ml-i2505388151.html")</f>
        <v>https://www.lazada.vn/products/nuoc-uong-ion-kiem-saka-550ml-i2505388151.html</v>
      </c>
      <c r="C4294" s="10" t="s">
        <v>4294</v>
      </c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8">
        <v>9149.0</v>
      </c>
      <c r="B4295" s="9" t="str">
        <f>HYPERLINK("https://www.lazada.vn/products/sake-nhat-ban-chikuha-tori-junmai-720ml-17-i2282374056.html", "https://www.lazada.vn/products/sake-nhat-ban-chikuha-tori-junmai-720ml-17-i2282374056.html")</f>
        <v>https://www.lazada.vn/products/sake-nhat-ban-chikuha-tori-junmai-720ml-17-i2282374056.html</v>
      </c>
      <c r="C4295" s="10" t="s">
        <v>4295</v>
      </c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8">
        <v>9150.0</v>
      </c>
      <c r="B4296" s="9" t="str">
        <f>HYPERLINK("https://www.lazada.vn/products/banh-gao-nuong-vi-dua-say-gion-haku-oishi-138gr-san-pham-chat-luong-den-tu-nha-oishi-i2911027813.html", "https://www.lazada.vn/products/banh-gao-nuong-vi-dua-say-gion-haku-oishi-138gr-san-pham-chat-luong-den-tu-nha-oishi-i2911027813.html")</f>
        <v>https://www.lazada.vn/products/banh-gao-nuong-vi-dua-say-gion-haku-oishi-138gr-san-pham-chat-luong-den-tu-nha-oishi-i2911027813.html</v>
      </c>
      <c r="C4296" s="10" t="s">
        <v>4296</v>
      </c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8">
        <v>9151.0</v>
      </c>
      <c r="B4297" s="9" t="str">
        <f>HYPERLINK("https://www.lazada.vn/products/ca-phe-hoa-tan-rockcafe-huong-duasau-riengkhoi-hop-12-goi-x-20g-i2693797531.html", "https://www.lazada.vn/products/ca-phe-hoa-tan-rockcafe-huong-duasau-riengkhoi-hop-12-goi-x-20g-i2693797531.html")</f>
        <v>https://www.lazada.vn/products/ca-phe-hoa-tan-rockcafe-huong-duasau-riengkhoi-hop-12-goi-x-20g-i2693797531.html</v>
      </c>
      <c r="C4297" s="10" t="s">
        <v>4297</v>
      </c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8">
        <v>9152.0</v>
      </c>
      <c r="B4298" s="9" t="str">
        <f>HYPERLINK("https://www.lazada.vn/products/keo-ca-phe-bo-sua-dam-vi-thom-ngon-keo-coffee-socola-capuchino-an-vat-492-i2924133212.html", "https://www.lazada.vn/products/keo-ca-phe-bo-sua-dam-vi-thom-ngon-keo-coffee-socola-capuchino-an-vat-492-i2924133212.html")</f>
        <v>https://www.lazada.vn/products/keo-ca-phe-bo-sua-dam-vi-thom-ngon-keo-coffee-socola-capuchino-an-vat-492-i2924133212.html</v>
      </c>
      <c r="C4298" s="10" t="s">
        <v>4298</v>
      </c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8">
        <v>9153.0</v>
      </c>
      <c r="B4299" s="9" t="str">
        <f>HYPERLINK("https://www.lazada.vn/products/10-goi-mi-kho-tron-ga-samyang-vi-pho-mai-carbonara-mi-hong140gram-my-xao-tron-mi-nuoc-mi-cay-han-quoc-mix-vi-i1677194962.html", "https://www.lazada.vn/products/10-goi-mi-kho-tron-ga-samyang-vi-pho-mai-carbonara-mi-hong140gram-my-xao-tron-mi-nuoc-mi-cay-han-quoc-mix-vi-i1677194962.html")</f>
        <v>https://www.lazada.vn/products/10-goi-mi-kho-tron-ga-samyang-vi-pho-mai-carbonara-mi-hong140gram-my-xao-tron-mi-nuoc-mi-cay-han-quoc-mix-vi-i1677194962.html</v>
      </c>
      <c r="C4299" s="10" t="s">
        <v>4299</v>
      </c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8">
        <v>9154.0</v>
      </c>
      <c r="B4300" s="9" t="str">
        <f>HYPERLINK("https://www.lazada.vn/products/banh-trang-phoi-suong-300g-muoi-tep-hanh-phi-200g-bo-200g-hu-top-mo-kem-2-chai-sot-i2598216529.html", "https://www.lazada.vn/products/banh-trang-phoi-suong-300g-muoi-tep-hanh-phi-200g-bo-200g-hu-top-mo-kem-2-chai-sot-i2598216529.html")</f>
        <v>https://www.lazada.vn/products/banh-trang-phoi-suong-300g-muoi-tep-hanh-phi-200g-bo-200g-hu-top-mo-kem-2-chai-sot-i2598216529.html</v>
      </c>
      <c r="C4300" s="10" t="s">
        <v>4300</v>
      </c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8">
        <v>9155.0</v>
      </c>
      <c r="B4301" s="9" t="str">
        <f>HYPERLINK("https://www.lazada.vn/products/siro-vicks-nyquil-cold-flu-severe-354ml-tuong-tu-dayquil-ban-dem-vi-daubill-my-i2559958227.html", "https://www.lazada.vn/products/siro-vicks-nyquil-cold-flu-severe-354ml-tuong-tu-dayquil-ban-dem-vi-daubill-my-i2559958227.html")</f>
        <v>https://www.lazada.vn/products/siro-vicks-nyquil-cold-flu-severe-354ml-tuong-tu-dayquil-ban-dem-vi-daubill-my-i2559958227.html</v>
      </c>
      <c r="C4301" s="10" t="s">
        <v>4301</v>
      </c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8">
        <v>9156.0</v>
      </c>
      <c r="B4302" s="9" t="str">
        <f>HYPERLINK("https://www.lazada.vn/products/tulip-ga-hop-vuong-340g-thit-ga-dong-hop-dan-mach-chicken-lucheon-meat-halal-i3036407124.html", "https://www.lazada.vn/products/tulip-ga-hop-vuong-340g-thit-ga-dong-hop-dan-mach-chicken-lucheon-meat-halal-i3036407124.html")</f>
        <v>https://www.lazada.vn/products/tulip-ga-hop-vuong-340g-thit-ga-dong-hop-dan-mach-chicken-lucheon-meat-halal-i3036407124.html</v>
      </c>
      <c r="C4302" s="10" t="s">
        <v>4302</v>
      </c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8">
        <v>9157.0</v>
      </c>
      <c r="B4303" s="9" t="str">
        <f>HYPERLINK("https://www.lazada.vn/products/combo-3-goi-keo-so-co-la-sua-mms-37g-va-combo-3-keo-so-co-la-dau-phong-mms-37g-i2925223234.html", "https://www.lazada.vn/products/combo-3-goi-keo-so-co-la-sua-mms-37g-va-combo-3-keo-so-co-la-dau-phong-mms-37g-i2925223234.html")</f>
        <v>https://www.lazada.vn/products/combo-3-goi-keo-so-co-la-sua-mms-37g-va-combo-3-keo-so-co-la-dau-phong-mms-37g-i2925223234.html</v>
      </c>
      <c r="C4303" s="10" t="s">
        <v>4303</v>
      </c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8">
        <v>9158.0</v>
      </c>
      <c r="B4304" s="9" t="str">
        <f>HYPERLINK("https://www.lazada.vn/products/thung-banh-mix-du-vi-nhieu-trong-luong-cho-khach-lua-chon-500g-1kg-2kg-dac-biet-la-khong-can-thung-nha-khach-iu-shop-tu-mix-khuyen-mai-hot-i2652962212.html", "https://www.lazada.vn/products/thung-banh-mix-du-vi-nhieu-trong-luong-cho-khach-lua-chon-500g-1kg-2kg-dac-biet-la-khong-can-thung-nha-khach-iu-shop-tu-mix-khuyen-mai-hot-i2652962212.html")</f>
        <v>https://www.lazada.vn/products/thung-banh-mix-du-vi-nhieu-trong-luong-cho-khach-lua-chon-500g-1kg-2kg-dac-biet-la-khong-can-thung-nha-khach-iu-shop-tu-mix-khuyen-mai-hot-i2652962212.html</v>
      </c>
      <c r="C4304" s="10" t="s">
        <v>4304</v>
      </c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8">
        <v>9159.0</v>
      </c>
      <c r="B4305" s="9" t="str">
        <f>HYPERLINK("https://www.lazada.vn/products/dung-cu-mo-nap-chai-nuoc-ngot-nuoc-giai-khat-bia-soda-sinh-to-trai-cay-do-uong-cac-dip-tang-qua-su-dung-le-khai-mac-le-trao-giai-loi-ich-nhan-vien-le-trao-giai-le-ky-niem-hoi-cho-thuong-mai-khuyen-mai-quang-cao-le-hoi-tat-ca", "https://www.lazada.vn/products/dung-cu-mo-nap-chai-nuoc-ngot-nuoc-giai-khat-bia-soda-sinh-to-trai-cay-do-uong-cac-dip-tang-qua-su-dung-le-khai-mac-le-trao-giai-loi-ich-nhan-vien-le-trao-giai-le-ky-niem-hoi-cho-thuong-mai-khuyen-mai-quang-cao-le-hoi-tat-ca")</f>
        <v>https://www.lazada.vn/products/dung-cu-mo-nap-chai-nuoc-ngot-nuoc-giai-khat-bia-soda-sinh-to-trai-cay-do-uong-cac-dip-tang-qua-su-dung-le-khai-mac-le-trao-giai-loi-ich-nhan-vien-le-trao-giai-le-ky-niem-hoi-cho-thuong-mai-khuyen-mai-quang-cao-le-hoi-tat-ca</v>
      </c>
      <c r="C4305" s="10" t="s">
        <v>4305</v>
      </c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8">
        <v>9160.0</v>
      </c>
      <c r="B4306" s="9" t="str">
        <f>HYPERLINK("https://www.lazada.vn/products/500g-enzyme-papain-cap-thuc-pham-enzyme-du-du-i2697958314.html", "https://www.lazada.vn/products/500g-enzyme-papain-cap-thuc-pham-enzyme-du-du-i2697958314.html")</f>
        <v>https://www.lazada.vn/products/500g-enzyme-papain-cap-thuc-pham-enzyme-du-du-i2697958314.html</v>
      </c>
      <c r="C4306" s="10" t="s">
        <v>4306</v>
      </c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8">
        <v>9161.0</v>
      </c>
      <c r="B4307" s="9" t="str">
        <f>HYPERLINK("https://www.lazada.vn/products/ruou-dung-dinh-xoay-nhuyen-ngam-hon-3-thang-12lit-goc-45do-i2803965505.html", "https://www.lazada.vn/products/ruou-dung-dinh-xoay-nhuyen-ngam-hon-3-thang-12lit-goc-45do-i2803965505.html")</f>
        <v>https://www.lazada.vn/products/ruou-dung-dinh-xoay-nhuyen-ngam-hon-3-thang-12lit-goc-45do-i2803965505.html</v>
      </c>
      <c r="C4307" s="10" t="s">
        <v>4307</v>
      </c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8">
        <v>9162.0</v>
      </c>
      <c r="B4308" s="9" t="str">
        <f>HYPERLINK("https://www.lazada.vn/products/chuoi-say-deo-500g-1kg-i2923661639.html", "https://www.lazada.vn/products/chuoi-say-deo-500g-1kg-i2923661639.html")</f>
        <v>https://www.lazada.vn/products/chuoi-say-deo-500g-1kg-i2923661639.html</v>
      </c>
      <c r="C4308" s="10" t="s">
        <v>4308</v>
      </c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8">
        <v>9163.0</v>
      </c>
      <c r="B4309" s="9" t="str">
        <f>HYPERLINK("https://www.lazada.vn/products/ruou-vodka-baltika-gold-1970-40-700ml-co-vai-vang-i3043298600.html", "https://www.lazada.vn/products/ruou-vodka-baltika-gold-1970-40-700ml-co-vai-vang-i3043298600.html")</f>
        <v>https://www.lazada.vn/products/ruou-vodka-baltika-gold-1970-40-700ml-co-vai-vang-i3043298600.html</v>
      </c>
      <c r="C4309" s="10" t="s">
        <v>4309</v>
      </c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8">
        <v>9164.0</v>
      </c>
      <c r="B4310" s="9" t="str">
        <f>HYPERLINK("https://www.lazada.vn/products/banh-gao-rong-bien-dai-loan-want-want-i1722922396.html", "https://www.lazada.vn/products/banh-gao-rong-bien-dai-loan-want-want-i1722922396.html")</f>
        <v>https://www.lazada.vn/products/banh-gao-rong-bien-dai-loan-want-want-i1722922396.html</v>
      </c>
      <c r="C4310" s="10" t="s">
        <v>4310</v>
      </c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8">
        <v>9165.0</v>
      </c>
      <c r="B4311" s="9" t="str">
        <f>HYPERLINK("https://www.lazada.vn/products/thung-x-6-chai-ruou-ha-noi-2-lit-30-35-i3026953024.html", "https://www.lazada.vn/products/thung-x-6-chai-ruou-ha-noi-2-lit-30-35-i3026953024.html")</f>
        <v>https://www.lazada.vn/products/thung-x-6-chai-ruou-ha-noi-2-lit-30-35-i3026953024.html</v>
      </c>
      <c r="C4311" s="10" t="s">
        <v>4311</v>
      </c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8">
        <v>9166.0</v>
      </c>
      <c r="B4312" s="9" t="str">
        <f>HYPERLINK("https://www.lazada.vn/products/vien-surimi-nam-duyen-hai-nhan-trung-ca-pho-mai-mayonnaies-500gr-giao-tphcm-i1721133641.html", "https://www.lazada.vn/products/vien-surimi-nam-duyen-hai-nhan-trung-ca-pho-mai-mayonnaies-500gr-giao-tphcm-i1721133641.html")</f>
        <v>https://www.lazada.vn/products/vien-surimi-nam-duyen-hai-nhan-trung-ca-pho-mai-mayonnaies-500gr-giao-tphcm-i1721133641.html</v>
      </c>
      <c r="C4312" s="10" t="s">
        <v>4312</v>
      </c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8">
        <v>9167.0</v>
      </c>
      <c r="B4313" s="9" t="str">
        <f>HYPERLINK("https://www.lazada.vn/products/bot-cacao-hoa-tan-khong-duong-acacao-uong-lien-tien-loi-bot-cacao-dinh-duong-hop-154g-i2135964830.html", "https://www.lazada.vn/products/bot-cacao-hoa-tan-khong-duong-acacao-uong-lien-tien-loi-bot-cacao-dinh-duong-hop-154g-i2135964830.html")</f>
        <v>https://www.lazada.vn/products/bot-cacao-hoa-tan-khong-duong-acacao-uong-lien-tien-loi-bot-cacao-dinh-duong-hop-154g-i2135964830.html</v>
      </c>
      <c r="C4313" s="10" t="s">
        <v>4313</v>
      </c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8">
        <v>9168.0</v>
      </c>
      <c r="B4314" s="9" t="str">
        <f>HYPERLINK("https://www.lazada.vn/products/1-bich-10-thanh-thach-sua-long-thanh-vi-trai-cay-i2470397820.html", "https://www.lazada.vn/products/1-bich-10-thanh-thach-sua-long-thanh-vi-trai-cay-i2470397820.html")</f>
        <v>https://www.lazada.vn/products/1-bich-10-thanh-thach-sua-long-thanh-vi-trai-cay-i2470397820.html</v>
      </c>
      <c r="C4314" s="10" t="s">
        <v>4314</v>
      </c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8">
        <v>9169.0</v>
      </c>
      <c r="B4315" s="9" t="str">
        <f>HYPERLINK("https://www.lazada.vn/products/goi-bim-bim-que-mix-vi-cay-thai-lan-50ggoi-shop_japangood-i2772491653.html", "https://www.lazada.vn/products/goi-bim-bim-que-mix-vi-cay-thai-lan-50ggoi-shop_japangood-i2772491653.html")</f>
        <v>https://www.lazada.vn/products/goi-bim-bim-que-mix-vi-cay-thai-lan-50ggoi-shop_japangood-i2772491653.html</v>
      </c>
      <c r="C4315" s="10" t="s">
        <v>4315</v>
      </c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8">
        <v>9170.0</v>
      </c>
      <c r="B4316" s="9" t="str">
        <f>HYPERLINK("https://www.lazada.vn/products/coop-online-mi-mini-handy-tom-chua-cay-ly-47g-i2860375166.html", "https://www.lazada.vn/products/coop-online-mi-mini-handy-tom-chua-cay-ly-47g-i2860375166.html")</f>
        <v>https://www.lazada.vn/products/coop-online-mi-mini-handy-tom-chua-cay-ly-47g-i2860375166.html</v>
      </c>
      <c r="C4316" s="10" t="s">
        <v>4316</v>
      </c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8">
        <v>9171.0</v>
      </c>
      <c r="B4317" s="9" t="str">
        <f>HYPERLINK("https://www.lazada.vn/products/bhelpuri-bikaji-chowpati-300g-indian-snack-i1747629866.html", "https://www.lazada.vn/products/bhelpuri-bikaji-chowpati-300g-indian-snack-i1747629866.html")</f>
        <v>https://www.lazada.vn/products/bhelpuri-bikaji-chowpati-300g-indian-snack-i1747629866.html</v>
      </c>
      <c r="C4317" s="10" t="s">
        <v>4317</v>
      </c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8">
        <v>9172.0</v>
      </c>
      <c r="B4318" s="9" t="str">
        <f>HYPERLINK("https://www.lazada.vn/products/bia-chimay-trang-8-chimay-triple-nhap-khau-bi-1-thung-24-chai-330ml-i2953054122.html", "https://www.lazada.vn/products/bia-chimay-trang-8-chimay-triple-nhap-khau-bi-1-thung-24-chai-330ml-i2953054122.html")</f>
        <v>https://www.lazada.vn/products/bia-chimay-trang-8-chimay-triple-nhap-khau-bi-1-thung-24-chai-330ml-i2953054122.html</v>
      </c>
      <c r="C4318" s="10" t="s">
        <v>4318</v>
      </c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8">
        <v>9173.0</v>
      </c>
      <c r="B4319" s="9" t="str">
        <f>HYPERLINK("https://www.lazada.vn/products/bia-la-trappe-trappist-quadrupel-10-nhap-khau-ha-lan-1-thung-24-chai-330ml-i2953026160.html", "https://www.lazada.vn/products/bia-la-trappe-trappist-quadrupel-10-nhap-khau-ha-lan-1-thung-24-chai-330ml-i2953026160.html")</f>
        <v>https://www.lazada.vn/products/bia-la-trappe-trappist-quadrupel-10-nhap-khau-ha-lan-1-thung-24-chai-330ml-i2953026160.html</v>
      </c>
      <c r="C4319" s="10" t="s">
        <v>4319</v>
      </c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8">
        <v>9174.0</v>
      </c>
      <c r="B4320" s="9" t="str">
        <f>HYPERLINK("https://www.lazada.vn/products/loc-6lon-nuoc-ngot-7up-330ml-dam-da-thom-ngon-dung-vi-chanh-la-nuoc-giai-khac-ho-tro-tot-cho-duong-tieu-hoa-uong-lanh-ngon-tuyet-co-mau-xuan-2025-i2457273040.html", "https://www.lazada.vn/products/loc-6lon-nuoc-ngot-7up-330ml-dam-da-thom-ngon-dung-vi-chanh-la-nuoc-giai-khac-ho-tro-tot-cho-duong-tieu-hoa-uong-lanh-ngon-tuyet-co-mau-xuan-2025-i2457273040.html")</f>
        <v>https://www.lazada.vn/products/loc-6lon-nuoc-ngot-7up-330ml-dam-da-thom-ngon-dung-vi-chanh-la-nuoc-giai-khac-ho-tro-tot-cho-duong-tieu-hoa-uong-lanh-ngon-tuyet-co-mau-xuan-2025-i2457273040.html</v>
      </c>
      <c r="C4320" s="10" t="s">
        <v>4320</v>
      </c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8">
        <v>9175.0</v>
      </c>
      <c r="B4321" s="9" t="str">
        <f>HYPERLINK("https://www.lazada.vn/products/vang-do-felicia-750-ml-co-the-mua-them-hop-dung-i2709729662.html", "https://www.lazada.vn/products/vang-do-felicia-750-ml-co-the-mua-them-hop-dung-i2709729662.html")</f>
        <v>https://www.lazada.vn/products/vang-do-felicia-750-ml-co-the-mua-them-hop-dung-i2709729662.html</v>
      </c>
      <c r="C4321" s="10" t="s">
        <v>4321</v>
      </c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8">
        <v>9176.0</v>
      </c>
      <c r="B4322" s="9" t="str">
        <f>HYPERLINK("https://www.lazada.vn/products/1kg-mang-ngam-chua-cay-ngon-chuan-vi-i1991348473.html", "https://www.lazada.vn/products/1kg-mang-ngam-chua-cay-ngon-chuan-vi-i1991348473.html")</f>
        <v>https://www.lazada.vn/products/1kg-mang-ngam-chua-cay-ngon-chuan-vi-i1991348473.html</v>
      </c>
      <c r="C4322" s="10" t="s">
        <v>4322</v>
      </c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8">
        <v>9177.0</v>
      </c>
      <c r="B4323" s="9" t="str">
        <f>HYPERLINK("https://www.lazada.vn/products/thung-28-lon-pepsi-28-lon-x-320ml-i2502182541.html", "https://www.lazada.vn/products/thung-28-lon-pepsi-28-lon-x-320ml-i2502182541.html")</f>
        <v>https://www.lazada.vn/products/thung-28-lon-pepsi-28-lon-x-320ml-i2502182541.html</v>
      </c>
      <c r="C4323" s="10" t="s">
        <v>4323</v>
      </c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8">
        <v>9178.0</v>
      </c>
      <c r="B4324" s="9" t="str">
        <f>HYPERLINK("https://www.lazada.vn/products/sake-nhat-ban-sasanokawa-fukunoka-junmaiginjo-fu-720ml-15-i2277821604.html", "https://www.lazada.vn/products/sake-nhat-ban-sasanokawa-fukunoka-junmaiginjo-fu-720ml-15-i2277821604.html")</f>
        <v>https://www.lazada.vn/products/sake-nhat-ban-sasanokawa-fukunoka-junmaiginjo-fu-720ml-15-i2277821604.html</v>
      </c>
      <c r="C4324" s="10" t="s">
        <v>4324</v>
      </c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8">
        <v>9179.0</v>
      </c>
      <c r="B4325" s="9" t="str">
        <f>HYPERLINK("https://www.lazada.vn/products/thung-nuoc-tang-luc-247-24-chai-x-330ml-i2501927473.html", "https://www.lazada.vn/products/thung-nuoc-tang-luc-247-24-chai-x-330ml-i2501927473.html")</f>
        <v>https://www.lazada.vn/products/thung-nuoc-tang-luc-247-24-chai-x-330ml-i2501927473.html</v>
      </c>
      <c r="C4325" s="10" t="s">
        <v>4325</v>
      </c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8">
        <v>9180.0</v>
      </c>
      <c r="B4326" s="9" t="str">
        <f>HYPERLINK("https://www.lazada.vn/products/sake-nhat-ban-sawanoi-junmai-ginjirushi-720ml-14-i2257571688.html", "https://www.lazada.vn/products/sake-nhat-ban-sawanoi-junmai-ginjirushi-720ml-14-i2257571688.html")</f>
        <v>https://www.lazada.vn/products/sake-nhat-ban-sawanoi-junmai-ginjirushi-720ml-14-i2257571688.html</v>
      </c>
      <c r="C4326" s="10" t="s">
        <v>4326</v>
      </c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8">
        <v>9181.0</v>
      </c>
      <c r="B4327" s="9" t="str">
        <f>HYPERLINK("https://www.lazada.vn/products/banh-quy-hanh-nhan-gion-tan-nhan-nguyen-hat-huong-vi-thom-ngon-kho-cuong-do-an-vat-dinh-duong-i2910608360.html", "https://www.lazada.vn/products/banh-quy-hanh-nhan-gion-tan-nhan-nguyen-hat-huong-vi-thom-ngon-kho-cuong-do-an-vat-dinh-duong-i2910608360.html")</f>
        <v>https://www.lazada.vn/products/banh-quy-hanh-nhan-gion-tan-nhan-nguyen-hat-huong-vi-thom-ngon-kho-cuong-do-an-vat-dinh-duong-i2910608360.html</v>
      </c>
      <c r="C4327" s="10" t="s">
        <v>4327</v>
      </c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8">
        <v>9182.0</v>
      </c>
      <c r="B4328" s="9" t="str">
        <f>HYPERLINK("https://www.lazada.vn/products/1-thung-24-goi-snack-mi-an-lien-enaak-indonesia-mi-an-song-an-vat-i1604162664.html", "https://www.lazada.vn/products/1-thung-24-goi-snack-mi-an-lien-enaak-indonesia-mi-an-song-an-vat-i1604162664.html")</f>
        <v>https://www.lazada.vn/products/1-thung-24-goi-snack-mi-an-lien-enaak-indonesia-mi-an-song-an-vat-i1604162664.html</v>
      </c>
      <c r="C4328" s="10" t="s">
        <v>4328</v>
      </c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8">
        <v>9183.0</v>
      </c>
      <c r="B4329" s="9" t="str">
        <f>HYPERLINK("https://www.lazada.vn/products/fiamma-lon-xanh-la-400g-ca-chua-xat-mieng-y-vesuviana-diced-tomatoes-in-tomato-juice-halal-i3036395127.html", "https://www.lazada.vn/products/fiamma-lon-xanh-la-400g-ca-chua-xat-mieng-y-vesuviana-diced-tomatoes-in-tomato-juice-halal-i3036395127.html")</f>
        <v>https://www.lazada.vn/products/fiamma-lon-xanh-la-400g-ca-chua-xat-mieng-y-vesuviana-diced-tomatoes-in-tomato-juice-halal-i3036395127.html</v>
      </c>
      <c r="C4329" s="10" t="s">
        <v>4329</v>
      </c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8">
        <v>9184.0</v>
      </c>
      <c r="B4330" s="9" t="str">
        <f>HYPERLINK("https://www.lazada.vn/products/keo-dua-sakura-nhat-ban-100g-keo-trai-dua-thom-ngon-gion-beo-mon-an-vat-hot-hit-i2910456238.html", "https://www.lazada.vn/products/keo-dua-sakura-nhat-ban-100g-keo-trai-dua-thom-ngon-gion-beo-mon-an-vat-hot-hit-i2910456238.html")</f>
        <v>https://www.lazada.vn/products/keo-dua-sakura-nhat-ban-100g-keo-trai-dua-thom-ngon-gion-beo-mon-an-vat-hot-hit-i2910456238.html</v>
      </c>
      <c r="C4330" s="10" t="s">
        <v>4330</v>
      </c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8">
        <v>9185.0</v>
      </c>
      <c r="B4331" s="9" t="str">
        <f>HYPERLINK("https://www.lazada.vn/products/thung-banh-mix-du-vi-nhieu-trong-luong-cho-khach-lua-chon-500g-1kg-2kg-dac-biet-la-khong-can-thung-nha-khach-iu-shop-tu-mix-muasamnhanh-sieu-ngon-i2652940517.html", "https://www.lazada.vn/products/thung-banh-mix-du-vi-nhieu-trong-luong-cho-khach-lua-chon-500g-1kg-2kg-dac-biet-la-khong-can-thung-nha-khach-iu-shop-tu-mix-muasamnhanh-sieu-ngon-i2652940517.html")</f>
        <v>https://www.lazada.vn/products/thung-banh-mix-du-vi-nhieu-trong-luong-cho-khach-lua-chon-500g-1kg-2kg-dac-biet-la-khong-can-thung-nha-khach-iu-shop-tu-mix-muasamnhanh-sieu-ngon-i2652940517.html</v>
      </c>
      <c r="C4331" s="10" t="s">
        <v>4331</v>
      </c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8">
        <v>9186.0</v>
      </c>
      <c r="B4332" s="9" t="str">
        <f>HYPERLINK("https://www.lazada.vn/products/luong-kho-mini-sbt-mix-13-v-i-goi-500gr-them-nhieu-trai-nghiem-them-nhieu-vi-thom-ngon-i2745142905.html", "https://www.lazada.vn/products/luong-kho-mini-sbt-mix-13-v-i-goi-500gr-them-nhieu-trai-nghiem-them-nhieu-vi-thom-ngon-i2745142905.html")</f>
        <v>https://www.lazada.vn/products/luong-kho-mini-sbt-mix-13-v-i-goi-500gr-them-nhieu-trai-nghiem-them-nhieu-vi-thom-ngon-i2745142905.html</v>
      </c>
      <c r="C4332" s="10" t="s">
        <v>4332</v>
      </c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8">
        <v>9187.0</v>
      </c>
      <c r="B4333" s="9" t="str">
        <f>HYPERLINK("https://www.lazada.vn/products/60-goi-suon-de-nuong-hang-dai-banh-mieng-cay-cay-mini-thom-ngon-anha-food-tiem-do-an-vat-i2598147025.html", "https://www.lazada.vn/products/60-goi-suon-de-nuong-hang-dai-banh-mieng-cay-cay-mini-thom-ngon-anha-food-tiem-do-an-vat-i2598147025.html")</f>
        <v>https://www.lazada.vn/products/60-goi-suon-de-nuong-hang-dai-banh-mieng-cay-cay-mini-thom-ngon-anha-food-tiem-do-an-vat-i2598147025.html</v>
      </c>
      <c r="C4333" s="10" t="s">
        <v>4333</v>
      </c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8">
        <v>9188.0</v>
      </c>
      <c r="B4334" s="9" t="str">
        <f>HYPERLINK("https://www.lazada.vn/products/ca-phe-hoa-tan-trung-nguyen-cappuccino-hazelnut-216g-i2693083004.html", "https://www.lazada.vn/products/ca-phe-hoa-tan-trung-nguyen-cappuccino-hazelnut-216g-i2693083004.html")</f>
        <v>https://www.lazada.vn/products/ca-phe-hoa-tan-trung-nguyen-cappuccino-hazelnut-216g-i2693083004.html</v>
      </c>
      <c r="C4334" s="10" t="s">
        <v>4334</v>
      </c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8">
        <v>9189.0</v>
      </c>
      <c r="B4335" s="9" t="str">
        <f>HYPERLINK("https://www.lazada.vn/products/999-glycerin-thuc-vat-100g-lam-my-pham-xa-phong-lam-banh-slime-bom-tam-usp-vegetable-glycerine-100g-i2557637961.html", "https://www.lazada.vn/products/999-glycerin-thuc-vat-100g-lam-my-pham-xa-phong-lam-banh-slime-bom-tam-usp-vegetable-glycerine-100g-i2557637961.html")</f>
        <v>https://www.lazada.vn/products/999-glycerin-thuc-vat-100g-lam-my-pham-xa-phong-lam-banh-slime-bom-tam-usp-vegetable-glycerine-100g-i2557637961.html</v>
      </c>
      <c r="C4335" s="10" t="s">
        <v>4335</v>
      </c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8">
        <v>9190.0</v>
      </c>
      <c r="B4336" s="9" t="str">
        <f>HYPERLINK("https://www.lazada.vn/products/combo-6-keo-so-co-la-sua-mms-37g-va-combo-6-keo-so-co-la-dau-phong-mms-37g-i2925221220.html", "https://www.lazada.vn/products/combo-6-keo-so-co-la-sua-mms-37g-va-combo-6-keo-so-co-la-dau-phong-mms-37g-i2925221220.html")</f>
        <v>https://www.lazada.vn/products/combo-6-keo-so-co-la-sua-mms-37g-va-combo-6-keo-so-co-la-dau-phong-mms-37g-i2925221220.html</v>
      </c>
      <c r="C4336" s="10" t="s">
        <v>4336</v>
      </c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8">
        <v>9191.0</v>
      </c>
      <c r="B4337" s="9" t="str">
        <f>HYPERLINK("https://www.lazada.vn/products/hcm-set-nguyen-lieu-nau-bia-hoppy-christmas-i2160318198.html", "https://www.lazada.vn/products/hcm-set-nguyen-lieu-nau-bia-hoppy-christmas-i2160318198.html")</f>
        <v>https://www.lazada.vn/products/hcm-set-nguyen-lieu-nau-bia-hoppy-christmas-i2160318198.html</v>
      </c>
      <c r="C4337" s="10" t="s">
        <v>4337</v>
      </c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8">
        <v>9192.0</v>
      </c>
      <c r="B4338" s="9" t="str">
        <f>HYPERLINK("https://www.lazada.vn/products/100g-enzyme-lactase-99-cap-thuc-pham-galactosidase-10000-ui-i2697914370.html", "https://www.lazada.vn/products/100g-enzyme-lactase-99-cap-thuc-pham-galactosidase-10000-ui-i2697914370.html")</f>
        <v>https://www.lazada.vn/products/100g-enzyme-lactase-99-cap-thuc-pham-galactosidase-10000-ui-i2697914370.html</v>
      </c>
      <c r="C4338" s="10" t="s">
        <v>4338</v>
      </c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8">
        <v>9193.0</v>
      </c>
      <c r="B4339" s="9" t="str">
        <f>HYPERLINK("https://www.lazada.vn/products/10-goi-nuoc-ngam-tinh-yeu-bang-hoa-i2802075481.html", "https://www.lazada.vn/products/10-goi-nuoc-ngam-tinh-yeu-bang-hoa-i2802075481.html")</f>
        <v>https://www.lazada.vn/products/10-goi-nuoc-ngam-tinh-yeu-bang-hoa-i2802075481.html</v>
      </c>
      <c r="C4339" s="10" t="s">
        <v>4339</v>
      </c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8">
        <v>9194.0</v>
      </c>
      <c r="B4340" s="9" t="str">
        <f>HYPERLINK("https://www.lazada.vn/products/blocs-sua-chua-dong-kho-500g-hat-trai-cay-tuoi-bo-dau-phong-mua-he-qua-le-qua-man-qua-mam-xoi-qua-dau-tay-trang-mieng-i2923659347.html", "https://www.lazada.vn/products/blocs-sua-chua-dong-kho-500g-hat-trai-cay-tuoi-bo-dau-phong-mua-he-qua-le-qua-man-qua-mam-xoi-qua-dau-tay-trang-mieng-i2923659347.html")</f>
        <v>https://www.lazada.vn/products/blocs-sua-chua-dong-kho-500g-hat-trai-cay-tuoi-bo-dau-phong-mua-he-qua-le-qua-man-qua-mam-xoi-qua-dau-tay-trang-mieng-i2923659347.html</v>
      </c>
      <c r="C4340" s="10" t="s">
        <v>4340</v>
      </c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8">
        <v>9195.0</v>
      </c>
      <c r="B4341" s="9" t="str">
        <f>HYPERLINK("https://www.lazada.vn/products/vodka-men-sheriff-30-565ml-i3024510777.html", "https://www.lazada.vn/products/vodka-men-sheriff-30-565ml-i3024510777.html")</f>
        <v>https://www.lazada.vn/products/vodka-men-sheriff-30-565ml-i3024510777.html</v>
      </c>
      <c r="C4341" s="10" t="s">
        <v>4341</v>
      </c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8">
        <v>9196.0</v>
      </c>
      <c r="B4342" s="9" t="str">
        <f>HYPERLINK("https://www.lazada.vn/products/bot-cacao-opti-start-nestle-nesquik-500g-i2133940828.html", "https://www.lazada.vn/products/bot-cacao-opti-start-nestle-nesquik-500g-i2133940828.html")</f>
        <v>https://www.lazada.vn/products/bot-cacao-opti-start-nestle-nesquik-500g-i2133940828.html</v>
      </c>
      <c r="C4342" s="10" t="s">
        <v>4342</v>
      </c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8">
        <v>9197.0</v>
      </c>
      <c r="B4343" s="9" t="str">
        <f>HYPERLINK("https://www.lazada.vn/products/moi-nhat-date-082025banh-cookies-original-assort-mr-ito-nhat-ban-hop-48-banh-3-huong-vi-i1712922867.html", "https://www.lazada.vn/products/moi-nhat-date-082025banh-cookies-original-assort-mr-ito-nhat-ban-hop-48-banh-3-huong-vi-i1712922867.html")</f>
        <v>https://www.lazada.vn/products/moi-nhat-date-082025banh-cookies-original-assort-mr-ito-nhat-ban-hop-48-banh-3-huong-vi-i1712922867.html</v>
      </c>
      <c r="C4343" s="10" t="s">
        <v>4343</v>
      </c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8">
        <v>9198.0</v>
      </c>
      <c r="B4344" s="9" t="str">
        <f>HYPERLINK("https://www.lazada.vn/products/thach-trai-cay-vi-cam-dau-hop-gau-dau-lotso-i2468860366.html", "https://www.lazada.vn/products/thach-trai-cay-vi-cam-dau-hop-gau-dau-lotso-i2468860366.html")</f>
        <v>https://www.lazada.vn/products/thach-trai-cay-vi-cam-dau-hop-gau-dau-lotso-i2468860366.html</v>
      </c>
      <c r="C4344" s="10" t="s">
        <v>4344</v>
      </c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8">
        <v>9199.0</v>
      </c>
      <c r="B4345" s="9" t="str">
        <f>HYPERLINK("https://www.lazada.vn/products/snack-khoai-tay-chien-chip-star-ybc-nhat-ban-nhieu-vi-cho-be-12-thang-_-nepshop-i2768986773.html", "https://www.lazada.vn/products/snack-khoai-tay-chien-chip-star-ybc-nhat-ban-nhieu-vi-cho-be-12-thang-_-nepshop-i2768986773.html")</f>
        <v>https://www.lazada.vn/products/snack-khoai-tay-chien-chip-star-ybc-nhat-ban-nhieu-vi-cho-be-12-thang-_-nepshop-i2768986773.html</v>
      </c>
      <c r="C4345" s="10" t="s">
        <v>4345</v>
      </c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8">
        <v>9200.0</v>
      </c>
      <c r="B4346" s="9" t="str">
        <f>HYPERLINK("https://www.lazada.vn/products/si-thung-40-goi-mi-tron-indo-chinh-hang-date-moi-i2860369815.html", "https://www.lazada.vn/products/si-thung-40-goi-mi-tron-indo-chinh-hang-date-moi-i2860369815.html")</f>
        <v>https://www.lazada.vn/products/si-thung-40-goi-mi-tron-indo-chinh-hang-date-moi-i2860369815.html</v>
      </c>
      <c r="C4346" s="10" t="s">
        <v>4346</v>
      </c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8">
        <v>9201.0</v>
      </c>
      <c r="B4347" s="9" t="str">
        <f>HYPERLINK("https://www.lazada.vn/products/masala-peanuts-200g-i1747610764.html", "https://www.lazada.vn/products/masala-peanuts-200g-i1747610764.html")</f>
        <v>https://www.lazada.vn/products/masala-peanuts-200g-i1747610764.html</v>
      </c>
      <c r="C4347" s="10" t="s">
        <v>4347</v>
      </c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8">
        <v>9202.0</v>
      </c>
      <c r="B4348" s="9" t="str">
        <f>HYPERLINK("https://www.lazada.vn/products/bia-chimay-vang-48-chimay-doree-nhap-khau-bi-1-thung-24-chai-330ml-i2952950543.html", "https://www.lazada.vn/products/bia-chimay-vang-48-chimay-doree-nhap-khau-bi-1-thung-24-chai-330ml-i2952950543.html")</f>
        <v>https://www.lazada.vn/products/bia-chimay-vang-48-chimay-doree-nhap-khau-bi-1-thung-24-chai-330ml-i2952950543.html</v>
      </c>
      <c r="C4348" s="10" t="s">
        <v>4348</v>
      </c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8">
        <v>9203.0</v>
      </c>
      <c r="B4349" s="9" t="str">
        <f>HYPERLINK("https://www.lazada.vn/products/bia-la-trappe-trappist-tripel-8-nhap-khau-ha-lan-1-thung-24-chai-330ml-i2952908449.html", "https://www.lazada.vn/products/bia-la-trappe-trappist-tripel-8-nhap-khau-ha-lan-1-thung-24-chai-330ml-i2952908449.html")</f>
        <v>https://www.lazada.vn/products/bia-la-trappe-trappist-tripel-8-nhap-khau-ha-lan-1-thung-24-chai-330ml-i2952908449.html</v>
      </c>
      <c r="C4349" s="10" t="s">
        <v>4349</v>
      </c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8">
        <v>9204.0</v>
      </c>
      <c r="B4350" s="9" t="str">
        <f>HYPERLINK("https://www.lazada.vn/products/mut-chum-ruot-hu-400g-i1991284785.html", "https://www.lazada.vn/products/mut-chum-ruot-hu-400g-i1991284785.html")</f>
        <v>https://www.lazada.vn/products/mut-chum-ruot-hu-400g-i1991284785.html</v>
      </c>
      <c r="C4350" s="10" t="s">
        <v>4350</v>
      </c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8">
        <v>9205.0</v>
      </c>
      <c r="B4351" s="9" t="str">
        <f>HYPERLINK("https://www.lazada.vn/products/200gr1kg-tran-chau-soi-hoang-kim-topping-tra-sua-thom-bui-deo-gion-ngot-diu-ngon-kho-cuong-i2708056030.html", "https://www.lazada.vn/products/200gr1kg-tran-chau-soi-hoang-kim-topping-tra-sua-thom-bui-deo-gion-ngot-diu-ngon-kho-cuong-i2708056030.html")</f>
        <v>https://www.lazada.vn/products/200gr1kg-tran-chau-soi-hoang-kim-topping-tra-sua-thom-bui-deo-gion-ngot-diu-ngon-kho-cuong-i2708056030.html</v>
      </c>
      <c r="C4351" s="10" t="s">
        <v>4351</v>
      </c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8">
        <v>9206.0</v>
      </c>
      <c r="B4352" s="9" t="str">
        <f>HYPERLINK("https://www.lazada.vn/products/loc-6-chai-sting-dau-do-330ml-x-6-chai-i2501925549.html", "https://www.lazada.vn/products/loc-6-chai-sting-dau-do-330ml-x-6-chai-i2501925549.html")</f>
        <v>https://www.lazada.vn/products/loc-6-chai-sting-dau-do-330ml-x-6-chai-i2501925549.html</v>
      </c>
      <c r="C4352" s="10" t="s">
        <v>4352</v>
      </c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8">
        <v>9207.0</v>
      </c>
      <c r="B4353" s="9" t="str">
        <f>HYPERLINK("https://www.lazada.vn/products/mi-kho-cao-cap-duy-anh-tui-400gr-i1601630579.html", "https://www.lazada.vn/products/mi-kho-cao-cap-duy-anh-tui-400gr-i1601630579.html")</f>
        <v>https://www.lazada.vn/products/mi-kho-cao-cap-duy-anh-tui-400gr-i1601630579.html</v>
      </c>
      <c r="C4353" s="10" t="s">
        <v>4353</v>
      </c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8">
        <v>9208.0</v>
      </c>
      <c r="B4354" s="9" t="str">
        <f>HYPERLINK("https://www.lazada.vn/products/sea-crown-hop-det-do-125g-ca-trich-sot-ca-sardines-in-tomato-sauce-halal-i3036395123.html", "https://www.lazada.vn/products/sea-crown-hop-det-do-125g-ca-trich-sot-ca-sardines-in-tomato-sauce-halal-i3036395123.html")</f>
        <v>https://www.lazada.vn/products/sea-crown-hop-det-do-125g-ca-trich-sot-ca-sardines-in-tomato-sauce-halal-i3036395123.html</v>
      </c>
      <c r="C4354" s="10" t="s">
        <v>4354</v>
      </c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8">
        <v>9209.0</v>
      </c>
      <c r="B4355" s="9" t="str">
        <f>HYPERLINK("https://www.lazada.vn/products/banh-sua-chua-ong-gia-horsh-1kg-do-an-vat-ngon-an-vat-shop-haimy-i2652902788.html", "https://www.lazada.vn/products/banh-sua-chua-ong-gia-horsh-1kg-do-an-vat-ngon-an-vat-shop-haimy-i2652902788.html")</f>
        <v>https://www.lazada.vn/products/banh-sua-chua-ong-gia-horsh-1kg-do-an-vat-ngon-an-vat-shop-haimy-i2652902788.html</v>
      </c>
      <c r="C4355" s="10" t="s">
        <v>4355</v>
      </c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8">
        <v>9210.0</v>
      </c>
      <c r="B4356" s="9" t="str">
        <f>HYPERLINK("https://www.lazada.vn/products/keo-sam-khong-duong-han-quoc-500g-i2881686440.html", "https://www.lazada.vn/products/keo-sam-khong-duong-han-quoc-500g-i2881686440.html")</f>
        <v>https://www.lazada.vn/products/keo-sam-khong-duong-han-quoc-500g-i2881686440.html</v>
      </c>
      <c r="C4356" s="10" t="s">
        <v>4356</v>
      </c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8">
        <v>9211.0</v>
      </c>
      <c r="B4357" s="9" t="str">
        <f>HYPERLINK("https://www.lazada.vn/products/banh-quy-pizza-mini-banh-hat-dong-xu-mix-hat-3vi-hat-dieu-hanh-nhan-nho-kho-huong-vi-thom-ngon-kho-cuong-i2910428845.html", "https://www.lazada.vn/products/banh-quy-pizza-mini-banh-hat-dong-xu-mix-hat-3vi-hat-dieu-hanh-nhan-nho-kho-huong-vi-thom-ngon-kho-cuong-i2910428845.html")</f>
        <v>https://www.lazada.vn/products/banh-quy-pizza-mini-banh-hat-dong-xu-mix-hat-3vi-hat-dieu-hanh-nhan-nho-kho-huong-vi-thom-ngon-kho-cuong-i2910428845.html</v>
      </c>
      <c r="C4357" s="10" t="s">
        <v>4357</v>
      </c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8">
        <v>9212.0</v>
      </c>
      <c r="B4358" s="9" t="str">
        <f>HYPERLINK("https://www.lazada.vn/products/ca-phe-sua-nescafe-3-in-1-dam-da-hai-hoa-bich-mau-do-782g-gom-46-goi-i2691352709.html", "https://www.lazada.vn/products/ca-phe-sua-nescafe-3-in-1-dam-da-hai-hoa-bich-mau-do-782g-gom-46-goi-i2691352709.html")</f>
        <v>https://www.lazada.vn/products/ca-phe-sua-nescafe-3-in-1-dam-da-hai-hoa-bich-mau-do-782g-gom-46-goi-i2691352709.html</v>
      </c>
      <c r="C4358" s="10" t="s">
        <v>4358</v>
      </c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8">
        <v>9213.0</v>
      </c>
      <c r="B4359" s="9" t="str">
        <f>HYPERLINK("https://www.lazada.vn/products/sake-nhat-kyochitose-tokubetsu-junmaishu-720ml300ml-16-i2257531072.html", "https://www.lazada.vn/products/sake-nhat-kyochitose-tokubetsu-junmaishu-720ml300ml-16-i2257531072.html")</f>
        <v>https://www.lazada.vn/products/sake-nhat-kyochitose-tokubetsu-junmaishu-720ml300ml-16-i2257531072.html</v>
      </c>
      <c r="C4359" s="10" t="s">
        <v>4359</v>
      </c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8">
        <v>9214.0</v>
      </c>
      <c r="B4360" s="9" t="str">
        <f>HYPERLINK("https://www.lazada.vn/products/banh-trang-phoi-suong-muoi-tep-hanh-phi-bo-beo-i2597212742.html", "https://www.lazada.vn/products/banh-trang-phoi-suong-muoi-tep-hanh-phi-bo-beo-i2597212742.html")</f>
        <v>https://www.lazada.vn/products/banh-trang-phoi-suong-muoi-tep-hanh-phi-bo-beo-i2597212742.html</v>
      </c>
      <c r="C4360" s="10" t="s">
        <v>4360</v>
      </c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8">
        <v>9215.0</v>
      </c>
      <c r="B4361" s="9" t="str">
        <f>HYPERLINK("https://www.lazada.vn/products/trusted-500g-yeast-active-fermentation-dry-yeast-diy-liquor-making-cerevisiae-grape-brewing-saccharomyces-for-cereals-i2557229188.html", "https://www.lazada.vn/products/trusted-500g-yeast-active-fermentation-dry-yeast-diy-liquor-making-cerevisiae-grape-brewing-saccharomyces-for-cereals-i2557229188.html")</f>
        <v>https://www.lazada.vn/products/trusted-500g-yeast-active-fermentation-dry-yeast-diy-liquor-making-cerevisiae-grape-brewing-saccharomyces-for-cereals-i2557229188.html</v>
      </c>
      <c r="C4361" s="10" t="s">
        <v>4361</v>
      </c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8">
        <v>9216.0</v>
      </c>
      <c r="B4362" s="9" t="str">
        <f>HYPERLINK("https://www.lazada.vn/products/combo-12-keo-so-co-la-sua-mms-37g-i2925205302.html", "https://www.lazada.vn/products/combo-12-keo-so-co-la-sua-mms-37g-i2925205302.html")</f>
        <v>https://www.lazada.vn/products/combo-12-keo-so-co-la-sua-mms-37g-i2925205302.html</v>
      </c>
      <c r="C4362" s="10" t="s">
        <v>4362</v>
      </c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8">
        <v>9217.0</v>
      </c>
      <c r="B4363" s="9" t="str">
        <f>HYPERLINK("https://www.lazada.vn/products/banh-trang-sot-muoi-beo-vip-banh-trang-phoi-suong-sieu-mong-cham-sot-muoi-beo-quyen-tay-ninh-i2593720705.html", "https://www.lazada.vn/products/banh-trang-sot-muoi-beo-vip-banh-trang-phoi-suong-sieu-mong-cham-sot-muoi-beo-quyen-tay-ninh-i2593720705.html")</f>
        <v>https://www.lazada.vn/products/banh-trang-sot-muoi-beo-vip-banh-trang-phoi-suong-sieu-mong-cham-sot-muoi-beo-quyen-tay-ninh-i2593720705.html</v>
      </c>
      <c r="C4363" s="10" t="s">
        <v>4363</v>
      </c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8">
        <v>9218.0</v>
      </c>
      <c r="B4364" s="9" t="str">
        <f>HYPERLINK("https://www.lazada.vn/products/bia-thu-cong-rooster-beers-blonde-bia-ga-blonde-330ml-nong-do-con-50-i2158239896.html", "https://www.lazada.vn/products/bia-thu-cong-rooster-beers-blonde-bia-ga-blonde-330ml-nong-do-con-50-i2158239896.html")</f>
        <v>https://www.lazada.vn/products/bia-thu-cong-rooster-beers-blonde-bia-ga-blonde-330ml-nong-do-con-50-i2158239896.html</v>
      </c>
      <c r="C4364" s="10" t="s">
        <v>4364</v>
      </c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8">
        <v>9219.0</v>
      </c>
      <c r="B4365" s="9" t="str">
        <f>HYPERLINK("https://www.lazada.vn/products/100g-enzyme-pectinase-dung-trong-thuc-pham-enzym-pectinase-i2697883457.html", "https://www.lazada.vn/products/100g-enzyme-pectinase-dung-trong-thuc-pham-enzym-pectinase-i2697883457.html")</f>
        <v>https://www.lazada.vn/products/100g-enzyme-pectinase-dung-trong-thuc-pham-enzym-pectinase-i2697883457.html</v>
      </c>
      <c r="C4365" s="10" t="s">
        <v>4365</v>
      </c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8">
        <v>9220.0</v>
      </c>
      <c r="B4366" s="9" t="str">
        <f>HYPERLINK("https://www.lazada.vn/products/tac-xi-muoi-thanh-binh-900g-i2800725350.html", "https://www.lazada.vn/products/tac-xi-muoi-thanh-binh-900g-i2800725350.html")</f>
        <v>https://www.lazada.vn/products/tac-xi-muoi-thanh-binh-900g-i2800725350.html</v>
      </c>
      <c r="C4366" s="10" t="s">
        <v>4366</v>
      </c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8">
        <v>9221.0</v>
      </c>
      <c r="B4367" s="9" t="str">
        <f>HYPERLINK("https://www.lazada.vn/products/vodka-men-sheriff-star-platium-30-565ml-i3023450095.html", "https://www.lazada.vn/products/vodka-men-sheriff-star-platium-30-565ml-i3023450095.html")</f>
        <v>https://www.lazada.vn/products/vodka-men-sheriff-star-platium-30-565ml-i3023450095.html</v>
      </c>
      <c r="C4367" s="10" t="s">
        <v>4367</v>
      </c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8">
        <v>9222.0</v>
      </c>
      <c r="B4368" s="9" t="str">
        <f>HYPERLINK("https://www.lazada.vn/products/banh-in-tan-hue-vien-i1700538219.html", "https://www.lazada.vn/products/banh-in-tan-hue-vien-i1700538219.html")</f>
        <v>https://www.lazada.vn/products/banh-in-tan-hue-vien-i1700538219.html</v>
      </c>
      <c r="C4368" s="10" t="s">
        <v>4368</v>
      </c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8">
        <v>9223.0</v>
      </c>
      <c r="B4369" s="9" t="str">
        <f>HYPERLINK("https://www.lazada.vn/products/bich-450g-thach-trai-cay-pudding-nanaco-thai-lan-i2465410610.html", "https://www.lazada.vn/products/bich-450g-thach-trai-cay-pudding-nanaco-thai-lan-i2465410610.html")</f>
        <v>https://www.lazada.vn/products/bich-450g-thach-trai-cay-pudding-nanaco-thai-lan-i2465410610.html</v>
      </c>
      <c r="C4369" s="10" t="s">
        <v>4369</v>
      </c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8">
        <v>9224.0</v>
      </c>
      <c r="B4370" s="9" t="str">
        <f>HYPERLINK("https://www.lazada.vn/products/bot-cacao-huu-co-nguyen-chat-ka-cacao-khong-duong-huong-vi-socola-tu-nhien-dam-da-khong-huong-lieu-phu-gia-i2125285018.html", "https://www.lazada.vn/products/bot-cacao-huu-co-nguyen-chat-ka-cacao-khong-duong-huong-vi-socola-tu-nhien-dam-da-khong-huong-lieu-phu-gia-i2125285018.html")</f>
        <v>https://www.lazada.vn/products/bot-cacao-huu-co-nguyen-chat-ka-cacao-khong-duong-huong-vi-socola-tu-nhien-dam-da-khong-huong-lieu-phu-gia-i2125285018.html</v>
      </c>
      <c r="C4370" s="10" t="s">
        <v>4370</v>
      </c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8">
        <v>9225.0</v>
      </c>
      <c r="B4371" s="9" t="str">
        <f>HYPERLINK("https://www.lazada.vn/products/chuoi-say-deo-500g-1kg-i2923653657.html", "https://www.lazada.vn/products/chuoi-say-deo-500g-1kg-i2923653657.html")</f>
        <v>https://www.lazada.vn/products/chuoi-say-deo-500g-1kg-i2923653657.html</v>
      </c>
      <c r="C4371" s="10" t="s">
        <v>4371</v>
      </c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8">
        <v>9226.0</v>
      </c>
      <c r="B4372" s="9" t="str">
        <f>HYPERLINK("https://www.lazada.vn/products/que-thuong-cho-cun-cung-tui-snack-100g-i2765709693.html", "https://www.lazada.vn/products/que-thuong-cho-cun-cung-tui-snack-100g-i2765709693.html")</f>
        <v>https://www.lazada.vn/products/que-thuong-cho-cun-cung-tui-snack-100g-i2765709693.html</v>
      </c>
      <c r="C4372" s="10" t="s">
        <v>4372</v>
      </c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8">
        <v>9227.0</v>
      </c>
      <c r="B4373" s="9" t="str">
        <f>HYPERLINK("https://www.lazada.vn/products/coop-online-mi-dinh-duong-omachi-xot-bo-ham-ly-70g-i2860347257.html", "https://www.lazada.vn/products/coop-online-mi-dinh-duong-omachi-xot-bo-ham-ly-70g-i2860347257.html")</f>
        <v>https://www.lazada.vn/products/coop-online-mi-dinh-duong-omachi-xot-bo-ham-ly-70g-i2860347257.html</v>
      </c>
      <c r="C4373" s="10" t="s">
        <v>4373</v>
      </c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8">
        <v>9228.0</v>
      </c>
      <c r="B4374" s="9" t="str">
        <f>HYPERLINK("https://www.lazada.vn/products/indian-snacks-bhujia-sev-200g-i1747504914.html", "https://www.lazada.vn/products/indian-snacks-bhujia-sev-200g-i1747504914.html")</f>
        <v>https://www.lazada.vn/products/indian-snacks-bhujia-sev-200g-i1747504914.html</v>
      </c>
      <c r="C4374" s="10" t="s">
        <v>4374</v>
      </c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8">
        <v>9229.0</v>
      </c>
      <c r="B4375" s="9" t="str">
        <f>HYPERLINK("https://www.lazada.vn/products/bia-chimay-vang-48-chimay-doree-nhap-khau-bi-1-thung-24-chai-330ml-i2952888646.html", "https://www.lazada.vn/products/bia-chimay-vang-48-chimay-doree-nhap-khau-bi-1-thung-24-chai-330ml-i2952888646.html")</f>
        <v>https://www.lazada.vn/products/bia-chimay-vang-48-chimay-doree-nhap-khau-bi-1-thung-24-chai-330ml-i2952888646.html</v>
      </c>
      <c r="C4375" s="10" t="s">
        <v>4375</v>
      </c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8">
        <v>9230.0</v>
      </c>
      <c r="B4376" s="9" t="str">
        <f>HYPERLINK("https://www.lazada.vn/products/vang-do-moganto-750-ml-co-the-mua-them-hop-dung-i2707886529.html", "https://www.lazada.vn/products/vang-do-moganto-750-ml-co-the-mua-them-hop-dung-i2707886529.html")</f>
        <v>https://www.lazada.vn/products/vang-do-moganto-750-ml-co-the-mua-them-hop-dung-i2707886529.html</v>
      </c>
      <c r="C4376" s="10" t="s">
        <v>4376</v>
      </c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8">
        <v>9231.0</v>
      </c>
      <c r="B4377" s="9" t="str">
        <f>HYPERLINK("https://www.lazada.vn/products/mam-dua-thap-cam-hu-450g-i1991158367.html", "https://www.lazada.vn/products/mam-dua-thap-cam-hu-450g-i1991158367.html")</f>
        <v>https://www.lazada.vn/products/mam-dua-thap-cam-hu-450g-i1991158367.html</v>
      </c>
      <c r="C4377" s="10" t="s">
        <v>4377</v>
      </c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8">
        <v>9232.0</v>
      </c>
      <c r="B4378" s="9" t="str">
        <f>HYPERLINK("https://www.lazada.vn/products/huong-com-sua-chai-500ml-i1590996879.html", "https://www.lazada.vn/products/huong-com-sua-chai-500ml-i1590996879.html")</f>
        <v>https://www.lazada.vn/products/huong-com-sua-chai-500ml-i1590996879.html</v>
      </c>
      <c r="C4378" s="10" t="s">
        <v>4378</v>
      </c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8">
        <v>9233.0</v>
      </c>
      <c r="B4379" s="9" t="str">
        <f>HYPERLINK("https://www.lazada.vn/products/nuoc-tang-luc-carabao-thung-24-lon-250ml-i2501630049.html", "https://www.lazada.vn/products/nuoc-tang-luc-carabao-thung-24-lon-250ml-i2501630049.html")</f>
        <v>https://www.lazada.vn/products/nuoc-tang-luc-carabao-thung-24-lon-250ml-i2501630049.html</v>
      </c>
      <c r="C4379" s="10" t="s">
        <v>4379</v>
      </c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8">
        <v>9234.0</v>
      </c>
      <c r="B4380" s="9" t="str">
        <f>HYPERLINK("https://www.lazada.vn/products/century-hop-chunky-xanh-ca-ngu-khuc-sot-gia-vi-philippines-corned-tuna-halal-i3036392231.html", "https://www.lazada.vn/products/century-hop-chunky-xanh-ca-ngu-khuc-sot-gia-vi-philippines-corned-tuna-halal-i3036392231.html")</f>
        <v>https://www.lazada.vn/products/century-hop-chunky-xanh-ca-ngu-khuc-sot-gia-vi-philippines-corned-tuna-halal-i3036392231.html</v>
      </c>
      <c r="C4380" s="10" t="s">
        <v>4380</v>
      </c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8">
        <v>9235.0</v>
      </c>
      <c r="B4381" s="9" t="str">
        <f>HYPERLINK("https://www.lazada.vn/products/banh-quy-sua-cosy-chocopai-cutas-tipo-cac-loai-loc-12-hop-i2910071001.html", "https://www.lazada.vn/products/banh-quy-sua-cosy-chocopai-cutas-tipo-cac-loai-loc-12-hop-i2910071001.html")</f>
        <v>https://www.lazada.vn/products/banh-quy-sua-cosy-chocopai-cutas-tipo-cac-loai-loc-12-hop-i2910071001.html</v>
      </c>
      <c r="C4381" s="10" t="s">
        <v>4381</v>
      </c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8">
        <v>9236.0</v>
      </c>
      <c r="B4382" s="9" t="str">
        <f>HYPERLINK("https://www.lazada.vn/products/hop-banh-quy-hanh-nhan-an-kieng-healthy-mamama-302g-i2909943345.html", "https://www.lazada.vn/products/hop-banh-quy-hanh-nhan-an-kieng-healthy-mamama-302g-i2909943345.html")</f>
        <v>https://www.lazada.vn/products/hop-banh-quy-hanh-nhan-an-kieng-healthy-mamama-302g-i2909943345.html</v>
      </c>
      <c r="C4382" s="10" t="s">
        <v>4382</v>
      </c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8">
        <v>9237.0</v>
      </c>
      <c r="B4383" s="9" t="str">
        <f>HYPERLINK("https://www.lazada.vn/products/tang-them-200g-tui-500g-keo-ngoi-sao-dieu-uoc-vi-siro-trai-cay-xinh-xan-thom-ngon-i2878242671.html", "https://www.lazada.vn/products/tang-them-200g-tui-500g-keo-ngoi-sao-dieu-uoc-vi-siro-trai-cay-xinh-xan-thom-ngon-i2878242671.html")</f>
        <v>https://www.lazada.vn/products/tang-them-200g-tui-500g-keo-ngoi-sao-dieu-uoc-vi-siro-trai-cay-xinh-xan-thom-ngon-i2878242671.html</v>
      </c>
      <c r="C4383" s="10" t="s">
        <v>4383</v>
      </c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8">
        <v>9238.0</v>
      </c>
      <c r="B4384" s="9" t="str">
        <f>HYPERLINK("https://www.lazada.vn/products/sake-nhat-kinpou-fuyou-jumai-ginjo-tsukuyomi-720ml-i2257459773.html", "https://www.lazada.vn/products/sake-nhat-kinpou-fuyou-jumai-ginjo-tsukuyomi-720ml-i2257459773.html")</f>
        <v>https://www.lazada.vn/products/sake-nhat-kinpou-fuyou-jumai-ginjo-tsukuyomi-720ml-i2257459773.html</v>
      </c>
      <c r="C4384" s="10" t="s">
        <v>4384</v>
      </c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8">
        <v>9239.0</v>
      </c>
      <c r="B4385" s="9" t="str">
        <f>HYPERLINK("https://www.lazada.vn/products/hottrend-combo-10-cai-banh-bong-lan-chuoi-sieu-ngon-hot-dai-loan-sieu-ngon-sieu-ngon-i2652856718.html", "https://www.lazada.vn/products/hottrend-combo-10-cai-banh-bong-lan-chuoi-sieu-ngon-hot-dai-loan-sieu-ngon-sieu-ngon-i2652856718.html")</f>
        <v>https://www.lazada.vn/products/hottrend-combo-10-cai-banh-bong-lan-chuoi-sieu-ngon-hot-dai-loan-sieu-ngon-sieu-ngon-i2652856718.html</v>
      </c>
      <c r="C4385" s="10" t="s">
        <v>4385</v>
      </c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8">
        <v>9240.0</v>
      </c>
      <c r="B4386" s="9" t="str">
        <f>HYPERLINK("https://www.lazada.vn/products/thung-2kg-banh-trung-cuon-cha-bong-hang-du-muc-i2743761636.html", "https://www.lazada.vn/products/thung-2kg-banh-trung-cuon-cha-bong-hang-du-muc-i2743761636.html")</f>
        <v>https://www.lazada.vn/products/thung-2kg-banh-trung-cuon-cha-bong-hang-du-muc-i2743761636.html</v>
      </c>
      <c r="C4386" s="10" t="s">
        <v>4386</v>
      </c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8">
        <v>9241.0</v>
      </c>
      <c r="B4387" s="9" t="str">
        <f>HYPERLINK("https://www.lazada.vn/products/hoa-toc-loc-6-lon-bia-tiger-330-ml-i2028678862.html", "https://www.lazada.vn/products/hoa-toc-loc-6-lon-bia-tiger-330-ml-i2028678862.html")</f>
        <v>https://www.lazada.vn/products/hoa-toc-loc-6-lon-bia-tiger-330-ml-i2028678862.html</v>
      </c>
      <c r="C4387" s="10" t="s">
        <v>4387</v>
      </c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8">
        <v>9242.0</v>
      </c>
      <c r="B4388" s="9" t="str">
        <f>HYPERLINK("https://www.lazada.vn/products/ca-phe-sua-nescafe-3in1-vi-nguyen-ban-cong-thuc-cai-tien-bich-736g-46-goi-x-16g-tang-them-3-goi-i2691352673.html", "https://www.lazada.vn/products/ca-phe-sua-nescafe-3in1-vi-nguyen-ban-cong-thuc-cai-tien-bich-736g-46-goi-x-16g-tang-them-3-goi-i2691352673.html")</f>
        <v>https://www.lazada.vn/products/ca-phe-sua-nescafe-3in1-vi-nguyen-ban-cong-thuc-cai-tien-bich-736g-46-goi-x-16g-tang-them-3-goi-i2691352673.html</v>
      </c>
      <c r="C4388" s="10" t="s">
        <v>4388</v>
      </c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8">
        <v>9243.0</v>
      </c>
      <c r="B4389" s="9" t="str">
        <f>HYPERLINK("https://www.lazada.vn/products/siro-trai-cay-freshy-fruit-syrup-nguyen-lieu-pha-che-tra-sua-chai-710ml-i2556500771.html", "https://www.lazada.vn/products/siro-trai-cay-freshy-fruit-syrup-nguyen-lieu-pha-che-tra-sua-chai-710ml-i2556500771.html")</f>
        <v>https://www.lazada.vn/products/siro-trai-cay-freshy-fruit-syrup-nguyen-lieu-pha-che-tra-sua-chai-710ml-i2556500771.html</v>
      </c>
      <c r="C4389" s="10" t="s">
        <v>4389</v>
      </c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8">
        <v>9244.0</v>
      </c>
      <c r="B4390" s="9" t="str">
        <f>HYPERLINK("https://www.lazada.vn/products/combo-3-keo-so-co-la-snickers-funsize-240g-i2925174323.html", "https://www.lazada.vn/products/combo-3-keo-so-co-la-snickers-funsize-240g-i2925174323.html")</f>
        <v>https://www.lazada.vn/products/combo-3-keo-so-co-la-snickers-funsize-240g-i2925174323.html</v>
      </c>
      <c r="C4390" s="10" t="s">
        <v>4390</v>
      </c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8">
        <v>9245.0</v>
      </c>
      <c r="B4391" s="9" t="str">
        <f>HYPERLINK("https://www.lazada.vn/products/combo-10-bich-banh-trang-tom-den-banh-trang-deo-phoi-suong-muoi-tom-den-quyen-tay-ninh-i2593719746.html", "https://www.lazada.vn/products/combo-10-bich-banh-trang-tom-den-banh-trang-deo-phoi-suong-muoi-tom-den-quyen-tay-ninh-i2593719746.html")</f>
        <v>https://www.lazada.vn/products/combo-10-bich-banh-trang-tom-den-banh-trang-deo-phoi-suong-muoi-tom-den-quyen-tay-ninh-i2593719746.html</v>
      </c>
      <c r="C4391" s="10" t="s">
        <v>4391</v>
      </c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8">
        <v>9246.0</v>
      </c>
      <c r="B4392" s="9" t="str">
        <f>HYPERLINK("https://www.lazada.vn/products/500g-enzyme-alpha-amylase-amylase-nhiet-do-cao-i2697882444.html", "https://www.lazada.vn/products/500g-enzyme-alpha-amylase-amylase-nhiet-do-cao-i2697882444.html")</f>
        <v>https://www.lazada.vn/products/500g-enzyme-alpha-amylase-amylase-nhiet-do-cao-i2697882444.html</v>
      </c>
      <c r="C4392" s="10" t="s">
        <v>4392</v>
      </c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8">
        <v>9247.0</v>
      </c>
      <c r="B4393" s="9" t="str">
        <f>HYPERLINK("https://www.lazada.vn/products/vang-y-terre-forti-sangiovese-rubicone-i2647562174.html", "https://www.lazada.vn/products/vang-y-terre-forti-sangiovese-rubicone-i2647562174.html")</f>
        <v>https://www.lazada.vn/products/vang-y-terre-forti-sangiovese-rubicone-i2647562174.html</v>
      </c>
      <c r="C4393" s="10" t="s">
        <v>4393</v>
      </c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8">
        <v>9248.0</v>
      </c>
      <c r="B4394" s="9" t="str">
        <f>HYPERLINK("https://www.lazada.vn/products/vang-phap-les-moulins-de-france-i2647480463.html", "https://www.lazada.vn/products/vang-phap-les-moulins-de-france-i2647480463.html")</f>
        <v>https://www.lazada.vn/products/vang-phap-les-moulins-de-france-i2647480463.html</v>
      </c>
      <c r="C4394" s="10" t="s">
        <v>4394</v>
      </c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8">
        <v>9249.0</v>
      </c>
      <c r="B4395" s="9" t="str">
        <f>HYPERLINK("https://www.lazada.vn/products/chanh-dao-u-muoi-mat-ong-thuc-pham-dinh-vi-thom-diu-ngot-chanh-sanh-i2800435180.html", "https://www.lazada.vn/products/chanh-dao-u-muoi-mat-ong-thuc-pham-dinh-vi-thom-diu-ngot-chanh-sanh-i2800435180.html")</f>
        <v>https://www.lazada.vn/products/chanh-dao-u-muoi-mat-ong-thuc-pham-dinh-vi-thom-diu-ngot-chanh-sanh-i2800435180.html</v>
      </c>
      <c r="C4395" s="10" t="s">
        <v>4395</v>
      </c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8">
        <v>9250.0</v>
      </c>
      <c r="B4396" s="9" t="str">
        <f>HYPERLINK("https://www.lazada.vn/products/bot-cacao-huu-co-nguyen-chat-ka-cacao-khong-duong-huong-vi-socola-tu-nhien-dam-da-khong-huong-lieu-phu-gia-i2123036716.html", "https://www.lazada.vn/products/bot-cacao-huu-co-nguyen-chat-ka-cacao-khong-duong-huong-vi-socola-tu-nhien-dam-da-khong-huong-lieu-phu-gia-i2123036716.html")</f>
        <v>https://www.lazada.vn/products/bot-cacao-huu-co-nguyen-chat-ka-cacao-khong-duong-huong-vi-socola-tu-nhien-dam-da-khong-huong-lieu-phu-gia-i2123036716.html</v>
      </c>
      <c r="C4396" s="10" t="s">
        <v>4396</v>
      </c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8">
        <v>9251.0</v>
      </c>
      <c r="B4397" s="9" t="str">
        <f>HYPERLINK("https://www.lazada.vn/products/lo-lang-honey-daily-vitamin-c-dried-date-105g-crispy-frozen-fresh-winter-dried-fruit-snack-healthy-treats-from-xinjiang-i2923648659.html", "https://www.lazada.vn/products/lo-lang-honey-daily-vitamin-c-dried-date-105g-crispy-frozen-fresh-winter-dried-fruit-snack-healthy-treats-from-xinjiang-i2923648659.html")</f>
        <v>https://www.lazada.vn/products/lo-lang-honey-daily-vitamin-c-dried-date-105g-crispy-frozen-fresh-winter-dried-fruit-snack-healthy-treats-from-xinjiang-i2923648659.html</v>
      </c>
      <c r="C4397" s="10" t="s">
        <v>4397</v>
      </c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8">
        <v>9252.0</v>
      </c>
      <c r="B4398" s="9" t="str">
        <f>HYPERLINK("https://www.lazada.vn/products/vodka-men-vay-vang-sheriff-star-gold-30-565ml-i3023449098.html", "https://www.lazada.vn/products/vodka-men-vay-vang-sheriff-star-gold-30-565ml-i3023449098.html")</f>
        <v>https://www.lazada.vn/products/vodka-men-vay-vang-sheriff-star-gold-30-565ml-i3023449098.html</v>
      </c>
      <c r="C4398" s="10" t="s">
        <v>4398</v>
      </c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8">
        <v>9253.0</v>
      </c>
      <c r="B4399" s="9" t="str">
        <f>HYPERLINK("https://www.lazada.vn/products/banh-hanh-nhan-tan-hue-vien-i1700445703.html", "https://www.lazada.vn/products/banh-hanh-nhan-tan-hue-vien-i1700445703.html")</f>
        <v>https://www.lazada.vn/products/banh-hanh-nhan-tan-hue-vien-i1700445703.html</v>
      </c>
      <c r="C4399" s="10" t="s">
        <v>4399</v>
      </c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8">
        <v>9254.0</v>
      </c>
      <c r="B4400" s="9" t="str">
        <f>HYPERLINK("https://www.lazada.vn/products/thach-dai-gion-kimiko-long-hai-bo-sung-prebiotics-va-calci-tui-500g-cho-xuong-chac-khoe-cao-lon-tot-cho-he-tieu-hoa-i2465078125.html", "https://www.lazada.vn/products/thach-dai-gion-kimiko-long-hai-bo-sung-prebiotics-va-calci-tui-500g-cho-xuong-chac-khoe-cao-lon-tot-cho-he-tieu-hoa-i2465078125.html")</f>
        <v>https://www.lazada.vn/products/thach-dai-gion-kimiko-long-hai-bo-sung-prebiotics-va-calci-tui-500g-cho-xuong-chac-khoe-cao-lon-tot-cho-he-tieu-hoa-i2465078125.html</v>
      </c>
      <c r="C4400" s="10" t="s">
        <v>4400</v>
      </c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8">
        <v>9255.0</v>
      </c>
      <c r="B4401" s="9" t="str">
        <f>HYPERLINK("https://www.lazada.vn/products/snack-mi-tre-em-enaak-indonesia-vi-ga-truyen-thong-thung-24-goi-x-30g-i2758249054.html", "https://www.lazada.vn/products/snack-mi-tre-em-enaak-indonesia-vi-ga-truyen-thong-thung-24-goi-x-30g-i2758249054.html")</f>
        <v>https://www.lazada.vn/products/snack-mi-tre-em-enaak-indonesia-vi-ga-truyen-thong-thung-24-goi-x-30g-i2758249054.html</v>
      </c>
      <c r="C4401" s="10" t="s">
        <v>4401</v>
      </c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8">
        <v>9256.0</v>
      </c>
      <c r="B4402" s="9" t="str">
        <f>HYPERLINK("https://www.lazada.vn/products/coop-online-canh-rong-bien-tom-asuzac-hop-10-goi-x-35g-i2860344283.html", "https://www.lazada.vn/products/coop-online-canh-rong-bien-tom-asuzac-hop-10-goi-x-35g-i2860344283.html")</f>
        <v>https://www.lazada.vn/products/coop-online-canh-rong-bien-tom-asuzac-hop-10-goi-x-35g-i2860344283.html</v>
      </c>
      <c r="C4402" s="10" t="s">
        <v>4402</v>
      </c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8">
        <v>9257.0</v>
      </c>
      <c r="B4403" s="9" t="str">
        <f>HYPERLINK("https://www.lazada.vn/products/indian-snack-panchratan-mixture-150g-i1747500553.html", "https://www.lazada.vn/products/indian-snack-panchratan-mixture-150g-i1747500553.html")</f>
        <v>https://www.lazada.vn/products/indian-snack-panchratan-mixture-150g-i1747500553.html</v>
      </c>
      <c r="C4403" s="10" t="s">
        <v>4403</v>
      </c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8">
        <v>9258.0</v>
      </c>
      <c r="B4404" s="9" t="str">
        <f>HYPERLINK("https://www.lazada.vn/products/sot-gach-cua-trung-muoi-i1988802098.html", "https://www.lazada.vn/products/sot-gach-cua-trung-muoi-i1988802098.html")</f>
        <v>https://www.lazada.vn/products/sot-gach-cua-trung-muoi-i1988802098.html</v>
      </c>
      <c r="C4404" s="10" t="s">
        <v>4404</v>
      </c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8">
        <v>9259.0</v>
      </c>
      <c r="B4405" s="9" t="str">
        <f>HYPERLINK("https://www.lazada.vn/products/hu-500gram-cha-bong-heo-loai-1-thom-ngon-chat-luong-i1987448082.html", "https://www.lazada.vn/products/hu-500gram-cha-bong-heo-loai-1-thom-ngon-chat-luong-i1987448082.html")</f>
        <v>https://www.lazada.vn/products/hu-500gram-cha-bong-heo-loai-1-thom-ngon-chat-luong-i1987448082.html</v>
      </c>
      <c r="C4405" s="10" t="s">
        <v>4405</v>
      </c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8">
        <v>9260.0</v>
      </c>
      <c r="B4406" s="9" t="str">
        <f>HYPERLINK("https://www.lazada.vn/products/bia-la-trappe-trappist-tripel-8-nhap-khau-ha-lan-1-thung-24-chai-330ml-i2952872605.html", "https://www.lazada.vn/products/bia-la-trappe-trappist-tripel-8-nhap-khau-ha-lan-1-thung-24-chai-330ml-i2952872605.html")</f>
        <v>https://www.lazada.vn/products/bia-la-trappe-trappist-tripel-8-nhap-khau-ha-lan-1-thung-24-chai-330ml-i2952872605.html</v>
      </c>
      <c r="C4406" s="10" t="s">
        <v>4406</v>
      </c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8">
        <v>9261.0</v>
      </c>
      <c r="B4407" s="9" t="str">
        <f>HYPERLINK("https://www.lazada.vn/products/set-nau-che-suong-sa-hat-luu-15-chen-i2706554839.html", "https://www.lazada.vn/products/set-nau-che-suong-sa-hat-luu-15-chen-i2706554839.html")</f>
        <v>https://www.lazada.vn/products/set-nau-che-suong-sa-hat-luu-15-chen-i2706554839.html</v>
      </c>
      <c r="C4407" s="10" t="s">
        <v>4407</v>
      </c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8">
        <v>9262.0</v>
      </c>
      <c r="B4408" s="9" t="str">
        <f>HYPERLINK("https://www.lazada.vn/products/combo-24-goi-1-thung-banh-quy-cream-o-nhan-kem-thanh-du-vi-1-thung-24-goi-x-85g-i2909931346.html", "https://www.lazada.vn/products/combo-24-goi-1-thung-banh-quy-cream-o-nhan-kem-thanh-du-vi-1-thung-24-goi-x-85g-i2909931346.html")</f>
        <v>https://www.lazada.vn/products/combo-24-goi-1-thung-banh-quy-cream-o-nhan-kem-thanh-du-vi-1-thung-24-goi-x-85g-i2909931346.html</v>
      </c>
      <c r="C4408" s="10" t="s">
        <v>4408</v>
      </c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8">
        <v>9263.0</v>
      </c>
      <c r="B4409" s="9" t="str">
        <f>HYPERLINK("https://www.lazada.vn/products/topvalu-bich-24g-12-goi-nho-ca-ngu-kho-bao-mong-nhat-ban-dried-bonito-flakes-pack-i3036392139.html", "https://www.lazada.vn/products/topvalu-bich-24g-12-goi-nho-ca-ngu-kho-bao-mong-nhat-ban-dried-bonito-flakes-pack-i3036392139.html")</f>
        <v>https://www.lazada.vn/products/topvalu-bich-24g-12-goi-nho-ca-ngu-kho-bao-mong-nhat-ban-dried-bonito-flakes-pack-i3036392139.html</v>
      </c>
      <c r="C4409" s="10" t="s">
        <v>4409</v>
      </c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8">
        <v>9264.0</v>
      </c>
      <c r="B4410" s="9" t="str">
        <f>HYPERLINK("https://www.lazada.vn/products/combo-12-keo-so-co-la-dau-phong-mms-37g-i2924899941.html", "https://www.lazada.vn/products/combo-12-keo-so-co-la-dau-phong-mms-37g-i2924899941.html")</f>
        <v>https://www.lazada.vn/products/combo-12-keo-so-co-la-dau-phong-mms-37g-i2924899941.html</v>
      </c>
      <c r="C4410" s="10" t="s">
        <v>4410</v>
      </c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8">
        <v>9265.0</v>
      </c>
      <c r="B4411" s="9" t="str">
        <f>HYPERLINK("https://www.lazada.vn/products/my-y-spaghetti-pasta-zara-500gr-i1577137913.html", "https://www.lazada.vn/products/my-y-spaghetti-pasta-zara-500gr-i1577137913.html")</f>
        <v>https://www.lazada.vn/products/my-y-spaghetti-pasta-zara-500gr-i1577137913.html</v>
      </c>
      <c r="C4411" s="10" t="s">
        <v>4411</v>
      </c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8">
        <v>9266.0</v>
      </c>
      <c r="B4412" s="9" t="str">
        <f>HYPERLINK("https://www.lazada.vn/products/banh-trung-euro-cake-thai-lan-hop-12-chiec-nhieu-vi-sieu-ngon-i2743704293.html", "https://www.lazada.vn/products/banh-trung-euro-cake-thai-lan-hop-12-chiec-nhieu-vi-sieu-ngon-i2743704293.html")</f>
        <v>https://www.lazada.vn/products/banh-trung-euro-cake-thai-lan-hop-12-chiec-nhieu-vi-sieu-ngon-i2743704293.html</v>
      </c>
      <c r="C4412" s="10" t="s">
        <v>4412</v>
      </c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8">
        <v>9267.0</v>
      </c>
      <c r="B4413" s="9" t="str">
        <f>HYPERLINK("https://www.lazada.vn/products/ca-phe-sua-nescafe-3-in-1-dam-vi-ca-phe-bich-mau-xanh-782g-gom-46-goi-i2691350668.html", "https://www.lazada.vn/products/ca-phe-sua-nescafe-3-in-1-dam-vi-ca-phe-bich-mau-xanh-782g-gom-46-goi-i2691350668.html")</f>
        <v>https://www.lazada.vn/products/ca-phe-sua-nescafe-3-in-1-dam-vi-ca-phe-bich-mau-xanh-782g-gom-46-goi-i2691350668.html</v>
      </c>
      <c r="C4413" s="10" t="s">
        <v>4413</v>
      </c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8">
        <v>9268.0</v>
      </c>
      <c r="B4414" s="9" t="str">
        <f>HYPERLINK("https://www.lazada.vn/products/mau-dung-thu-syrup-davinci-hat-ho-dao-100ml-siro-hanh-nhan-nuong-rang-roasted-almond-chai-mini-de-test-mon-i2555430012.html", "https://www.lazada.vn/products/mau-dung-thu-syrup-davinci-hat-ho-dao-100ml-siro-hanh-nhan-nuong-rang-roasted-almond-chai-mini-de-test-mon-i2555430012.html")</f>
        <v>https://www.lazada.vn/products/mau-dung-thu-syrup-davinci-hat-ho-dao-100ml-siro-hanh-nhan-nuong-rang-roasted-almond-chai-mini-de-test-mon-i2555430012.html</v>
      </c>
      <c r="C4414" s="10" t="s">
        <v>4414</v>
      </c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8">
        <v>9269.0</v>
      </c>
      <c r="B4415" s="9" t="str">
        <f>HYPERLINK("https://www.lazada.vn/products/ngon-kho-cuong-thung-banh-mix-du-vi-nhieu-trong-luong-cho-khach-lua-chon-500g-1kg-2kg-dac-biet-la-khong-can-thung-nha-khach-iu-shop-tu-mix-khuyen-mai-hot-i2652853838.html", "https://www.lazada.vn/products/ngon-kho-cuong-thung-banh-mix-du-vi-nhieu-trong-luong-cho-khach-lua-chon-500g-1kg-2kg-dac-biet-la-khong-can-thung-nha-khach-iu-shop-tu-mix-khuyen-mai-hot-i2652853838.html")</f>
        <v>https://www.lazada.vn/products/ngon-kho-cuong-thung-banh-mix-du-vi-nhieu-trong-luong-cho-khach-lua-chon-500g-1kg-2kg-dac-biet-la-khong-can-thung-nha-khach-iu-shop-tu-mix-khuyen-mai-hot-i2652853838.html</v>
      </c>
      <c r="C4415" s="10" t="s">
        <v>4415</v>
      </c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8">
        <v>9270.0</v>
      </c>
      <c r="B4416" s="9" t="str">
        <f>HYPERLINK("https://www.lazada.vn/products/combo-10-goi-keo-mat-cuoi-huong-vi-trai-cay-thom-matxinh-xan-i2863744743.html", "https://www.lazada.vn/products/combo-10-goi-keo-mat-cuoi-huong-vi-trai-cay-thom-matxinh-xan-i2863744743.html")</f>
        <v>https://www.lazada.vn/products/combo-10-goi-keo-mat-cuoi-huong-vi-trai-cay-thom-matxinh-xan-i2863744743.html</v>
      </c>
      <c r="C4416" s="10" t="s">
        <v>4416</v>
      </c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8">
        <v>9271.0</v>
      </c>
      <c r="B4417" s="9" t="str">
        <f>HYPERLINK("https://www.lazada.vn/products/sake-nhat-jyoku-gen-720ml-19-i2204454556.html", "https://www.lazada.vn/products/sake-nhat-jyoku-gen-720ml-19-i2204454556.html")</f>
        <v>https://www.lazada.vn/products/sake-nhat-jyoku-gen-720ml-19-i2204454556.html</v>
      </c>
      <c r="C4417" s="10" t="s">
        <v>4417</v>
      </c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8">
        <v>9272.0</v>
      </c>
      <c r="B4418" s="9" t="str">
        <f>HYPERLINK("https://www.lazada.vn/products/hoa-toc-thung-24-lon-bia-333-lon-330-ml-i2028660971.html", "https://www.lazada.vn/products/hoa-toc-thung-24-lon-bia-333-lon-330-ml-i2028660971.html")</f>
        <v>https://www.lazada.vn/products/hoa-toc-thung-24-lon-bia-333-lon-330-ml-i2028660971.html</v>
      </c>
      <c r="C4418" s="10" t="s">
        <v>4418</v>
      </c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8">
        <v>9273.0</v>
      </c>
      <c r="B4419" s="9" t="str">
        <f>HYPERLINK("https://www.lazada.vn/products/tang-xike-tom-ca-set-banh-trang-phoi-suong-tay-ninh-day-du-toping-quyen-tay-ninh-i2593710917.html", "https://www.lazada.vn/products/tang-xike-tom-ca-set-banh-trang-phoi-suong-tay-ninh-day-du-toping-quyen-tay-ninh-i2593710917.html")</f>
        <v>https://www.lazada.vn/products/tang-xike-tom-ca-set-banh-trang-phoi-suong-tay-ninh-day-du-toping-quyen-tay-ninh-i2593710917.html</v>
      </c>
      <c r="C4419" s="10" t="s">
        <v>4419</v>
      </c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8">
        <v>9274.0</v>
      </c>
      <c r="B4420" s="9" t="str">
        <f>HYPERLINK("https://www.lazada.vn/products/an-cung-ba-tuyet-snack-bo-kobe-nem-nuong-phen-sashimi-ca-hoi-13k-6-goi-i2581806612.html", "https://www.lazada.vn/products/an-cung-ba-tuyet-snack-bo-kobe-nem-nuong-phen-sashimi-ca-hoi-13k-6-goi-i2581806612.html")</f>
        <v>https://www.lazada.vn/products/an-cung-ba-tuyet-snack-bo-kobe-nem-nuong-phen-sashimi-ca-hoi-13k-6-goi-i2581806612.html</v>
      </c>
      <c r="C4420" s="10" t="s">
        <v>4420</v>
      </c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8">
        <v>9275.0</v>
      </c>
      <c r="B4421" s="9" t="str">
        <f>HYPERLINK("https://www.lazada.vn/products/kem-pha-che-rich-lun-454g-i2693393139.html", "https://www.lazada.vn/products/kem-pha-che-rich-lun-454g-i2693393139.html")</f>
        <v>https://www.lazada.vn/products/kem-pha-che-rich-lun-454g-i2693393139.html</v>
      </c>
      <c r="C4421" s="10" t="s">
        <v>4421</v>
      </c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8">
        <v>9276.0</v>
      </c>
      <c r="B4422" s="9" t="str">
        <f>HYPERLINK("https://www.lazada.vn/products/vang-y-primitivo_750ml-i2647480278.html", "https://www.lazada.vn/products/vang-y-primitivo_750ml-i2647480278.html")</f>
        <v>https://www.lazada.vn/products/vang-y-primitivo_750ml-i2647480278.html</v>
      </c>
      <c r="C4422" s="10" t="s">
        <v>4422</v>
      </c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8">
        <v>9277.0</v>
      </c>
      <c r="B4423" s="9" t="str">
        <f>HYPERLINK("https://www.lazada.vn/products/thach-trai-cay-rau-cu-jelly-cutin-1-tui-125ml-i2800226602.html", "https://www.lazada.vn/products/thach-trai-cay-rau-cu-jelly-cutin-1-tui-125ml-i2800226602.html")</f>
        <v>https://www.lazada.vn/products/thach-trai-cay-rau-cu-jelly-cutin-1-tui-125ml-i2800226602.html</v>
      </c>
      <c r="C4423" s="10" t="s">
        <v>4423</v>
      </c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8">
        <v>9278.0</v>
      </c>
      <c r="B4424" s="9" t="str">
        <f>HYPERLINK("https://www.lazada.vn/products/bot-cacao-sua-hoa-tan-3in1-ka-cacao-hop-huong-vi-socola-tu-nhien-dam-da-khong-huong-lieu-phu-gia-i2122388253.html", "https://www.lazada.vn/products/bot-cacao-sua-hoa-tan-3in1-ka-cacao-hop-huong-vi-socola-tu-nhien-dam-da-khong-huong-lieu-phu-gia-i2122388253.html")</f>
        <v>https://www.lazada.vn/products/bot-cacao-sua-hoa-tan-3in1-ka-cacao-hop-huong-vi-socola-tu-nhien-dam-da-khong-huong-lieu-phu-gia-i2122388253.html</v>
      </c>
      <c r="C4424" s="10" t="s">
        <v>4424</v>
      </c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8">
        <v>9279.0</v>
      </c>
      <c r="B4425" s="9" t="str">
        <f>HYPERLINK("https://www.lazada.vn/products/dried-freeze-mango-dried-freeze-durian-dried-freeze-almond-dried-freeze-strawberry-multi-flavor-snack-healthy-craving-relief-i2923644542.html", "https://www.lazada.vn/products/dried-freeze-mango-dried-freeze-durian-dried-freeze-almond-dried-freeze-strawberry-multi-flavor-snack-healthy-craving-relief-i2923644542.html")</f>
        <v>https://www.lazada.vn/products/dried-freeze-mango-dried-freeze-durian-dried-freeze-almond-dried-freeze-strawberry-multi-flavor-snack-healthy-craving-relief-i2923644542.html</v>
      </c>
      <c r="C4425" s="10" t="s">
        <v>4425</v>
      </c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8">
        <v>9280.0</v>
      </c>
      <c r="B4426" s="9" t="str">
        <f>HYPERLINK("https://www.lazada.vn/products/1-thung-thach-zaizai-duc-hanh-vi-trai-cay-5kg-thung-i2458572075.html", "https://www.lazada.vn/products/1-thung-thach-zaizai-duc-hanh-vi-trai-cay-5kg-thung-i2458572075.html")</f>
        <v>https://www.lazada.vn/products/1-thung-thach-zaizai-duc-hanh-vi-trai-cay-5kg-thung-i2458572075.html</v>
      </c>
      <c r="C4426" s="10" t="s">
        <v>4426</v>
      </c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8">
        <v>9281.0</v>
      </c>
      <c r="B4427" s="9" t="str">
        <f>HYPERLINK("https://www.lazada.vn/products/khoai-say-deo-500g-1kg-i2923628711.html", "https://www.lazada.vn/products/khoai-say-deo-500g-1kg-i2923628711.html")</f>
        <v>https://www.lazada.vn/products/khoai-say-deo-500g-1kg-i2923628711.html</v>
      </c>
      <c r="C4427" s="10" t="s">
        <v>4427</v>
      </c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8">
        <v>9282.0</v>
      </c>
      <c r="B4428" s="9" t="str">
        <f>HYPERLINK("https://www.lazada.vn/products/banh-oan-dao-tien-nghe-thuat-trai-200-gam-i1694836271.html", "https://www.lazada.vn/products/banh-oan-dao-tien-nghe-thuat-trai-200-gam-i1694836271.html")</f>
        <v>https://www.lazada.vn/products/banh-oan-dao-tien-nghe-thuat-trai-200-gam-i1694836271.html</v>
      </c>
      <c r="C4428" s="10" t="s">
        <v>4428</v>
      </c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8">
        <v>9283.0</v>
      </c>
      <c r="B4429" s="9" t="str">
        <f>HYPERLINK("https://www.lazada.vn/products/vodka-men-nhan-sam-sheriff-star-korea-baby-ginseng-30-565ml-i3023385194.html", "https://www.lazada.vn/products/vodka-men-nhan-sam-sheriff-star-korea-baby-ginseng-30-565ml-i3023385194.html")</f>
        <v>https://www.lazada.vn/products/vodka-men-nhan-sam-sheriff-star-korea-baby-ginseng-30-565ml-i3023385194.html</v>
      </c>
      <c r="C4429" s="10" t="s">
        <v>4429</v>
      </c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8">
        <v>9284.0</v>
      </c>
      <c r="B4430" s="9" t="str">
        <f>HYPERLINK("https://www.lazada.vn/products/20h-243-293-tang-combo-5-lays-combo-5-lays-tu-nhien-tao-bien-suon-bo-90g-muc-dai-loan-88g-i2757265116.html", "https://www.lazada.vn/products/20h-243-293-tang-combo-5-lays-combo-5-lays-tu-nhien-tao-bien-suon-bo-90g-muc-dai-loan-88g-i2757265116.html")</f>
        <v>https://www.lazada.vn/products/20h-243-293-tang-combo-5-lays-combo-5-lays-tu-nhien-tao-bien-suon-bo-90g-muc-dai-loan-88g-i2757265116.html</v>
      </c>
      <c r="C4430" s="10" t="s">
        <v>4430</v>
      </c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8">
        <v>9285.0</v>
      </c>
      <c r="B4431" s="9" t="str">
        <f>HYPERLINK("https://www.lazada.vn/products/coop-online-mi-dinh-duong-omachi-suon-ham-ngu-qua-ly-72g-i2860344280.html", "https://www.lazada.vn/products/coop-online-mi-dinh-duong-omachi-suon-ham-ngu-qua-ly-72g-i2860344280.html")</f>
        <v>https://www.lazada.vn/products/coop-online-mi-dinh-duong-omachi-suon-ham-ngu-qua-ly-72g-i2860344280.html</v>
      </c>
      <c r="C4431" s="10" t="s">
        <v>4431</v>
      </c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8">
        <v>9286.0</v>
      </c>
      <c r="B4432" s="9" t="str">
        <f>HYPERLINK("https://www.lazada.vn/products/banh-pia-kim-sa-trung-muoi-sau-rieng-dua-480gr-tui-12-banh-i2737953222.html", "https://www.lazada.vn/products/banh-pia-kim-sa-trung-muoi-sau-rieng-dua-480gr-tui-12-banh-i2737953222.html")</f>
        <v>https://www.lazada.vn/products/banh-pia-kim-sa-trung-muoi-sau-rieng-dua-480gr-tui-12-banh-i2737953222.html</v>
      </c>
      <c r="C4432" s="10" t="s">
        <v>4432</v>
      </c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8">
        <v>9287.0</v>
      </c>
      <c r="B4433" s="9" t="str">
        <f>HYPERLINK("https://www.lazada.vn/products/indian-snacks-chatpata-dal-500g-i1747498742.html", "https://www.lazada.vn/products/indian-snacks-chatpata-dal-500g-i1747498742.html")</f>
        <v>https://www.lazada.vn/products/indian-snacks-chatpata-dal-500g-i1747498742.html</v>
      </c>
      <c r="C4433" s="10" t="s">
        <v>4433</v>
      </c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8">
        <v>9288.0</v>
      </c>
      <c r="B4434" s="9" t="str">
        <f>HYPERLINK("https://www.lazada.vn/products/combo-4-cay-banh-pia-nhu-y-mini-5-cai-cay-100gr-sau-rieng-vi-dau-la-dua-mix-vi-i2737827579.html", "https://www.lazada.vn/products/combo-4-cay-banh-pia-nhu-y-mini-5-cai-cay-100gr-sau-rieng-vi-dau-la-dua-mix-vi-i2737827579.html")</f>
        <v>https://www.lazada.vn/products/combo-4-cay-banh-pia-nhu-y-mini-5-cai-cay-100gr-sau-rieng-vi-dau-la-dua-mix-vi-i2737827579.html</v>
      </c>
      <c r="C4434" s="10" t="s">
        <v>4434</v>
      </c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8">
        <v>9289.0</v>
      </c>
      <c r="B4435" s="9" t="str">
        <f>HYPERLINK("https://www.lazada.vn/products/muoi-nhuyen-co-cu-100gr-i1985444677.html", "https://www.lazada.vn/products/muoi-nhuyen-co-cu-100gr-i1985444677.html")</f>
        <v>https://www.lazada.vn/products/muoi-nhuyen-co-cu-100gr-i1985444677.html</v>
      </c>
      <c r="C4435" s="10" t="s">
        <v>4435</v>
      </c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8">
        <v>9290.0</v>
      </c>
      <c r="B4436" s="9" t="str">
        <f>HYPERLINK("https://www.lazada.vn/products/pho-bo-chinsu-thit-bo-nguyen-mieng-1t-15g-i1539514781.html", "https://www.lazada.vn/products/pho-bo-chinsu-thit-bo-nguyen-mieng-1t-15g-i1539514781.html")</f>
        <v>https://www.lazada.vn/products/pho-bo-chinsu-thit-bo-nguyen-mieng-1t-15g-i1539514781.html</v>
      </c>
      <c r="C4436" s="10" t="s">
        <v>4436</v>
      </c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8">
        <v>9291.0</v>
      </c>
      <c r="B4437" s="9" t="str">
        <f>HYPERLINK("https://www.lazada.vn/products/bia-chimay-trang-8-chimay-triple-nhap-khau-bi-1-thung-24-chai-330ml-i2952849688.html", "https://www.lazada.vn/products/bia-chimay-trang-8-chimay-triple-nhap-khau-bi-1-thung-24-chai-330ml-i2952849688.html")</f>
        <v>https://www.lazada.vn/products/bia-chimay-trang-8-chimay-triple-nhap-khau-bi-1-thung-24-chai-330ml-i2952849688.html</v>
      </c>
      <c r="C4437" s="10" t="s">
        <v>4437</v>
      </c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8">
        <v>9292.0</v>
      </c>
      <c r="B4438" s="9" t="str">
        <f>HYPERLINK("https://www.lazada.vn/products/combo-3-keo-sing-gum-cool-air-huong-bac-ha-khuynh-diep-hu-40-vien-i2924859955.html", "https://www.lazada.vn/products/combo-3-keo-sing-gum-cool-air-huong-bac-ha-khuynh-diep-hu-40-vien-i2924859955.html")</f>
        <v>https://www.lazada.vn/products/combo-3-keo-sing-gum-cool-air-huong-bac-ha-khuynh-diep-hu-40-vien-i2924859955.html</v>
      </c>
      <c r="C4438" s="10" t="s">
        <v>4438</v>
      </c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8">
        <v>9293.0</v>
      </c>
      <c r="B4439" s="9" t="str">
        <f>HYPERLINK("https://www.lazada.vn/products/set-che-long-nhan-hat-sen-nguyen-lieu-thuong-hang-loai-1-nau-duoc-20-chen-tiem-che-thanh-xuan-i2705552493.html", "https://www.lazada.vn/products/set-che-long-nhan-hat-sen-nguyen-lieu-thuong-hang-loai-1-nau-duoc-20-chen-tiem-che-thanh-xuan-i2705552493.html")</f>
        <v>https://www.lazada.vn/products/set-che-long-nhan-hat-sen-nguyen-lieu-thuong-hang-loai-1-nau-duoc-20-chen-tiem-che-thanh-xuan-i2705552493.html</v>
      </c>
      <c r="C4439" s="10" t="s">
        <v>4439</v>
      </c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8">
        <v>9294.0</v>
      </c>
      <c r="B4440" s="9" t="str">
        <f>HYPERLINK("https://www.lazada.vn/products/bristol-hop-xanh-340g-thit-xanh-hop-nguyen-vi-my-original-luncheon-loaf-i3036371452.html", "https://www.lazada.vn/products/bristol-hop-xanh-340g-thit-xanh-hop-nguyen-vi-my-original-luncheon-loaf-i3036371452.html")</f>
        <v>https://www.lazada.vn/products/bristol-hop-xanh-340g-thit-xanh-hop-nguyen-vi-my-original-luncheon-loaf-i3036371452.html</v>
      </c>
      <c r="C4440" s="10" t="s">
        <v>4440</v>
      </c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8">
        <v>9295.0</v>
      </c>
      <c r="B4441" s="9" t="str">
        <f>HYPERLINK("https://www.lazada.vn/products/ca-phe-sua-wake-up-cafe-sai-gon-456g-24-goi-x-19g-i2691346442.html", "https://www.lazada.vn/products/ca-phe-sua-wake-up-cafe-sai-gon-456g-24-goi-x-19g-i2691346442.html")</f>
        <v>https://www.lazada.vn/products/ca-phe-sua-wake-up-cafe-sai-gon-456g-24-goi-x-19g-i2691346442.html</v>
      </c>
      <c r="C4441" s="10" t="s">
        <v>4441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8">
        <v>9296.0</v>
      </c>
      <c r="B4442" s="9" t="str">
        <f>HYPERLINK("https://www.lazada.vn/products/combo-4-banh-trung-thu-thap-cam-ga-quay-it-trung-tan-tan-trong-luong-700g-banh-mem-it-ngot-i2732552432.html", "https://www.lazada.vn/products/combo-4-banh-trung-thu-thap-cam-ga-quay-it-trung-tan-tan-trong-luong-700g-banh-mem-it-ngot-i2732552432.html")</f>
        <v>https://www.lazada.vn/products/combo-4-banh-trung-thu-thap-cam-ga-quay-it-trung-tan-tan-trong-luong-700g-banh-mem-it-ngot-i2732552432.html</v>
      </c>
      <c r="C4442" s="10" t="s">
        <v>4442</v>
      </c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8">
        <v>9297.0</v>
      </c>
      <c r="B4443" s="9" t="str">
        <f>HYPERLINK("https://www.lazada.vn/products/siro-monin-700-ml-nhieu-huong-vi-monin-syrup-i2551853611.html", "https://www.lazada.vn/products/siro-monin-700-ml-nhieu-huong-vi-monin-syrup-i2551853611.html")</f>
        <v>https://www.lazada.vn/products/siro-monin-700-ml-nhieu-huong-vi-monin-syrup-i2551853611.html</v>
      </c>
      <c r="C4443" s="10" t="s">
        <v>4443</v>
      </c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8">
        <v>9298.0</v>
      </c>
      <c r="B4444" s="9" t="str">
        <f>HYPERLINK("https://www.lazada.vn/products/100g-chay-banh-phong-chay-vn-bich-chi-vegan-chips-halal-btn-hk-i2908630825.html", "https://www.lazada.vn/products/100g-chay-banh-phong-chay-vn-bich-chi-vegan-chips-halal-btn-hk-i2908630825.html")</f>
        <v>https://www.lazada.vn/products/100g-chay-banh-phong-chay-vn-bich-chi-vegan-chips-halal-btn-hk-i2908630825.html</v>
      </c>
      <c r="C4444" s="10" t="s">
        <v>4444</v>
      </c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8">
        <v>9299.0</v>
      </c>
      <c r="B4445" s="9" t="str">
        <f>HYPERLINK("https://www.lazada.vn/products/banh-trang-deo-phoi-suong-la-chuoi-sa-te-muoi-tac-i2579584063.html", "https://www.lazada.vn/products/banh-trang-deo-phoi-suong-la-chuoi-sa-te-muoi-tac-i2579584063.html")</f>
        <v>https://www.lazada.vn/products/banh-trang-deo-phoi-suong-la-chuoi-sa-te-muoi-tac-i2579584063.html</v>
      </c>
      <c r="C4445" s="10" t="s">
        <v>4445</v>
      </c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8">
        <v>9300.0</v>
      </c>
      <c r="B4446" s="9" t="str">
        <f>HYPERLINK("https://www.lazada.vn/products/sake-nhat-dewatsuru-sakura-emaki-360ml-11-119-i2202325251.html", "https://www.lazada.vn/products/sake-nhat-dewatsuru-sakura-emaki-360ml-11-119-i2202325251.html")</f>
        <v>https://www.lazada.vn/products/sake-nhat-dewatsuru-sakura-emaki-360ml-11-119-i2202325251.html</v>
      </c>
      <c r="C4446" s="10" t="s">
        <v>4446</v>
      </c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8">
        <v>9301.0</v>
      </c>
      <c r="B4447" s="9" t="str">
        <f>HYPERLINK("https://www.lazada.vn/products/combo-5-banh-bong-lan-pho-mai-tron-hap-sua-bo-tuoi-b159-chuyen-si-tpnk-i2651379128.html", "https://www.lazada.vn/products/combo-5-banh-bong-lan-pho-mai-tron-hap-sua-bo-tuoi-b159-chuyen-si-tpnk-i2651379128.html")</f>
        <v>https://www.lazada.vn/products/combo-5-banh-bong-lan-pho-mai-tron-hap-sua-bo-tuoi-b159-chuyen-si-tpnk-i2651379128.html</v>
      </c>
      <c r="C4447" s="10" t="s">
        <v>4447</v>
      </c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8">
        <v>9302.0</v>
      </c>
      <c r="B4448" s="9" t="str">
        <f>HYPERLINK("https://www.lazada.vn/products/keo-sua-bo-mong-comongolian-milk-tablets-i2763311650.html", "https://www.lazada.vn/products/keo-sua-bo-mong-comongolian-milk-tablets-i2763311650.html")</f>
        <v>https://www.lazada.vn/products/keo-sua-bo-mong-comongolian-milk-tablets-i2763311650.html</v>
      </c>
      <c r="C4448" s="10" t="s">
        <v>4448</v>
      </c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8">
        <v>9303.0</v>
      </c>
      <c r="B4449" s="9" t="str">
        <f>HYPERLINK("https://www.lazada.vn/products/bot-chuoi-chua-dau-da-day-hop-500g-i2692375906.html", "https://www.lazada.vn/products/bot-chuoi-chua-dau-da-day-hop-500g-i2692375906.html")</f>
        <v>https://www.lazada.vn/products/bot-chuoi-chua-dau-da-day-hop-500g-i2692375906.html</v>
      </c>
      <c r="C4449" s="10" t="s">
        <v>4449</v>
      </c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8">
        <v>9304.0</v>
      </c>
      <c r="B4450" s="9" t="str">
        <f>HYPERLINK("https://www.lazada.vn/products/keo-ngam-ho-khong-duong-vi-cam-zuckerfrei-pulmoll-50ghop-i1861445460.html", "https://www.lazada.vn/products/keo-ngam-ho-khong-duong-vi-cam-zuckerfrei-pulmoll-50ghop-i1861445460.html")</f>
        <v>https://www.lazada.vn/products/keo-ngam-ho-khong-duong-vi-cam-zuckerfrei-pulmoll-50ghop-i1861445460.html</v>
      </c>
      <c r="C4450" s="10" t="s">
        <v>4450</v>
      </c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8">
        <v>9305.0</v>
      </c>
      <c r="B4451" s="9" t="str">
        <f>HYPERLINK("https://www.lazada.vn/products/banh-pia-dau-xanh-sau-rieng-tlp-chay-tui-350g-4-banh-dac-san-soc-trang-i2730533022.html", "https://www.lazada.vn/products/banh-pia-dau-xanh-sau-rieng-tlp-chay-tui-350g-4-banh-dac-san-soc-trang-i2730533022.html")</f>
        <v>https://www.lazada.vn/products/banh-pia-dau-xanh-sau-rieng-tlp-chay-tui-350g-4-banh-dac-san-soc-trang-i2730533022.html</v>
      </c>
      <c r="C4451" s="10" t="s">
        <v>4451</v>
      </c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8">
        <v>9306.0</v>
      </c>
      <c r="B4452" s="9" t="str">
        <f>HYPERLINK("https://www.lazada.vn/products/vang-da-lat-classic-do-i2647438346.html", "https://www.lazada.vn/products/vang-da-lat-classic-do-i2647438346.html")</f>
        <v>https://www.lazada.vn/products/vang-da-lat-classic-do-i2647438346.html</v>
      </c>
      <c r="C4452" s="10" t="s">
        <v>4452</v>
      </c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8">
        <v>9307.0</v>
      </c>
      <c r="B4453" s="9" t="str">
        <f>HYPERLINK("https://www.lazada.vn/products/loc-6-lon-do-uong-co-con-196-chua-vodka-vi-chanh-vi-dao-i2800099591.html", "https://www.lazada.vn/products/loc-6-lon-do-uong-co-con-196-chua-vodka-vi-chanh-vi-dao-i2800099591.html")</f>
        <v>https://www.lazada.vn/products/loc-6-lon-do-uong-co-con-196-chua-vodka-vi-chanh-vi-dao-i2800099591.html</v>
      </c>
      <c r="C4453" s="10" t="s">
        <v>4453</v>
      </c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8">
        <v>9308.0</v>
      </c>
      <c r="B4454" s="9" t="str">
        <f>HYPERLINK("https://www.lazada.vn/products/khoai-say-deo-500g-1kg-i2923627733.html", "https://www.lazada.vn/products/khoai-say-deo-500g-1kg-i2923627733.html")</f>
        <v>https://www.lazada.vn/products/khoai-say-deo-500g-1kg-i2923627733.html</v>
      </c>
      <c r="C4454" s="10" t="s">
        <v>4454</v>
      </c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8">
        <v>9309.0</v>
      </c>
      <c r="B4455" s="9" t="str">
        <f>HYPERLINK("https://www.lazada.vn/products/thach-zaizai-duc-hanh-mix-vi-trai-cay-1kg-28-cay-i2458362970.html", "https://www.lazada.vn/products/thach-zaizai-duc-hanh-mix-vi-trai-cay-1kg-28-cay-i2458362970.html")</f>
        <v>https://www.lazada.vn/products/thach-zaizai-duc-hanh-mix-vi-trai-cay-1kg-28-cay-i2458362970.html</v>
      </c>
      <c r="C4455" s="10" t="s">
        <v>4455</v>
      </c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8">
        <v>9310.0</v>
      </c>
      <c r="B4456" s="9" t="str">
        <f>HYPERLINK("https://www.lazada.vn/products/vodka-dai-loc-special-brand-39-750ml-co-hop-i3019529156.html", "https://www.lazada.vn/products/vodka-dai-loc-special-brand-39-750ml-co-hop-i3019529156.html")</f>
        <v>https://www.lazada.vn/products/vodka-dai-loc-special-brand-39-750ml-co-hop-i3019529156.html</v>
      </c>
      <c r="C4456" s="10" t="s">
        <v>4456</v>
      </c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8">
        <v>9311.0</v>
      </c>
      <c r="B4457" s="9" t="str">
        <f>HYPERLINK("https://www.lazada.vn/products/20h-243-293-tang-combo-5-lays-combo-5-lays-tu-nhien-tao-bien-suon-bo-tom-cang-pho-mai-90g-i2757207290.html", "https://www.lazada.vn/products/20h-243-293-tang-combo-5-lays-combo-5-lays-tu-nhien-tao-bien-suon-bo-tom-cang-pho-mai-90g-i2757207290.html")</f>
        <v>https://www.lazada.vn/products/20h-243-293-tang-combo-5-lays-combo-5-lays-tu-nhien-tao-bien-suon-bo-tom-cang-pho-mai-90g-i2757207290.html</v>
      </c>
      <c r="C4457" s="10" t="s">
        <v>4457</v>
      </c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8">
        <v>9312.0</v>
      </c>
      <c r="B4458" s="9" t="str">
        <f>HYPERLINK("https://www.lazada.vn/products/date-122025-banh-quy-danisa-limited-gold-edition-i1694004334.html", "https://www.lazada.vn/products/date-122025-banh-quy-danisa-limited-gold-edition-i1694004334.html")</f>
        <v>https://www.lazada.vn/products/date-122025-banh-quy-danisa-limited-gold-edition-i1694004334.html</v>
      </c>
      <c r="C4458" s="10" t="s">
        <v>4458</v>
      </c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8">
        <v>9313.0</v>
      </c>
      <c r="B4459" s="9" t="str">
        <f>HYPERLINK("https://www.lazada.vn/products/coop-online-chao-gau-do-ga-50g-i2860332286.html", "https://www.lazada.vn/products/coop-online-chao-gau-do-ga-50g-i2860332286.html")</f>
        <v>https://www.lazada.vn/products/coop-online-chao-gau-do-ga-50g-i2860332286.html</v>
      </c>
      <c r="C4459" s="10" t="s">
        <v>4459</v>
      </c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8">
        <v>9314.0</v>
      </c>
      <c r="B4460" s="9" t="str">
        <f>HYPERLINK("https://www.lazada.vn/products/applam-200g-50pcs-in-1-pack-i1747153351.html", "https://www.lazada.vn/products/applam-200g-50pcs-in-1-pack-i1747153351.html")</f>
        <v>https://www.lazada.vn/products/applam-200g-50pcs-in-1-pack-i1747153351.html</v>
      </c>
      <c r="C4460" s="10" t="s">
        <v>4460</v>
      </c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8">
        <v>9315.0</v>
      </c>
      <c r="B4461" s="9" t="str">
        <f>HYPERLINK("https://www.lazada.vn/products/1kg-mam-ca-tren-i1984530650.html", "https://www.lazada.vn/products/1kg-mam-ca-tren-i1984530650.html")</f>
        <v>https://www.lazada.vn/products/1kg-mam-ca-tren-i1984530650.html</v>
      </c>
      <c r="C4461" s="10" t="s">
        <v>4461</v>
      </c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8">
        <v>9316.0</v>
      </c>
      <c r="B4462" s="9" t="str">
        <f>HYPERLINK("https://www.lazada.vn/products/bia-la-trappe-trappist-quadrupel-10-nhap-khau-ha-lan-1-thung-24-chai-330ml-i2952771849.html", "https://www.lazada.vn/products/bia-la-trappe-trappist-quadrupel-10-nhap-khau-ha-lan-1-thung-24-chai-330ml-i2952771849.html")</f>
        <v>https://www.lazada.vn/products/bia-la-trappe-trappist-quadrupel-10-nhap-khau-ha-lan-1-thung-24-chai-330ml-i2952771849.html</v>
      </c>
      <c r="C4462" s="10" t="s">
        <v>4462</v>
      </c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8">
        <v>9317.0</v>
      </c>
      <c r="B4463" s="9" t="str">
        <f>HYPERLINK("https://www.lazada.vn/products/500g-khoai-lang-tam-mat-ong-khoai-say-gion-da-la-i1531959237.html", "https://www.lazada.vn/products/500g-khoai-lang-tam-mat-ong-khoai-say-gion-da-la-i1531959237.html")</f>
        <v>https://www.lazada.vn/products/500g-khoai-lang-tam-mat-ong-khoai-say-gion-da-la-i1531959237.html</v>
      </c>
      <c r="C4463" s="10" t="s">
        <v>4463</v>
      </c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8">
        <v>9318.0</v>
      </c>
      <c r="B4464" s="9" t="str">
        <f>HYPERLINK("https://www.lazada.vn/products/dongwon-hop-ot-100g-ca-ngu-vi-ot-ca-gap-doi-han-quoc-double-hot-pepper-tuna-i3036362142.html", "https://www.lazada.vn/products/dongwon-hop-ot-100g-ca-ngu-vi-ot-ca-gap-doi-han-quoc-double-hot-pepper-tuna-i3036362142.html")</f>
        <v>https://www.lazada.vn/products/dongwon-hop-ot-100g-ca-ngu-vi-ot-ca-gap-doi-han-quoc-double-hot-pepper-tuna-i3036362142.html</v>
      </c>
      <c r="C4464" s="10" t="s">
        <v>4464</v>
      </c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8">
        <v>9319.0</v>
      </c>
      <c r="B4465" s="9" t="str">
        <f>HYPERLINK("https://www.lazada.vn/products/date-102024-siro-genexa-kids-pain-fever-118ml-cho-tre-tu-2-tuoi-san-pham-duoc-yeu-thich-tren-thi-truong-hien-tay-dung-rat-tot-luon-a-dam-bao-dung-rat-thich-khach-yeu-trai-nghiem-ung-ho-shop-nhe-i2548902243.html", "https://www.lazada.vn/products/date-102024-siro-genexa-kids-pain-fever-118ml-cho-tre-tu-2-tuoi-san-pham-duoc-yeu-thich-tren-thi-truong-hien-tay-dung-rat-tot-luon-a-dam-bao-dung-rat-thich-khach-yeu-trai-nghiem-ung-ho-shop-nhe-i2548902243.html")</f>
        <v>https://www.lazada.vn/products/date-102024-siro-genexa-kids-pain-fever-118ml-cho-tre-tu-2-tuoi-san-pham-duoc-yeu-thich-tren-thi-truong-hien-tay-dung-rat-tot-luon-a-dam-bao-dung-rat-thich-khach-yeu-trai-nghiem-ung-ho-shop-nhe-i2548902243.html</v>
      </c>
      <c r="C4465" s="10" t="s">
        <v>4465</v>
      </c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8">
        <v>9320.0</v>
      </c>
      <c r="B4466" s="9" t="str">
        <f>HYPERLINK("https://www.lazada.vn/products/nuoc-mo-len-men-kirin-mercian-makoi-umeshu-2l-du-hang-noi-dia-nhat-100-i1998956305.html", "https://www.lazada.vn/products/nuoc-mo-len-men-kirin-mercian-makoi-umeshu-2l-du-hang-noi-dia-nhat-100-i1998956305.html")</f>
        <v>https://www.lazada.vn/products/nuoc-mo-len-men-kirin-mercian-makoi-umeshu-2l-du-hang-noi-dia-nhat-100-i1998956305.html</v>
      </c>
      <c r="C4466" s="10" t="s">
        <v>4466</v>
      </c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8">
        <v>9321.0</v>
      </c>
      <c r="B4467" s="9" t="str">
        <f>HYPERLINK("https://www.lazada.vn/products/tinh-bot-chuoi-tieu-xanh-ham-luong-287-tinh-bot-khang-chua-tri-dai-trang-da-day-tieu-duong-i2691854303.html", "https://www.lazada.vn/products/tinh-bot-chuoi-tieu-xanh-ham-luong-287-tinh-bot-khang-chua-tri-dai-trang-da-day-tieu-duong-i2691854303.html")</f>
        <v>https://www.lazada.vn/products/tinh-bot-chuoi-tieu-xanh-ham-luong-287-tinh-bot-khang-chua-tri-dai-trang-da-day-tieu-duong-i2691854303.html</v>
      </c>
      <c r="C4467" s="10" t="s">
        <v>4467</v>
      </c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8">
        <v>9322.0</v>
      </c>
      <c r="B4468" s="9" t="str">
        <f>HYPERLINK("https://www.lazada.vn/products/bich-1kg-che-thanh-nhiet-thai-binh-i2704504634.html", "https://www.lazada.vn/products/bich-1kg-che-thanh-nhiet-thai-binh-i2704504634.html")</f>
        <v>https://www.lazada.vn/products/bich-1kg-che-thanh-nhiet-thai-binh-i2704504634.html</v>
      </c>
      <c r="C4468" s="10" t="s">
        <v>4468</v>
      </c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8">
        <v>9323.0</v>
      </c>
      <c r="B4469" s="9" t="str">
        <f>HYPERLINK("https://www.lazada.vn/products/chocolate-solidarnosc-nhan-man-chau-au-plum-in-chocolate-365g-va-250g-i2923999350.html", "https://www.lazada.vn/products/chocolate-solidarnosc-nhan-man-chau-au-plum-in-chocolate-365g-va-250g-i2923999350.html")</f>
        <v>https://www.lazada.vn/products/chocolate-solidarnosc-nhan-man-chau-au-plum-in-chocolate-365g-va-250g-i2923999350.html</v>
      </c>
      <c r="C4469" s="10" t="s">
        <v>4469</v>
      </c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8">
        <v>9324.0</v>
      </c>
      <c r="B4470" s="9" t="str">
        <f>HYPERLINK("https://www.lazada.vn/products/ca-phe-sua-vinacafe-gold-original-480g-24-goi-x-20g-i2691334372.html", "https://www.lazada.vn/products/ca-phe-sua-vinacafe-gold-original-480g-24-goi-x-20g-i2691334372.html")</f>
        <v>https://www.lazada.vn/products/ca-phe-sua-vinacafe-gold-original-480g-24-goi-x-20g-i2691334372.html</v>
      </c>
      <c r="C4470" s="10" t="s">
        <v>4470</v>
      </c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8">
        <v>9325.0</v>
      </c>
      <c r="B4471" s="9" t="str">
        <f>HYPERLINK("https://www.lazada.vn/products/banh-lot-kho-banh-lot-la-dua-tui-1kg-i2908003183.html", "https://www.lazada.vn/products/banh-lot-kho-banh-lot-la-dua-tui-1kg-i2908003183.html")</f>
        <v>https://www.lazada.vn/products/banh-lot-kho-banh-lot-la-dua-tui-1kg-i2908003183.html</v>
      </c>
      <c r="C4471" s="10" t="s">
        <v>4471</v>
      </c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8">
        <v>9326.0</v>
      </c>
      <c r="B4472" s="9" t="str">
        <f>HYPERLINK("https://www.lazada.vn/products/banh-pia-dau-xanh-la-dua-sau-rieng-tlp-chay-tui-350g-4-banh-dac-san-soc-trang-i2730521006.html", "https://www.lazada.vn/products/banh-pia-dau-xanh-la-dua-sau-rieng-tlp-chay-tui-350g-4-banh-dac-san-soc-trang-i2730521006.html")</f>
        <v>https://www.lazada.vn/products/banh-pia-dau-xanh-la-dua-sau-rieng-tlp-chay-tui-350g-4-banh-dac-san-soc-trang-i2730521006.html</v>
      </c>
      <c r="C4472" s="10" t="s">
        <v>4472</v>
      </c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8">
        <v>9327.0</v>
      </c>
      <c r="B4473" s="9" t="str">
        <f>HYPERLINK("https://www.lazada.vn/products/keo-mut-chupa-chups-huong-trai-cay-hon-hop-que-93g-giao-mau-ngau-nhien-i2762314100.html", "https://www.lazada.vn/products/keo-mut-chupa-chups-huong-trai-cay-hon-hop-que-93g-giao-mau-ngau-nhien-i2762314100.html")</f>
        <v>https://www.lazada.vn/products/keo-mut-chupa-chups-huong-trai-cay-hon-hop-que-93g-giao-mau-ngau-nhien-i2762314100.html</v>
      </c>
      <c r="C4473" s="10" t="s">
        <v>4473</v>
      </c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8">
        <v>9328.0</v>
      </c>
      <c r="B4474" s="9" t="str">
        <f>HYPERLINK("https://www.lazada.vn/products/keo-ngam-ho-khong-duong-vi-cam-zuckerfrei-pulmoll-50ghop-i1795699077.html", "https://www.lazada.vn/products/keo-ngam-ho-khong-duong-vi-cam-zuckerfrei-pulmoll-50ghop-i1795699077.html")</f>
        <v>https://www.lazada.vn/products/keo-ngam-ho-khong-duong-vi-cam-zuckerfrei-pulmoll-50ghop-i1795699077.html</v>
      </c>
      <c r="C4474" s="10" t="s">
        <v>4474</v>
      </c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8">
        <v>9329.0</v>
      </c>
      <c r="B4475" s="9" t="str">
        <f>HYPERLINK("https://www.lazada.vn/products/banh-trang-xi-ke-muoi-nhuyen-tay-ninh-bich-lon-60g-i2561905743.html", "https://www.lazada.vn/products/banh-trang-xi-ke-muoi-nhuyen-tay-ninh-bich-lon-60g-i2561905743.html")</f>
        <v>https://www.lazada.vn/products/banh-trang-xi-ke-muoi-nhuyen-tay-ninh-bich-lon-60g-i2561905743.html</v>
      </c>
      <c r="C4475" s="10" t="s">
        <v>4475</v>
      </c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8">
        <v>9330.0</v>
      </c>
      <c r="B4476" s="9" t="str">
        <f>HYPERLINK("https://www.lazada.vn/products/combo-5-banh-bong-lan-pho-mai-tron-hap-sua-bo-tuoi-b159-beegin-food-shop-i2651256397.html", "https://www.lazada.vn/products/combo-5-banh-bong-lan-pho-mai-tron-hap-sua-bo-tuoi-b159-beegin-food-shop-i2651256397.html")</f>
        <v>https://www.lazada.vn/products/combo-5-banh-bong-lan-pho-mai-tron-hap-sua-bo-tuoi-b159-beegin-food-shop-i2651256397.html</v>
      </c>
      <c r="C4476" s="10" t="s">
        <v>4476</v>
      </c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8">
        <v>9331.0</v>
      </c>
      <c r="B4477" s="9" t="str">
        <f>HYPERLINK("https://www.lazada.vn/products/banh-pia-dac-biet-tlp-nhan-trung-xay-vi-dau-xanh-sau-rieng-tui-350g-4-banh-dac-san-soc-trang-i2730503126.html", "https://www.lazada.vn/products/banh-pia-dac-biet-tlp-nhan-trung-xay-vi-dau-xanh-sau-rieng-tui-350g-4-banh-dac-san-soc-trang-i2730503126.html")</f>
        <v>https://www.lazada.vn/products/banh-pia-dac-biet-tlp-nhan-trung-xay-vi-dau-xanh-sau-rieng-tui-350g-4-banh-dac-san-soc-trang-i2730503126.html</v>
      </c>
      <c r="C4477" s="10" t="s">
        <v>4477</v>
      </c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8">
        <v>9332.0</v>
      </c>
      <c r="B4478" s="9" t="str">
        <f>HYPERLINK("https://www.lazada.vn/products/vang-chile-bich-3-lit-amor-de-chile-i2647416472.html", "https://www.lazada.vn/products/vang-chile-bich-3-lit-amor-de-chile-i2647416472.html")</f>
        <v>https://www.lazada.vn/products/vang-chile-bich-3-lit-amor-de-chile-i2647416472.html</v>
      </c>
      <c r="C4478" s="10" t="s">
        <v>4478</v>
      </c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8">
        <v>9333.0</v>
      </c>
      <c r="B4479" s="9" t="str">
        <f>HYPERLINK("https://www.lazada.vn/products/nuoc-trai-cay-sparkling-mamapop-vi-buoi-hong-4lonx330-ml-i2799736680.html", "https://www.lazada.vn/products/nuoc-trai-cay-sparkling-mamapop-vi-buoi-hong-4lonx330-ml-i2799736680.html")</f>
        <v>https://www.lazada.vn/products/nuoc-trai-cay-sparkling-mamapop-vi-buoi-hong-4lonx330-ml-i2799736680.html</v>
      </c>
      <c r="C4479" s="10" t="s">
        <v>4479</v>
      </c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8">
        <v>9334.0</v>
      </c>
      <c r="B4480" s="9" t="str">
        <f>HYPERLINK("https://www.lazada.vn/products/thach-sua-chua-natty-collagen-1-goi-500g-i2458172306.html", "https://www.lazada.vn/products/thach-sua-chua-natty-collagen-1-goi-500g-i2458172306.html")</f>
        <v>https://www.lazada.vn/products/thach-sua-chua-natty-collagen-1-goi-500g-i2458172306.html</v>
      </c>
      <c r="C4480" s="10" t="s">
        <v>4480</v>
      </c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8">
        <v>9335.0</v>
      </c>
      <c r="B4481" s="9" t="str">
        <f>HYPERLINK("https://www.lazada.vn/products/strawberry-dried-freeze-100g-snack-baked-goods-special-for-pregnant-women-pure-dry-fruit-crisp-slice-dried-fruit-from-china-i2923625560.html", "https://www.lazada.vn/products/strawberry-dried-freeze-100g-snack-baked-goods-special-for-pregnant-women-pure-dry-fruit-crisp-slice-dried-fruit-from-china-i2923625560.html")</f>
        <v>https://www.lazada.vn/products/strawberry-dried-freeze-100g-snack-baked-goods-special-for-pregnant-women-pure-dry-fruit-crisp-slice-dried-fruit-from-china-i2923625560.html</v>
      </c>
      <c r="C4481" s="10" t="s">
        <v>4481</v>
      </c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8">
        <v>9336.0</v>
      </c>
      <c r="B4482" s="9" t="str">
        <f>HYPERLINK("https://www.lazada.vn/products/1-goi-500g-i2458118631.html", "https://www.lazada.vn/products/1-goi-500g-i2458118631.html")</f>
        <v>https://www.lazada.vn/products/1-goi-500g-i2458118631.html</v>
      </c>
      <c r="C4482" s="10" t="s">
        <v>4482</v>
      </c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8">
        <v>9337.0</v>
      </c>
      <c r="B4483" s="9" t="str">
        <f>HYPERLINK("https://www.lazada.vn/products/dragon-fruit-dried-freeze-500g-snack-baking-ingredient-dehydrated-affordable-family-pack-for-pregnant-women-and-children-i2923621671.html", "https://www.lazada.vn/products/dragon-fruit-dried-freeze-500g-snack-baking-ingredient-dehydrated-affordable-family-pack-for-pregnant-women-and-children-i2923621671.html")</f>
        <v>https://www.lazada.vn/products/dragon-fruit-dried-freeze-500g-snack-baking-ingredient-dehydrated-affordable-family-pack-for-pregnant-women-and-children-i2923621671.html</v>
      </c>
      <c r="C4483" s="10" t="s">
        <v>4483</v>
      </c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8">
        <v>9338.0</v>
      </c>
      <c r="B4484" s="9" t="str">
        <f>HYPERLINK("https://www.lazada.vn/products/20h-243-293-tang-combo-5-lays-combo-5-lays-tu-nhien-tao-bien-90g-max-wagyu-kem-chua-tao-bien-75g-i2757177457.html", "https://www.lazada.vn/products/20h-243-293-tang-combo-5-lays-combo-5-lays-tu-nhien-tao-bien-90g-max-wagyu-kem-chua-tao-bien-75g-i2757177457.html")</f>
        <v>https://www.lazada.vn/products/20h-243-293-tang-combo-5-lays-combo-5-lays-tu-nhien-tao-bien-90g-max-wagyu-kem-chua-tao-bien-75g-i2757177457.html</v>
      </c>
      <c r="C4484" s="10" t="s">
        <v>4484</v>
      </c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8">
        <v>9339.0</v>
      </c>
      <c r="B4485" s="9" t="str">
        <f>HYPERLINK("https://www.lazada.vn/products/vodka-ha-noi-men-class-295-500ml-i3019481419.html", "https://www.lazada.vn/products/vodka-ha-noi-men-class-295-500ml-i3019481419.html")</f>
        <v>https://www.lazada.vn/products/vodka-ha-noi-men-class-295-500ml-i3019481419.html</v>
      </c>
      <c r="C4485" s="10" t="s">
        <v>4485</v>
      </c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8">
        <v>9340.0</v>
      </c>
      <c r="B4486" s="9" t="str">
        <f>HYPERLINK("https://www.lazada.vn/products/banh-trung-tipo-huu-nghi-cream-egg-cookies-hop-39g-i1691341746.html", "https://www.lazada.vn/products/banh-trung-tipo-huu-nghi-cream-egg-cookies-hop-39g-i1691341746.html")</f>
        <v>https://www.lazada.vn/products/banh-trung-tipo-huu-nghi-cream-egg-cookies-hop-39g-i1691341746.html</v>
      </c>
      <c r="C4486" s="10" t="s">
        <v>4486</v>
      </c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8">
        <v>9341.0</v>
      </c>
      <c r="B4487" s="9" t="str">
        <f>HYPERLINK("https://www.lazada.vn/products/coop-online-chao-gau-do-thit-bam-50g-i2860332285.html", "https://www.lazada.vn/products/coop-online-chao-gau-do-thit-bam-50g-i2860332285.html")</f>
        <v>https://www.lazada.vn/products/coop-online-chao-gau-do-thit-bam-50g-i2860332285.html</v>
      </c>
      <c r="C4487" s="10" t="s">
        <v>4487</v>
      </c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8">
        <v>9342.0</v>
      </c>
      <c r="B4488" s="9" t="str">
        <f>HYPERLINK("https://www.lazada.vn/products/soya-sticks-bikaji-200g-i1747141292.html", "https://www.lazada.vn/products/soya-sticks-bikaji-200g-i1747141292.html")</f>
        <v>https://www.lazada.vn/products/soya-sticks-bikaji-200g-i1747141292.html</v>
      </c>
      <c r="C4488" s="10" t="s">
        <v>4488</v>
      </c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8">
        <v>9343.0</v>
      </c>
      <c r="B4489" s="9" t="str">
        <f>HYPERLINK("https://www.lazada.vn/products/hai-san-dong-hop-bao-ngu-tom-hum-dat-hau-sua-muc-trung-so-diep-bach-tuoc-oc-giac-du-7-vi-hop-100gr-taiwan-foods-i1983415545.html", "https://www.lazada.vn/products/hai-san-dong-hop-bao-ngu-tom-hum-dat-hau-sua-muc-trung-so-diep-bach-tuoc-oc-giac-du-7-vi-hop-100gr-taiwan-foods-i1983415545.html")</f>
        <v>https://www.lazada.vn/products/hai-san-dong-hop-bao-ngu-tom-hum-dat-hau-sua-muc-trung-so-diep-bach-tuoc-oc-giac-du-7-vi-hop-100gr-taiwan-foods-i1983415545.html</v>
      </c>
      <c r="C4489" s="10" t="s">
        <v>4489</v>
      </c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8">
        <v>9344.0</v>
      </c>
      <c r="B4490" s="9" t="str">
        <f>HYPERLINK("https://www.lazada.vn/products/bia-la-trappe-dubbel-7-nhap-khau-ha-lan-1-thung-24-chai-330ml-i2952660193.html", "https://www.lazada.vn/products/bia-la-trappe-dubbel-7-nhap-khau-ha-lan-1-thung-24-chai-330ml-i2952660193.html")</f>
        <v>https://www.lazada.vn/products/bia-la-trappe-dubbel-7-nhap-khau-ha-lan-1-thung-24-chai-330ml-i2952660193.html</v>
      </c>
      <c r="C4490" s="10" t="s">
        <v>4490</v>
      </c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8">
        <v>9345.0</v>
      </c>
      <c r="B4491" s="9" t="str">
        <f>HYPERLINK("https://www.lazada.vn/products/du-mui-thach-rau-cau-3d-dai-long-hop-25kg-i2548629538.html", "https://www.lazada.vn/products/du-mui-thach-rau-cau-3d-dai-long-hop-25kg-i2548629538.html")</f>
        <v>https://www.lazada.vn/products/du-mui-thach-rau-cau-3d-dai-long-hop-25kg-i2548629538.html</v>
      </c>
      <c r="C4491" s="10" t="s">
        <v>4491</v>
      </c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8">
        <v>9346.0</v>
      </c>
      <c r="B4492" s="9" t="str">
        <f>HYPERLINK("https://www.lazada.vn/products/1-thung-nuoc-ngot-co-gas-pepsi-320ml-i2545508384.html", "https://www.lazada.vn/products/1-thung-nuoc-ngot-co-gas-pepsi-320ml-i2545508384.html")</f>
        <v>https://www.lazada.vn/products/1-thung-nuoc-ngot-co-gas-pepsi-320ml-i2545508384.html</v>
      </c>
      <c r="C4492" s="10" t="s">
        <v>4492</v>
      </c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8">
        <v>9347.0</v>
      </c>
      <c r="B4493" s="9" t="str">
        <f>HYPERLINK("https://www.lazada.vn/products/vissan-hop-150g-mam-chung-trung-vit-muoi-steamed-egg-with-fermented-fish-i3036358238.html", "https://www.lazada.vn/products/vissan-hop-150g-mam-chung-trung-vit-muoi-steamed-egg-with-fermented-fish-i3036358238.html")</f>
        <v>https://www.lazada.vn/products/vissan-hop-150g-mam-chung-trung-vit-muoi-steamed-egg-with-fermented-fish-i3036358238.html</v>
      </c>
      <c r="C4493" s="10" t="s">
        <v>4493</v>
      </c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8">
        <v>9348.0</v>
      </c>
      <c r="B4494" s="9" t="str">
        <f>HYPERLINK("https://www.lazada.vn/products/combo-10-goi-my-pho-hu-tieu-tu-chon-buffe-i1526563189.html", "https://www.lazada.vn/products/combo-10-goi-my-pho-hu-tieu-tu-chon-buffe-i1526563189.html")</f>
        <v>https://www.lazada.vn/products/combo-10-goi-my-pho-hu-tieu-tu-chon-buffe-i1526563189.html</v>
      </c>
      <c r="C4494" s="10" t="s">
        <v>4494</v>
      </c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8">
        <v>9349.0</v>
      </c>
      <c r="B4495" s="9" t="str">
        <f>HYPERLINK("https://www.lazada.vn/products/combo-5-bich-ca-phe-den-da-nescafe-cafe-viet-bich-560g-35-goi-x-16g-i2691329501.html", "https://www.lazada.vn/products/combo-5-bich-ca-phe-den-da-nescafe-cafe-viet-bich-560g-35-goi-x-16g-i2691329501.html")</f>
        <v>https://www.lazada.vn/products/combo-5-bich-ca-phe-den-da-nescafe-cafe-viet-bich-560g-35-goi-x-16g-i2691329501.html</v>
      </c>
      <c r="C4495" s="10" t="s">
        <v>4495</v>
      </c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8">
        <v>9350.0</v>
      </c>
      <c r="B4496" s="9" t="str">
        <f>HYPERLINK("https://www.lazada.vn/products/freeship-toi-tim-da-lat-nha-trong-thom-ngon-de-boc-khong-chat-bao-quan-05kg-1kg-giao-nhanh-tp-hcm-i1519730036.html", "https://www.lazada.vn/products/freeship-toi-tim-da-lat-nha-trong-thom-ngon-de-boc-khong-chat-bao-quan-05kg-1kg-giao-nhanh-tp-hcm-i1519730036.html")</f>
        <v>https://www.lazada.vn/products/freeship-toi-tim-da-lat-nha-trong-thom-ngon-de-boc-khong-chat-bao-quan-05kg-1kg-giao-nhanh-tp-hcm-i1519730036.html</v>
      </c>
      <c r="C4496" s="10" t="s">
        <v>4496</v>
      </c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8">
        <v>9351.0</v>
      </c>
      <c r="B4497" s="9" t="str">
        <f>HYPERLINK("https://www.lazada.vn/products/mo-xanh-choya-ki-shu-720ml-hang-chuan-nhat-i1960495860.html", "https://www.lazada.vn/products/mo-xanh-choya-ki-shu-720ml-hang-chuan-nhat-i1960495860.html")</f>
        <v>https://www.lazada.vn/products/mo-xanh-choya-ki-shu-720ml-hang-chuan-nhat-i1960495860.html</v>
      </c>
      <c r="C4497" s="10" t="s">
        <v>4497</v>
      </c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8">
        <v>9352.0</v>
      </c>
      <c r="B4498" s="9" t="str">
        <f>HYPERLINK("https://www.lazada.vn/products/combo-5-goi-combo-10-goi-banh-dua-nuong-bao-linh-dac-san-quang-nam-i2906172005.html", "https://www.lazada.vn/products/combo-5-goi-combo-10-goi-banh-dua-nuong-bao-linh-dac-san-quang-nam-i2906172005.html")</f>
        <v>https://www.lazada.vn/products/combo-5-goi-combo-10-goi-banh-dua-nuong-bao-linh-dac-san-quang-nam-i2906172005.html</v>
      </c>
      <c r="C4498" s="10" t="s">
        <v>4498</v>
      </c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8">
        <v>9353.0</v>
      </c>
      <c r="B4499" s="9" t="str">
        <f>HYPERLINK("https://www.lazada.vn/products/dung-bo-lo-hop-30-goi-tra-dong-trung-tu-vi-tao-do-long-nhan-ky-tu-nam-dong-trung-ha-thao-i2704141824.html", "https://www.lazada.vn/products/dung-bo-lo-hop-30-goi-tra-dong-trung-tu-vi-tao-do-long-nhan-ky-tu-nam-dong-trung-ha-thao-i2704141824.html")</f>
        <v>https://www.lazada.vn/products/dung-bo-lo-hop-30-goi-tra-dong-trung-tu-vi-tao-do-long-nhan-ky-tu-nam-dong-trung-ha-thao-i2704141824.html</v>
      </c>
      <c r="C4499" s="10" t="s">
        <v>4499</v>
      </c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8">
        <v>9354.0</v>
      </c>
      <c r="B4500" s="9" t="str">
        <f>HYPERLINK("https://www.lazada.vn/products/kdv-candy-high-end-chocolate-mixed-loose-wedding-sweets-500g-snack-cotton-candy-marshmallow-puffed-candy-russian-brand-i2923802646.html", "https://www.lazada.vn/products/kdv-candy-high-end-chocolate-mixed-loose-wedding-sweets-500g-snack-cotton-candy-marshmallow-puffed-candy-russian-brand-i2923802646.html")</f>
        <v>https://www.lazada.vn/products/kdv-candy-high-end-chocolate-mixed-loose-wedding-sweets-500g-snack-cotton-candy-marshmallow-puffed-candy-russian-brand-i2923802646.html</v>
      </c>
      <c r="C4500" s="10" t="s">
        <v>4500</v>
      </c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8">
        <v>9355.0</v>
      </c>
      <c r="B4501" s="9" t="str">
        <f>HYPERLINK("https://www.lazada.vn/products/nuoc-ngot-fanta-nhat-500ml-vi-cam-thung-24-lon-ly-trinh-15-i2541171288.html", "https://www.lazada.vn/products/nuoc-ngot-fanta-nhat-500ml-vi-cam-thung-24-lon-ly-trinh-15-i2541171288.html")</f>
        <v>https://www.lazada.vn/products/nuoc-ngot-fanta-nhat-500ml-vi-cam-thung-24-lon-ly-trinh-15-i2541171288.html</v>
      </c>
      <c r="C4501" s="10" t="s">
        <v>4501</v>
      </c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8">
        <v>9356.0</v>
      </c>
      <c r="B4502" s="9" t="str">
        <f>HYPERLINK("https://www.lazada.vn/products/keo-xuong-cho-matcha-cafe-do-an-vat-tuoi-tho-vi-chua-ngot-goi-15g-pf097-i2759656936.html", "https://www.lazada.vn/products/keo-xuong-cho-matcha-cafe-do-an-vat-tuoi-tho-vi-chua-ngot-goi-15g-pf097-i2759656936.html")</f>
        <v>https://www.lazada.vn/products/keo-xuong-cho-matcha-cafe-do-an-vat-tuoi-tho-vi-chua-ngot-goi-15g-pf097-i2759656936.html</v>
      </c>
      <c r="C4502" s="10" t="s">
        <v>4502</v>
      </c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8">
        <v>9357.0</v>
      </c>
      <c r="B4503" s="9" t="str">
        <f>HYPERLINK("https://www.lazada.vn/products/bia-86-black-79-lon-500ml-i1788558083.html", "https://www.lazada.vn/products/bia-86-black-79-lon-500ml-i1788558083.html")</f>
        <v>https://www.lazada.vn/products/bia-86-black-79-lon-500ml-i1788558083.html</v>
      </c>
      <c r="C4503" s="10" t="s">
        <v>4503</v>
      </c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8">
        <v>9358.0</v>
      </c>
      <c r="B4504" s="9" t="str">
        <f>HYPERLINK("https://www.lazada.vn/products/banh-mi-nuong-toastea-milk-rusk-i2649522804.html", "https://www.lazada.vn/products/banh-mi-nuong-toastea-milk-rusk-i2649522804.html")</f>
        <v>https://www.lazada.vn/products/banh-mi-nuong-toastea-milk-rusk-i2649522804.html</v>
      </c>
      <c r="C4504" s="10" t="s">
        <v>4504</v>
      </c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8">
        <v>9359.0</v>
      </c>
      <c r="B4505" s="9" t="str">
        <f>HYPERLINK("https://www.lazada.vn/products/banh-pia-la-dua-sau-rieng-tlp-chay-tui-250g-4-banh-dac-san-soc-trang-i2730339993.html", "https://www.lazada.vn/products/banh-pia-la-dua-sau-rieng-tlp-chay-tui-250g-4-banh-dac-san-soc-trang-i2730339993.html")</f>
        <v>https://www.lazada.vn/products/banh-pia-la-dua-sau-rieng-tlp-chay-tui-250g-4-banh-dac-san-soc-trang-i2730339993.html</v>
      </c>
      <c r="C4505" s="10" t="s">
        <v>4505</v>
      </c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8">
        <v>9360.0</v>
      </c>
      <c r="B4506" s="9" t="str">
        <f>HYPERLINK("https://www.lazada.vn/products/tui-1kg-banh-ngua-bong-tuoi-tho-do-an-vat-i2559517972.html", "https://www.lazada.vn/products/tui-1kg-banh-ngua-bong-tuoi-tho-do-an-vat-i2559517972.html")</f>
        <v>https://www.lazada.vn/products/tui-1kg-banh-ngua-bong-tuoi-tho-do-an-vat-i2559517972.html</v>
      </c>
      <c r="C4506" s="10" t="s">
        <v>4506</v>
      </c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8">
        <v>9361.0</v>
      </c>
      <c r="B4507" s="9" t="str">
        <f>HYPERLINK("https://www.lazada.vn/products/vang-louis-martine-ug-bordeaux-1938-i2647406520.html", "https://www.lazada.vn/products/vang-louis-martine-ug-bordeaux-1938-i2647406520.html")</f>
        <v>https://www.lazada.vn/products/vang-louis-martine-ug-bordeaux-1938-i2647406520.html</v>
      </c>
      <c r="C4507" s="10" t="s">
        <v>4507</v>
      </c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8">
        <v>9362.0</v>
      </c>
      <c r="B4508" s="9" t="str">
        <f>HYPERLINK("https://www.lazada.vn/products/nuoc-trai-cay-sparkling-mamapop-vi-bia-gung-0-do-4lon-x330ml-i2799735665.html", "https://www.lazada.vn/products/nuoc-trai-cay-sparkling-mamapop-vi-bia-gung-0-do-4lon-x330ml-i2799735665.html")</f>
        <v>https://www.lazada.vn/products/nuoc-trai-cay-sparkling-mamapop-vi-bia-gung-0-do-4lon-x330ml-i2799735665.html</v>
      </c>
      <c r="C4508" s="10" t="s">
        <v>4508</v>
      </c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8">
        <v>9363.0</v>
      </c>
      <c r="B4509" s="9" t="str">
        <f>HYPERLINK("https://www.lazada.vn/products/thach-bo-sung-canxi-1-goi-500g-i2458115348.html", "https://www.lazada.vn/products/thach-bo-sung-canxi-1-goi-500g-i2458115348.html")</f>
        <v>https://www.lazada.vn/products/thach-bo-sung-canxi-1-goi-500g-i2458115348.html</v>
      </c>
      <c r="C4509" s="10" t="s">
        <v>4509</v>
      </c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8">
        <v>9364.0</v>
      </c>
      <c r="B4510" s="9" t="str">
        <f>HYPERLINK("https://www.lazada.vn/products/hop-dung-trai-cay-dong-kho-da-dang-huong-vi-co-lop-phu-dried-fruit-mix-dried-mango-dried-durian-dried-strawberry-snack-healthy-i2923611845.html", "https://www.lazada.vn/products/hop-dung-trai-cay-dong-kho-da-dang-huong-vi-co-lop-phu-dried-fruit-mix-dried-mango-dried-durian-dried-strawberry-snack-healthy-i2923611845.html")</f>
        <v>https://www.lazada.vn/products/hop-dung-trai-cay-dong-kho-da-dang-huong-vi-co-lop-phu-dried-fruit-mix-dried-mango-dried-durian-dried-strawberry-snack-healthy-i2923611845.html</v>
      </c>
      <c r="C4510" s="10" t="s">
        <v>4510</v>
      </c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8">
        <v>9365.0</v>
      </c>
      <c r="B4511" s="9" t="str">
        <f>HYPERLINK("https://www.lazada.vn/products/20h-243-293-tang-combo-5-lays-combo-5-lays-muc-dai-loan-88g-bo-texas-90g-max-wagyu-kem-chua-tao-bien-75g-i2757156520.html", "https://www.lazada.vn/products/20h-243-293-tang-combo-5-lays-combo-5-lays-muc-dai-loan-88g-bo-texas-90g-max-wagyu-kem-chua-tao-bien-75g-i2757156520.html")</f>
        <v>https://www.lazada.vn/products/20h-243-293-tang-combo-5-lays-combo-5-lays-muc-dai-loan-88g-bo-texas-90g-max-wagyu-kem-chua-tao-bien-75g-i2757156520.html</v>
      </c>
      <c r="C4511" s="10" t="s">
        <v>4511</v>
      </c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8">
        <v>9366.0</v>
      </c>
      <c r="B4512" s="9" t="str">
        <f>HYPERLINK("https://www.lazada.vn/products/vodka-phap-denikoff-40-750ml-i3019476502.html", "https://www.lazada.vn/products/vodka-phap-denikoff-40-750ml-i3019476502.html")</f>
        <v>https://www.lazada.vn/products/vodka-phap-denikoff-40-750ml-i3019476502.html</v>
      </c>
      <c r="C4512" s="10" t="s">
        <v>4512</v>
      </c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8">
        <v>9367.0</v>
      </c>
      <c r="B4513" s="9" t="str">
        <f>HYPERLINK("https://www.lazada.vn/products/luong-kho-matcha-tra-xanh-goi-180g-tom-vang-i1690525580.html", "https://www.lazada.vn/products/luong-kho-matcha-tra-xanh-goi-180g-tom-vang-i1690525580.html")</f>
        <v>https://www.lazada.vn/products/luong-kho-matcha-tra-xanh-goi-180g-tom-vang-i1690525580.html</v>
      </c>
      <c r="C4513" s="10" t="s">
        <v>4513</v>
      </c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8">
        <v>9368.0</v>
      </c>
      <c r="B4514" s="9" t="str">
        <f>HYPERLINK("https://www.lazada.vn/products/1-hop-banh-deo-dau-xanh-i1687443004.html", "https://www.lazada.vn/products/1-hop-banh-deo-dau-xanh-i1687443004.html")</f>
        <v>https://www.lazada.vn/products/1-hop-banh-deo-dau-xanh-i1687443004.html</v>
      </c>
      <c r="C4514" s="10" t="s">
        <v>4514</v>
      </c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8">
        <v>9369.0</v>
      </c>
      <c r="B4515" s="9" t="str">
        <f>HYPERLINK("https://www.lazada.vn/products/coop-online-hu-tieu-kho-nhip-song-nam-vang-71g-i2860317344.html", "https://www.lazada.vn/products/coop-online-hu-tieu-kho-nhip-song-nam-vang-71g-i2860317344.html")</f>
        <v>https://www.lazada.vn/products/coop-online-hu-tieu-kho-nhip-song-nam-vang-71g-i2860317344.html</v>
      </c>
      <c r="C4515" s="10" t="s">
        <v>4515</v>
      </c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8">
        <v>9370.0</v>
      </c>
      <c r="B4516" s="9" t="str">
        <f>HYPERLINK("https://www.lazada.vn/products/shakar-para-homemade-500g-i1747101011.html", "https://www.lazada.vn/products/shakar-para-homemade-500g-i1747101011.html")</f>
        <v>https://www.lazada.vn/products/shakar-para-homemade-500g-i1747101011.html</v>
      </c>
      <c r="C4516" s="10" t="s">
        <v>4516</v>
      </c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8">
        <v>9371.0</v>
      </c>
      <c r="B4517" s="9" t="str">
        <f>HYPERLINK("https://www.lazada.vn/products/hat-sen-ngam-nuoc-duong-nif-560g-i1974910251.html", "https://www.lazada.vn/products/hat-sen-ngam-nuoc-duong-nif-560g-i1974910251.html")</f>
        <v>https://www.lazada.vn/products/hat-sen-ngam-nuoc-duong-nif-560g-i1974910251.html</v>
      </c>
      <c r="C4517" s="10" t="s">
        <v>4517</v>
      </c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8">
        <v>9372.0</v>
      </c>
      <c r="B4518" s="9" t="str">
        <f>HYPERLINK("https://www.lazada.vn/products/ngoc-lien-lo-tt-430g-dua-mon-rau-cu-ngam-preserved-vegetablets-i3036353226.html", "https://www.lazada.vn/products/ngoc-lien-lo-tt-430g-dua-mon-rau-cu-ngam-preserved-vegetablets-i3036353226.html")</f>
        <v>https://www.lazada.vn/products/ngoc-lien-lo-tt-430g-dua-mon-rau-cu-ngam-preserved-vegetablets-i3036353226.html</v>
      </c>
      <c r="C4518" s="10" t="s">
        <v>4518</v>
      </c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8">
        <v>9373.0</v>
      </c>
      <c r="B4519" s="9" t="str">
        <f>HYPERLINK("https://www.lazada.vn/products/siro-chang-thai-chai-1l-du-mui-i2548600291.html", "https://www.lazada.vn/products/siro-chang-thai-chai-1l-du-mui-i2548600291.html")</f>
        <v>https://www.lazada.vn/products/siro-chang-thai-chai-1l-du-mui-i2548600291.html</v>
      </c>
      <c r="C4519" s="10" t="s">
        <v>4519</v>
      </c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8">
        <v>9374.0</v>
      </c>
      <c r="B4520" s="9" t="str">
        <f>HYPERLINK("https://www.lazada.vn/products/thung-mi-tom-omni-30-goi-i1508801279.html", "https://www.lazada.vn/products/thung-mi-tom-omni-30-goi-i1508801279.html")</f>
        <v>https://www.lazada.vn/products/thung-mi-tom-omni-30-goi-i1508801279.html</v>
      </c>
      <c r="C4520" s="10" t="s">
        <v>4520</v>
      </c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8">
        <v>9375.0</v>
      </c>
      <c r="B4521" s="9" t="str">
        <f>HYPERLINK("https://www.lazada.vn/products/ca-phe-sua-g7-3-in-1-bich-800g-gom-50-goi-i2691322644.html", "https://www.lazada.vn/products/ca-phe-sua-g7-3-in-1-bich-800g-gom-50-goi-i2691322644.html")</f>
        <v>https://www.lazada.vn/products/ca-phe-sua-g7-3-in-1-bich-800g-gom-50-goi-i2691322644.html</v>
      </c>
      <c r="C4521" s="10" t="s">
        <v>4521</v>
      </c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8">
        <v>9376.0</v>
      </c>
      <c r="B4522" s="9" t="str">
        <f>HYPERLINK("https://www.lazada.vn/products/hop-qua-ruou-mo-nhat-umeshu-nakano-miiri-co-qua-720ml-i3009504128.html", "https://www.lazada.vn/products/hop-qua-ruou-mo-nhat-umeshu-nakano-miiri-co-qua-720ml-i3009504128.html")</f>
        <v>https://www.lazada.vn/products/hop-qua-ruou-mo-nhat-umeshu-nakano-miiri-co-qua-720ml-i3009504128.html</v>
      </c>
      <c r="C4522" s="10" t="s">
        <v>4522</v>
      </c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8">
        <v>9377.0</v>
      </c>
      <c r="B4523" s="9" t="str">
        <f>HYPERLINK("https://www.lazada.vn/products/banh-quy-man-ngot-bo-sua-500g-an-vat-tuoi-tho-sieu-ngon-do-an-vat-i2906081570.html", "https://www.lazada.vn/products/banh-quy-man-ngot-bo-sua-500g-an-vat-tuoi-tho-sieu-ngon-do-an-vat-i2906081570.html")</f>
        <v>https://www.lazada.vn/products/banh-quy-man-ngot-bo-sua-500g-an-vat-tuoi-tho-sieu-ngon-do-an-vat-i2906081570.html</v>
      </c>
      <c r="C4523" s="10" t="s">
        <v>4523</v>
      </c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8">
        <v>9378.0</v>
      </c>
      <c r="B4524" s="9" t="str">
        <f>HYPERLINK("https://www.lazada.vn/products/combo-10-24-goi-mien-tron-phu-huong-xot-cua-i1507863630.html", "https://www.lazada.vn/products/combo-10-24-goi-mien-tron-phu-huong-xot-cua-i1507863630.html")</f>
        <v>https://www.lazada.vn/products/combo-10-24-goi-mien-tron-phu-huong-xot-cua-i1507863630.html</v>
      </c>
      <c r="C4524" s="10" t="s">
        <v>4524</v>
      </c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8">
        <v>9379.0</v>
      </c>
      <c r="B4525" s="9" t="str">
        <f>HYPERLINK("https://www.lazada.vn/products/tra-dong-trung-ha-thao-tu-vi-i2700816445.html", "https://www.lazada.vn/products/tra-dong-trung-ha-thao-tu-vi-i2700816445.html")</f>
        <v>https://www.lazada.vn/products/tra-dong-trung-ha-thao-tu-vi-i2700816445.html</v>
      </c>
      <c r="C4525" s="10" t="s">
        <v>4525</v>
      </c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8">
        <v>9380.0</v>
      </c>
      <c r="B4526" s="9" t="str">
        <f>HYPERLINK("https://www.lazada.vn/products/ca-phe-sua-nescafe-3-in-1-dam-da-hai-hoa-hop-360g-gom-18-goi-i2691319717.html", "https://www.lazada.vn/products/ca-phe-sua-nescafe-3-in-1-dam-da-hai-hoa-hop-360g-gom-18-goi-i2691319717.html")</f>
        <v>https://www.lazada.vn/products/ca-phe-sua-nescafe-3-in-1-dam-da-hai-hoa-hop-360g-gom-18-goi-i2691319717.html</v>
      </c>
      <c r="C4526" s="10" t="s">
        <v>4526</v>
      </c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8">
        <v>9381.0</v>
      </c>
      <c r="B4527" s="9" t="str">
        <f>HYPERLINK("https://www.lazada.vn/products/dubai-chocolate-almond-heart-jam-black-chocolate-cocoa-butter-dessert-snack-source-zhi-dibai-chocolate-other-biscuits-imported-i2923677948.html", "https://www.lazada.vn/products/dubai-chocolate-almond-heart-jam-black-chocolate-cocoa-butter-dessert-snack-source-zhi-dibai-chocolate-other-biscuits-imported-i2923677948.html")</f>
        <v>https://www.lazada.vn/products/dubai-chocolate-almond-heart-jam-black-chocolate-cocoa-butter-dessert-snack-source-zhi-dibai-chocolate-other-biscuits-imported-i2923677948.html</v>
      </c>
      <c r="C4527" s="10" t="s">
        <v>4527</v>
      </c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8">
        <v>9382.0</v>
      </c>
      <c r="B4528" s="9" t="str">
        <f>HYPERLINK("https://www.lazada.vn/products/nuoc-ngot-fanta-nhat-500ml-vi-cam-thung-24-lon-leetrinh-i2541142857.html", "https://www.lazada.vn/products/nuoc-ngot-fanta-nhat-500ml-vi-cam-thung-24-lon-leetrinh-i2541142857.html")</f>
        <v>https://www.lazada.vn/products/nuoc-ngot-fanta-nhat-500ml-vi-cam-thung-24-lon-leetrinh-i2541142857.html</v>
      </c>
      <c r="C4528" s="10" t="s">
        <v>4528</v>
      </c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8">
        <v>9383.0</v>
      </c>
      <c r="B4529" s="9" t="str">
        <f>HYPERLINK("https://www.lazada.vn/products/300g-keo-pho-mai-cheese-cube-thom-ngon-snack-food-banh-keo-an-vat-i2758156168.html", "https://www.lazada.vn/products/300g-keo-pho-mai-cheese-cube-thom-ngon-snack-food-banh-keo-an-vat-i2758156168.html")</f>
        <v>https://www.lazada.vn/products/300g-keo-pho-mai-cheese-cube-thom-ngon-snack-food-banh-keo-an-vat-i2758156168.html</v>
      </c>
      <c r="C4529" s="10" t="s">
        <v>4529</v>
      </c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8">
        <v>9384.0</v>
      </c>
      <c r="B4530" s="9" t="str">
        <f>HYPERLINK("https://www.lazada.vn/products/qua-tang-xu-dua-trai-tho-len-men-cuc-ngon-ngot-thom-i1783087096.html", "https://www.lazada.vn/products/qua-tang-xu-dua-trai-tho-len-men-cuc-ngon-ngot-thom-i1783087096.html")</f>
        <v>https://www.lazada.vn/products/qua-tang-xu-dua-trai-tho-len-men-cuc-ngon-ngot-thom-i1783087096.html</v>
      </c>
      <c r="C4530" s="10" t="s">
        <v>4530</v>
      </c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8">
        <v>9385.0</v>
      </c>
      <c r="B4531" s="9" t="str">
        <f>HYPERLINK("https://www.lazada.vn/products/lo-500g-bot-rau-ma-dau-xanh-cot-dua-organic-37-thanh-loc-cho-co-the-i2684380629.html", "https://www.lazada.vn/products/lo-500g-bot-rau-ma-dau-xanh-cot-dua-organic-37-thanh-loc-cho-co-the-i2684380629.html")</f>
        <v>https://www.lazada.vn/products/lo-500g-bot-rau-ma-dau-xanh-cot-dua-organic-37-thanh-loc-cho-co-the-i2684380629.html</v>
      </c>
      <c r="C4531" s="10" t="s">
        <v>4531</v>
      </c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8">
        <v>9386.0</v>
      </c>
      <c r="B4532" s="9" t="str">
        <f>HYPERLINK("https://www.lazada.vn/products/nuoc-ngot-fanta-nhat-500ml-vi-nho-thung-24-lon-ly-trinh-15-i2541112602.html", "https://www.lazada.vn/products/nuoc-ngot-fanta-nhat-500ml-vi-nho-thung-24-lon-ly-trinh-15-i2541112602.html")</f>
        <v>https://www.lazada.vn/products/nuoc-ngot-fanta-nhat-500ml-vi-nho-thung-24-lon-ly-trinh-15-i2541112602.html</v>
      </c>
      <c r="C4532" s="10" t="s">
        <v>4532</v>
      </c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8">
        <v>9387.0</v>
      </c>
      <c r="B4533" s="9" t="str">
        <f>HYPERLINK("https://www.lazada.vn/products/bot-kem-beo-thai-lan-1kg-i2683700030.html", "https://www.lazada.vn/products/bot-kem-beo-thai-lan-1kg-i2683700030.html")</f>
        <v>https://www.lazada.vn/products/bot-kem-beo-thai-lan-1kg-i2683700030.html</v>
      </c>
      <c r="C4533" s="10" t="s">
        <v>4533</v>
      </c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8">
        <v>9388.0</v>
      </c>
      <c r="B4534" s="9" t="str">
        <f>HYPERLINK("https://www.lazada.vn/products/hang-moi-combo-500g-banh-sua-chua-tuoi-mix-hat-dinh-duong-cao-cappho-mai-sua-chua-trai-cay-say-kho-an-vat-ngon-duong-chat-i2725714314.html", "https://www.lazada.vn/products/hang-moi-combo-500g-banh-sua-chua-tuoi-mix-hat-dinh-duong-cao-cappho-mai-sua-chua-trai-cay-say-kho-an-vat-ngon-duong-chat-i2725714314.html")</f>
        <v>https://www.lazada.vn/products/hang-moi-combo-500g-banh-sua-chua-tuoi-mix-hat-dinh-duong-cao-cappho-mai-sua-chua-trai-cay-say-kho-an-vat-ngon-duong-chat-i2725714314.html</v>
      </c>
      <c r="C4534" s="10" t="s">
        <v>4534</v>
      </c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8">
        <v>9389.0</v>
      </c>
      <c r="B4535" s="9" t="str">
        <f>HYPERLINK("https://www.lazada.vn/products/hot-500g-banh-dai-loan-mix-du-vi-sieu-ngon-khong-trung-vi-do-an-vat-i2648495663.html", "https://www.lazada.vn/products/hot-500g-banh-dai-loan-mix-du-vi-sieu-ngon-khong-trung-vi-do-an-vat-i2648495663.html")</f>
        <v>https://www.lazada.vn/products/hot-500g-banh-dai-loan-mix-du-vi-sieu-ngon-khong-trung-vi-do-an-vat-i2648495663.html</v>
      </c>
      <c r="C4535" s="10" t="s">
        <v>4535</v>
      </c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8">
        <v>9390.0</v>
      </c>
      <c r="B4536" s="9" t="str">
        <f>HYPERLINK("https://www.lazada.vn/products/combo-4-banh-bong-lan-tam-giac-ngan-lop-2-vi-dingpan-chuyen-si-tpnk-i2647036144.html", "https://www.lazada.vn/products/combo-4-banh-bong-lan-tam-giac-ngan-lop-2-vi-dingpan-chuyen-si-tpnk-i2647036144.html")</f>
        <v>https://www.lazada.vn/products/combo-4-banh-bong-lan-tam-giac-ngan-lop-2-vi-dingpan-chuyen-si-tpnk-i2647036144.html</v>
      </c>
      <c r="C4536" s="10" t="s">
        <v>4536</v>
      </c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8">
        <v>9391.0</v>
      </c>
      <c r="B4537" s="9" t="str">
        <f>HYPERLINK("https://www.lazada.vn/products/combo-5-goi-snack-mi-tom-enaak-tre-em-vi-ga-truyen-thong-30g-m04-sieu-thi-beegin-i2554231356.html", "https://www.lazada.vn/products/combo-5-goi-snack-mi-tom-enaak-tre-em-vi-ga-truyen-thong-30g-m04-sieu-thi-beegin-i2554231356.html")</f>
        <v>https://www.lazada.vn/products/combo-5-goi-snack-mi-tom-enaak-tre-em-vi-ga-truyen-thong-30g-m04-sieu-thi-beegin-i2554231356.html</v>
      </c>
      <c r="C4537" s="10" t="s">
        <v>4537</v>
      </c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8">
        <v>9392.0</v>
      </c>
      <c r="B4538" s="9" t="str">
        <f>HYPERLINK("https://www.lazada.vn/products/vang-no-casa-burti-spumante-extra-dry-i2647024029.html", "https://www.lazada.vn/products/vang-no-casa-burti-spumante-extra-dry-i2647024029.html")</f>
        <v>https://www.lazada.vn/products/vang-no-casa-burti-spumante-extra-dry-i2647024029.html</v>
      </c>
      <c r="C4538" s="10" t="s">
        <v>4538</v>
      </c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8">
        <v>9393.0</v>
      </c>
      <c r="B4539" s="9" t="str">
        <f>HYPERLINK("https://www.lazada.vn/products/vang-y-puglia-nero-di-troia_750ml-i2647007107.html", "https://www.lazada.vn/products/vang-y-puglia-nero-di-troia_750ml-i2647007107.html")</f>
        <v>https://www.lazada.vn/products/vang-y-puglia-nero-di-troia_750ml-i2647007107.html</v>
      </c>
      <c r="C4539" s="10" t="s">
        <v>4539</v>
      </c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8">
        <v>9394.0</v>
      </c>
      <c r="B4540" s="9" t="str">
        <f>HYPERLINK("https://www.lazada.vn/products/thung-30-lon_-nuoc-ep-ezos-sasco-240ml_mix-tu-chon-6-vi-shop-mint-mint-i2799166568.html", "https://www.lazada.vn/products/thung-30-lon_-nuoc-ep-ezos-sasco-240ml_mix-tu-chon-6-vi-shop-mint-mint-i2799166568.html")</f>
        <v>https://www.lazada.vn/products/thung-30-lon_-nuoc-ep-ezos-sasco-240ml_mix-tu-chon-6-vi-shop-mint-mint-i2799166568.html</v>
      </c>
      <c r="C4540" s="10" t="s">
        <v>4540</v>
      </c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8">
        <v>9395.0</v>
      </c>
      <c r="B4541" s="9" t="str">
        <f>HYPERLINK("https://www.lazada.vn/products/thach-zaizai-mix-nhieu-vi-trai-cay-i2445410862.html", "https://www.lazada.vn/products/thach-zaizai-mix-nhieu-vi-trai-cay-i2445410862.html")</f>
        <v>https://www.lazada.vn/products/thach-zaizai-mix-nhieu-vi-trai-cay-i2445410862.html</v>
      </c>
      <c r="C4541" s="10" t="s">
        <v>4541</v>
      </c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8">
        <v>9396.0</v>
      </c>
      <c r="B4542" s="9" t="str">
        <f>HYPERLINK("https://www.lazada.vn/products/20h-243-293-tang-combo-5-lays-combo-5-lays-max-vi-tao-bien-75g-i2757056781.html", "https://www.lazada.vn/products/20h-243-293-tang-combo-5-lays-combo-5-lays-max-vi-tao-bien-75g-i2757056781.html")</f>
        <v>https://www.lazada.vn/products/20h-243-293-tang-combo-5-lays-combo-5-lays-max-vi-tao-bien-75g-i2757056781.html</v>
      </c>
      <c r="C4542" s="10" t="s">
        <v>4542</v>
      </c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8">
        <v>9397.0</v>
      </c>
      <c r="B4543" s="9" t="str">
        <f>HYPERLINK("https://www.lazada.vn/products/do-an-nhe-nhang-dried-strawberry-va-dried-fig-snack-dried-fruit-snowflake-snack-baking-office-children-leisure-instant-snack-i2923611708.html", "https://www.lazada.vn/products/do-an-nhe-nhang-dried-strawberry-va-dried-fig-snack-dried-fruit-snowflake-snack-baking-office-children-leisure-instant-snack-i2923611708.html")</f>
        <v>https://www.lazada.vn/products/do-an-nhe-nhang-dried-strawberry-va-dried-fig-snack-dried-fruit-snowflake-snack-baking-office-children-leisure-instant-snack-i2923611708.html</v>
      </c>
      <c r="C4543" s="10" t="s">
        <v>4543</v>
      </c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8">
        <v>9398.0</v>
      </c>
      <c r="B4544" s="9" t="str">
        <f>HYPERLINK("https://www.lazada.vn/products/vodka-ha-noi-men-class-295-500ml-chai-mo-suong-mu-i3019466617.html", "https://www.lazada.vn/products/vodka-ha-noi-men-class-295-500ml-chai-mo-suong-mu-i3019466617.html")</f>
        <v>https://www.lazada.vn/products/vodka-ha-noi-men-class-295-500ml-chai-mo-suong-mu-i3019466617.html</v>
      </c>
      <c r="C4544" s="10" t="s">
        <v>4544</v>
      </c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8">
        <v>9399.0</v>
      </c>
      <c r="B4545" s="9" t="str">
        <f>HYPERLINK("https://www.lazada.vn/products/banh-nabati-vi-pho-mai-loai-20g-i1685132506.html", "https://www.lazada.vn/products/banh-nabati-vi-pho-mai-loai-20g-i1685132506.html")</f>
        <v>https://www.lazada.vn/products/banh-nabati-vi-pho-mai-loai-20g-i1685132506.html</v>
      </c>
      <c r="C4545" s="10" t="s">
        <v>4545</v>
      </c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8">
        <v>9400.0</v>
      </c>
      <c r="B4546" s="9" t="str">
        <f>HYPERLINK("https://www.lazada.vn/products/coop-online-chao-tuoi-sg-food-luon-dau-xanh-goi-270g-i2860316367.html", "https://www.lazada.vn/products/coop-online-chao-tuoi-sg-food-luon-dau-xanh-goi-270g-i2860316367.html")</f>
        <v>https://www.lazada.vn/products/coop-online-chao-tuoi-sg-food-luon-dau-xanh-goi-270g-i2860316367.html</v>
      </c>
      <c r="C4546" s="10" t="s">
        <v>4546</v>
      </c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8">
        <v>9401.0</v>
      </c>
      <c r="B4547" s="9" t="str">
        <f>HYPERLINK("https://www.lazada.vn/products/mixed-namkeen-home-made-500g-i1747060195.html", "https://www.lazada.vn/products/mixed-namkeen-home-made-500g-i1747060195.html")</f>
        <v>https://www.lazada.vn/products/mixed-namkeen-home-made-500g-i1747060195.html</v>
      </c>
      <c r="C4547" s="10" t="s">
        <v>4547</v>
      </c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8">
        <v>9402.0</v>
      </c>
      <c r="B4548" s="9" t="str">
        <f>HYPERLINK("https://www.lazada.vn/products/date-2025-chinh-hang-men-vi-sinh-s-30-goi-nhat-ban-bifina-ho-tro-dai-trang-tot-cho-duong-ruot-va-he-tieu-hoa-i1973210572.html", "https://www.lazada.vn/products/date-2025-chinh-hang-men-vi-sinh-s-30-goi-nhat-ban-bifina-ho-tro-dai-trang-tot-cho-duong-ruot-va-he-tieu-hoa-i1973210572.html")</f>
        <v>https://www.lazada.vn/products/date-2025-chinh-hang-men-vi-sinh-s-30-goi-nhat-ban-bifina-ho-tro-dai-trang-tot-cho-duong-ruot-va-he-tieu-hoa-i1973210572.html</v>
      </c>
      <c r="C4548" s="10" t="s">
        <v>4548</v>
      </c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8">
        <v>9403.0</v>
      </c>
      <c r="B4549" s="9" t="str">
        <f>HYPERLINK("https://www.lazada.vn/products/hop-ca-180g-unmeat-ca-ngu-chay-xat-lat-ngam-dau-philippines-plant-based-tuna-in-sunflower-oil-halal-i3036352249.html", "https://www.lazada.vn/products/hop-ca-180g-unmeat-ca-ngu-chay-xat-lat-ngam-dau-philippines-plant-based-tuna-in-sunflower-oil-halal-i3036352249.html")</f>
        <v>https://www.lazada.vn/products/hop-ca-180g-unmeat-ca-ngu-chay-xat-lat-ngam-dau-philippines-plant-based-tuna-in-sunflower-oil-halal-i3036352249.html</v>
      </c>
      <c r="C4549" s="10" t="s">
        <v>4549</v>
      </c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8">
        <v>9404.0</v>
      </c>
      <c r="B4550" s="9" t="str">
        <f>HYPERLINK("https://www.lazada.vn/products/banh-ritz-kep-pho-mai-106gr-i2904723393.html", "https://www.lazada.vn/products/banh-ritz-kep-pho-mai-106gr-i2904723393.html")</f>
        <v>https://www.lazada.vn/products/banh-ritz-kep-pho-mai-106gr-i2904723393.html</v>
      </c>
      <c r="C4550" s="10" t="s">
        <v>4550</v>
      </c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8">
        <v>9405.0</v>
      </c>
      <c r="B4551" s="9" t="str">
        <f>HYPERLINK("https://www.lazada.vn/products/ruou-sake-nishino-seki-bigin-nhat-ban-16-720ml-i3009497161.html", "https://www.lazada.vn/products/ruou-sake-nishino-seki-bigin-nhat-ban-16-720ml-i3009497161.html")</f>
        <v>https://www.lazada.vn/products/ruou-sake-nishino-seki-bigin-nhat-ban-16-720ml-i3009497161.html</v>
      </c>
      <c r="C4551" s="10" t="s">
        <v>4551</v>
      </c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8">
        <v>9406.0</v>
      </c>
      <c r="B4552" s="9" t="str">
        <f>HYPERLINK("https://www.lazada.vn/products/siro-ho-niem-tu-am-hieu-tu-xuyen-boi-ty-ba-cao-nin-jiom-pei-pa-koa-150mll-i2547953061.html", "https://www.lazada.vn/products/siro-ho-niem-tu-am-hieu-tu-xuyen-boi-ty-ba-cao-nin-jiom-pei-pa-koa-150mll-i2547953061.html")</f>
        <v>https://www.lazada.vn/products/siro-ho-niem-tu-am-hieu-tu-xuyen-boi-ty-ba-cao-nin-jiom-pei-pa-koa-150mll-i2547953061.html</v>
      </c>
      <c r="C4552" s="10" t="s">
        <v>4552</v>
      </c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8">
        <v>9407.0</v>
      </c>
      <c r="B4553" s="9" t="str">
        <f>HYPERLINK("https://www.lazada.vn/products/thung-30-goi-mi-xao-chua-ngot-hao-hao-i1506444465.html", "https://www.lazada.vn/products/thung-30-goi-mi-xao-chua-ngot-hao-hao-i1506444465.html")</f>
        <v>https://www.lazada.vn/products/thung-30-goi-mi-xao-chua-ngot-hao-hao-i1506444465.html</v>
      </c>
      <c r="C4553" s="10" t="s">
        <v>4553</v>
      </c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8">
        <v>9408.0</v>
      </c>
      <c r="B4554" s="9" t="str">
        <f>HYPERLINK("https://www.lazada.vn/products/che-tuyet-yen-duong-nhan-du-vi-thuong-hang-goi-lon-500g-tiem-che-thanh-xuan-i2699913888.html", "https://www.lazada.vn/products/che-tuyet-yen-duong-nhan-du-vi-thuong-hang-goi-lon-500g-tiem-che-thanh-xuan-i2699913888.html")</f>
        <v>https://www.lazada.vn/products/che-tuyet-yen-duong-nhan-du-vi-thuong-hang-goi-lon-500g-tiem-che-thanh-xuan-i2699913888.html</v>
      </c>
      <c r="C4554" s="10" t="s">
        <v>4554</v>
      </c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8">
        <v>9409.0</v>
      </c>
      <c r="B4555" s="9" t="str">
        <f>HYPERLINK("https://www.lazada.vn/products/1kg-keo-deo-ca-sau-de-thuong-i2756735275.html", "https://www.lazada.vn/products/1kg-keo-deo-ca-sau-de-thuong-i2756735275.html")</f>
        <v>https://www.lazada.vn/products/1kg-keo-deo-ca-sau-de-thuong-i2756735275.html</v>
      </c>
      <c r="C4555" s="10" t="s">
        <v>4555</v>
      </c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8">
        <v>9410.0</v>
      </c>
      <c r="B4556" s="9" t="str">
        <f>HYPERLINK("https://www.lazada.vn/products/ca-phe-den-da-nescafe-cafe-viet-bich-560g-35-goi-x-16g-i2691319548.html", "https://www.lazada.vn/products/ca-phe-den-da-nescafe-cafe-viet-bich-560g-35-goi-x-16g-i2691319548.html")</f>
        <v>https://www.lazada.vn/products/ca-phe-den-da-nescafe-cafe-viet-bich-560g-35-goi-x-16g-i2691319548.html</v>
      </c>
      <c r="C4556" s="10" t="s">
        <v>4556</v>
      </c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8">
        <v>9411.0</v>
      </c>
      <c r="B4557" s="9" t="str">
        <f>HYPERLINK("https://www.lazada.vn/products/chocolate-hazelnut-almond-flavor-candy-new-year-children-snacks-russian-production-450g-net-content-sugar-type-almond-sugar-i2923565761.html", "https://www.lazada.vn/products/chocolate-hazelnut-almond-flavor-candy-new-year-children-snacks-russian-production-450g-net-content-sugar-type-almond-sugar-i2923565761.html")</f>
        <v>https://www.lazada.vn/products/chocolate-hazelnut-almond-flavor-candy-new-year-children-snacks-russian-production-450g-net-content-sugar-type-almond-sugar-i2923565761.html</v>
      </c>
      <c r="C4557" s="10" t="s">
        <v>4557</v>
      </c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8">
        <v>9412.0</v>
      </c>
      <c r="B4558" s="9" t="str">
        <f>HYPERLINK("https://www.lazada.vn/products/set-qua-tang-8-chai-bia-bi-330ml-i1782644436.html", "https://www.lazada.vn/products/set-qua-tang-8-chai-bia-bi-330ml-i1782644436.html")</f>
        <v>https://www.lazada.vn/products/set-qua-tang-8-chai-bia-bi-330ml-i1782644436.html</v>
      </c>
      <c r="C4558" s="10" t="s">
        <v>4558</v>
      </c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8">
        <v>9413.0</v>
      </c>
      <c r="B4559" s="9" t="str">
        <f>HYPERLINK("https://www.lazada.vn/products/hang-moi-combo-1000g-banh-sua-chua-tuoi-mix-hat-dinh-duong-cao-cappho-mai-sua-chua-trai-cay-say-kho-an-vat-ngon-duong-chat-i2725662402.html", "https://www.lazada.vn/products/hang-moi-combo-1000g-banh-sua-chua-tuoi-mix-hat-dinh-duong-cao-cappho-mai-sua-chua-trai-cay-say-kho-an-vat-ngon-duong-chat-i2725662402.html")</f>
        <v>https://www.lazada.vn/products/hang-moi-combo-1000g-banh-sua-chua-tuoi-mix-hat-dinh-duong-cao-cappho-mai-sua-chua-trai-cay-say-kho-an-vat-ngon-duong-chat-i2725662402.html</v>
      </c>
      <c r="C4559" s="10" t="s">
        <v>4559</v>
      </c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8">
        <v>9414.0</v>
      </c>
      <c r="B4560" s="9" t="str">
        <f>HYPERLINK("https://www.lazada.vn/products/coca-nhat-coca-zero-nhat-fanta-nho-fanta-cam-nhat-160ml-x-30-lon-i2507137210.html", "https://www.lazada.vn/products/coca-nhat-coca-zero-nhat-fanta-nho-fanta-cam-nhat-160ml-x-30-lon-i2507137210.html")</f>
        <v>https://www.lazada.vn/products/coca-nhat-coca-zero-nhat-fanta-nho-fanta-cam-nhat-160ml-x-30-lon-i2507137210.html</v>
      </c>
      <c r="C4560" s="10" t="s">
        <v>4560</v>
      </c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8">
        <v>9415.0</v>
      </c>
      <c r="B4561" s="9" t="str">
        <f>HYPERLINK("https://www.lazada.vn/products/combo-10-goi-snack-mi-tom-enaak-tre-em-vi-ga-truyen-thong-30g-m04-sieu-thi-beegin-i2554224345.html", "https://www.lazada.vn/products/combo-10-goi-snack-mi-tom-enaak-tre-em-vi-ga-truyen-thong-30g-m04-sieu-thi-beegin-i2554224345.html")</f>
        <v>https://www.lazada.vn/products/combo-10-goi-snack-mi-tom-enaak-tre-em-vi-ga-truyen-thong-30g-m04-sieu-thi-beegin-i2554224345.html</v>
      </c>
      <c r="C4561" s="10" t="s">
        <v>4561</v>
      </c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8">
        <v>9416.0</v>
      </c>
      <c r="B4562" s="9" t="str">
        <f>HYPERLINK("https://www.lazada.vn/products/combo-4-banh-bong-lan-tam-giac-ngan-lop-2-vi-dingpan-i2646845644.html", "https://www.lazada.vn/products/combo-4-banh-bong-lan-tam-giac-ngan-lop-2-vi-dingpan-i2646845644.html")</f>
        <v>https://www.lazada.vn/products/combo-4-banh-bong-lan-tam-giac-ngan-lop-2-vi-dingpan-i2646845644.html</v>
      </c>
      <c r="C4562" s="10" t="s">
        <v>4562</v>
      </c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8">
        <v>9417.0</v>
      </c>
      <c r="B4563" s="9" t="str">
        <f>HYPERLINK("https://www.lazada.vn/products/1kg-mix-14-vi-luong-kho-mix-vi-an-vat-dinh-duong-tot-cho-suc-khoe-i2724076452.html", "https://www.lazada.vn/products/1kg-mix-14-vi-luong-kho-mix-vi-an-vat-dinh-duong-tot-cho-suc-khoe-i2724076452.html")</f>
        <v>https://www.lazada.vn/products/1kg-mix-14-vi-luong-kho-mix-vi-an-vat-dinh-duong-tot-cho-suc-khoe-i2724076452.html</v>
      </c>
      <c r="C4563" s="10" t="s">
        <v>4563</v>
      </c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8">
        <v>9418.0</v>
      </c>
      <c r="B4564" s="9" t="str">
        <f>HYPERLINK("https://www.lazada.vn/products/vang-chile-alicanto-tradicion-merlot_750ml-i2647003096.html", "https://www.lazada.vn/products/vang-chile-alicanto-tradicion-merlot_750ml-i2647003096.html")</f>
        <v>https://www.lazada.vn/products/vang-chile-alicanto-tradicion-merlot_750ml-i2647003096.html</v>
      </c>
      <c r="C4564" s="10" t="s">
        <v>4564</v>
      </c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8">
        <v>9419.0</v>
      </c>
      <c r="B4565" s="9" t="str">
        <f>HYPERLINK("https://www.lazada.vn/products/nuoc-ngot-tea-365-hong-tra-huong-dao-thung-24-chai-500-ml-i2798563264.html", "https://www.lazada.vn/products/nuoc-ngot-tea-365-hong-tra-huong-dao-thung-24-chai-500-ml-i2798563264.html")</f>
        <v>https://www.lazada.vn/products/nuoc-ngot-tea-365-hong-tra-huong-dao-thung-24-chai-500-ml-i2798563264.html</v>
      </c>
      <c r="C4565" s="10" t="s">
        <v>4565</v>
      </c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8">
        <v>9420.0</v>
      </c>
      <c r="B4566" s="9" t="str">
        <f>HYPERLINK("https://www.lazada.vn/products/do-an-nhe-kho-qua-le-dong-lanh-trang-tri-nap-suong-mu-mua-thu-dong-tra-sua-chuyen-dung-hat-phi-kho-trai-cay-kho-i2923610981.html", "https://www.lazada.vn/products/do-an-nhe-kho-qua-le-dong-lanh-trang-tri-nap-suong-mu-mua-thu-dong-tra-sua-chuyen-dung-hat-phi-kho-trai-cay-kho-i2923610981.html")</f>
        <v>https://www.lazada.vn/products/do-an-nhe-kho-qua-le-dong-lanh-trang-tri-nap-suong-mu-mua-thu-dong-tra-sua-chuyen-dung-hat-phi-kho-trai-cay-kho-i2923610981.html</v>
      </c>
      <c r="C4566" s="10" t="s">
        <v>4566</v>
      </c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8">
        <v>9421.0</v>
      </c>
      <c r="B4567" s="9" t="str">
        <f>HYPERLINK("https://www.lazada.vn/products/vodka-men-nhan-sam-korea-baby-ginseng-27-300ml-i3019462556.html", "https://www.lazada.vn/products/vodka-men-nhan-sam-korea-baby-ginseng-27-300ml-i3019462556.html")</f>
        <v>https://www.lazada.vn/products/vodka-men-nhan-sam-korea-baby-ginseng-27-300ml-i3019462556.html</v>
      </c>
      <c r="C4567" s="10" t="s">
        <v>4567</v>
      </c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8">
        <v>9422.0</v>
      </c>
      <c r="B4568" s="9" t="str">
        <f>HYPERLINK("https://www.lazada.vn/products/nutifood-tui-1kg-nuvi-thach-trai-cay-vi-thach-daothach-nhothach-vai-50-goi-x-20g-i2436968987.html", "https://www.lazada.vn/products/nutifood-tui-1kg-nuvi-thach-trai-cay-vi-thach-daothach-nhothach-vai-50-goi-x-20g-i2436968987.html")</f>
        <v>https://www.lazada.vn/products/nutifood-tui-1kg-nuvi-thach-trai-cay-vi-thach-daothach-nhothach-vai-50-goi-x-20g-i2436968987.html</v>
      </c>
      <c r="C4568" s="10" t="s">
        <v>4568</v>
      </c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8">
        <v>9423.0</v>
      </c>
      <c r="B4569" s="9" t="str">
        <f>HYPERLINK("https://www.lazada.vn/products/20h-243-293-tang-combo-5-lays-combo-5-lays-tu-nhien-tao-bien-pho-mai-tom-cang-90g-muc-dai-loan-88g-i2757054821.html", "https://www.lazada.vn/products/20h-243-293-tang-combo-5-lays-combo-5-lays-tu-nhien-tao-bien-pho-mai-tom-cang-90g-muc-dai-loan-88g-i2757054821.html")</f>
        <v>https://www.lazada.vn/products/20h-243-293-tang-combo-5-lays-combo-5-lays-tu-nhien-tao-bien-pho-mai-tom-cang-90g-muc-dai-loan-88g-i2757054821.html</v>
      </c>
      <c r="C4569" s="10" t="s">
        <v>4569</v>
      </c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8">
        <v>9424.0</v>
      </c>
      <c r="B4570" s="9" t="str">
        <f>HYPERLINK("https://www.lazada.vn/products/banh-xop-pho-mai-richeese-ahh-hop-10-cay-x-9g-viettin-mart-i1685097226.html", "https://www.lazada.vn/products/banh-xop-pho-mai-richeese-ahh-hop-10-cay-x-9g-viettin-mart-i1685097226.html")</f>
        <v>https://www.lazada.vn/products/banh-xop-pho-mai-richeese-ahh-hop-10-cay-x-9g-viettin-mart-i1685097226.html</v>
      </c>
      <c r="C4570" s="10" t="s">
        <v>4570</v>
      </c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8">
        <v>9425.0</v>
      </c>
      <c r="B4571" s="9" t="str">
        <f>HYPERLINK("https://www.lazada.vn/products/coop-online-mi-caykay-vi-bo-cay-ly-66g-i2860315371.html", "https://www.lazada.vn/products/coop-online-mi-caykay-vi-bo-cay-ly-66g-i2860315371.html")</f>
        <v>https://www.lazada.vn/products/coop-online-mi-caykay-vi-bo-cay-ly-66g-i2860315371.html</v>
      </c>
      <c r="C4571" s="10" t="s">
        <v>4571</v>
      </c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8">
        <v>9426.0</v>
      </c>
      <c r="B4572" s="9" t="str">
        <f>HYPERLINK("https://www.lazada.vn/products/namak-para-homemade-500g-i1746930992.html", "https://www.lazada.vn/products/namak-para-homemade-500g-i1746930992.html")</f>
        <v>https://www.lazada.vn/products/namak-para-homemade-500g-i1746930992.html</v>
      </c>
      <c r="C4572" s="10" t="s">
        <v>4572</v>
      </c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8">
        <v>9427.0</v>
      </c>
      <c r="B4573" s="9" t="str">
        <f>HYPERLINK("https://www.lazada.vn/products/lap-vit-loai-1-lam-tu-dui-vit-dac-san-tu-suong-phan-loai-1kg-500gram-250gram-i1972085029.html", "https://www.lazada.vn/products/lap-vit-loai-1-lam-tu-dui-vit-dac-san-tu-suong-phan-loai-1kg-500gram-250gram-i1972085029.html")</f>
        <v>https://www.lazada.vn/products/lap-vit-loai-1-lam-tu-dui-vit-dac-san-tu-suong-phan-loai-1kg-500gram-250gram-i1972085029.html</v>
      </c>
      <c r="C4573" s="10" t="s">
        <v>4573</v>
      </c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8">
        <v>9428.0</v>
      </c>
      <c r="B4574" s="9" t="str">
        <f>HYPERLINK("https://www.lazada.vn/products/hop-qua-viet-nhat-sake-nishinoseki-nigori-zake-720ml-i3009489182.html", "https://www.lazada.vn/products/hop-qua-viet-nhat-sake-nishinoseki-nigori-zake-720ml-i3009489182.html")</f>
        <v>https://www.lazada.vn/products/hop-qua-viet-nhat-sake-nishinoseki-nigori-zake-720ml-i3009489182.html</v>
      </c>
      <c r="C4574" s="10" t="s">
        <v>4574</v>
      </c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8">
        <v>9429.0</v>
      </c>
      <c r="B4575" s="9" t="str">
        <f>HYPERLINK("https://www.lazada.vn/products/banh-quy-ritz-man-247gr-i2904712404.html", "https://www.lazada.vn/products/banh-quy-ritz-man-247gr-i2904712404.html")</f>
        <v>https://www.lazada.vn/products/banh-quy-ritz-man-247gr-i2904712404.html</v>
      </c>
      <c r="C4575" s="10" t="s">
        <v>4575</v>
      </c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8">
        <v>9430.0</v>
      </c>
      <c r="B4576" s="9" t="str">
        <f>HYPERLINK("https://www.lazada.vn/products/my-tom-an-lien-3-mien-chua-cay-hoac-bo-soi-pho-giao-ngau-nhien-1-thung-30-goi-x65g-i1506196403.html", "https://www.lazada.vn/products/my-tom-an-lien-3-mien-chua-cay-hoac-bo-soi-pho-giao-ngau-nhien-1-thung-30-goi-x65g-i1506196403.html")</f>
        <v>https://www.lazada.vn/products/my-tom-an-lien-3-mien-chua-cay-hoac-bo-soi-pho-giao-ngau-nhien-1-thung-30-goi-x65g-i1506196403.html</v>
      </c>
      <c r="C4576" s="10" t="s">
        <v>4576</v>
      </c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8">
        <v>9431.0</v>
      </c>
      <c r="B4577" s="9" t="str">
        <f>HYPERLINK("https://www.lazada.vn/products/tran-chau-olong-tui-200gr-400gr-bep-cua-me-onici-kem-cong-thuc-nau-topping-tra-sua-i2698483244.html", "https://www.lazada.vn/products/tran-chau-olong-tui-200gr-400gr-bep-cua-me-onici-kem-cong-thuc-nau-topping-tra-sua-i2698483244.html")</f>
        <v>https://www.lazada.vn/products/tran-chau-olong-tui-200gr-400gr-bep-cua-me-onici-kem-cong-thuc-nau-topping-tra-sua-i2698483244.html</v>
      </c>
      <c r="C4577" s="10" t="s">
        <v>4577</v>
      </c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8">
        <v>9432.0</v>
      </c>
      <c r="B4578" s="9" t="str">
        <f>HYPERLINK("https://www.lazada.vn/products/siro-sat-huu-co-hemabion-dang-ong-giam-tinh-trang-thieu-mau-da-xanh-xao-chong-mat-20-ong-hemabion-tim-i2546799684.html", "https://www.lazada.vn/products/siro-sat-huu-co-hemabion-dang-ong-giam-tinh-trang-thieu-mau-da-xanh-xao-chong-mat-20-ong-hemabion-tim-i2546799684.html")</f>
        <v>https://www.lazada.vn/products/siro-sat-huu-co-hemabion-dang-ong-giam-tinh-trang-thieu-mau-da-xanh-xao-chong-mat-20-ong-hemabion-tim-i2546799684.html</v>
      </c>
      <c r="C4578" s="10" t="s">
        <v>4578</v>
      </c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8">
        <v>9433.0</v>
      </c>
      <c r="B4579" s="9" t="str">
        <f>HYPERLINK("https://www.lazada.vn/products/century-hop-xanh-180g-ca-ngu-ngam-sot-gia-vi-ca-philippines-corned-tuna-chili-halal-i3036348246.html", "https://www.lazada.vn/products/century-hop-xanh-180g-ca-ngu-ngam-sot-gia-vi-ca-philippines-corned-tuna-chili-halal-i3036348246.html")</f>
        <v>https://www.lazada.vn/products/century-hop-xanh-180g-ca-ngu-ngam-sot-gia-vi-ca-philippines-corned-tuna-chili-halal-i3036348246.html</v>
      </c>
      <c r="C4579" s="10" t="s">
        <v>4579</v>
      </c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8">
        <v>9434.0</v>
      </c>
      <c r="B4580" s="9" t="str">
        <f>HYPERLINK("https://www.lazada.vn/products/nuoc-ngot-coca-cola-cherry-my-lon-i2501158825.html", "https://www.lazada.vn/products/nuoc-ngot-coca-cola-cherry-my-lon-i2501158825.html")</f>
        <v>https://www.lazada.vn/products/nuoc-ngot-coca-cola-cherry-my-lon-i2501158825.html</v>
      </c>
      <c r="C4580" s="10" t="s">
        <v>4580</v>
      </c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8">
        <v>9435.0</v>
      </c>
      <c r="B4581" s="9" t="str">
        <f>HYPERLINK("https://www.lazada.vn/products/bot-matcha-neicha-mu-do-mu-trang-vu-xuan-goi-100g-500g-gia-tan-nha-san-xuat-i2682776727.html", "https://www.lazada.vn/products/bot-matcha-neicha-mu-do-mu-trang-vu-xuan-goi-100g-500g-gia-tan-nha-san-xuat-i2682776727.html")</f>
        <v>https://www.lazada.vn/products/bot-matcha-neicha-mu-do-mu-trang-vu-xuan-goi-100g-500g-gia-tan-nha-san-xuat-i2682776727.html</v>
      </c>
      <c r="C4581" s="10" t="s">
        <v>4581</v>
      </c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8">
        <v>9436.0</v>
      </c>
      <c r="B4582" s="9" t="str">
        <f>HYPERLINK("https://www.lazada.vn/products/banh-da-nem-lang-cheu-dac-san-lang-que-viet-goi-22-chiec-i1715885026.html", "https://www.lazada.vn/products/banh-da-nem-lang-cheu-dac-san-lang-que-viet-goi-22-chiec-i1715885026.html")</f>
        <v>https://www.lazada.vn/products/banh-da-nem-lang-cheu-dac-san-lang-que-viet-goi-22-chiec-i1715885026.html</v>
      </c>
      <c r="C4582" s="10" t="s">
        <v>4582</v>
      </c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8">
        <v>9437.0</v>
      </c>
      <c r="B4583" s="9" t="str">
        <f>HYPERLINK("https://www.lazada.vn/products/ca-phe-sua-nescafe-3-in-1-dam-vi-ca-phe-hop-340g-gom-20-goi-i2691312697.html", "https://www.lazada.vn/products/ca-phe-sua-nescafe-3-in-1-dam-vi-ca-phe-hop-340g-gom-20-goi-i2691312697.html")</f>
        <v>https://www.lazada.vn/products/ca-phe-sua-nescafe-3-in-1-dam-vi-ca-phe-hop-340g-gom-20-goi-i2691312697.html</v>
      </c>
      <c r="C4583" s="10" t="s">
        <v>4583</v>
      </c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8">
        <v>9438.0</v>
      </c>
      <c r="B4584" s="9" t="str">
        <f>HYPERLINK("https://www.lazada.vn/products/keo-sam-xtreme-candy-chinh-hang-cai-tien-cao-cap-cuc-manh-date-moi-nhat-i2751159739.html", "https://www.lazada.vn/products/keo-sam-xtreme-candy-chinh-hang-cai-tien-cao-cap-cuc-manh-date-moi-nhat-i2751159739.html")</f>
        <v>https://www.lazada.vn/products/keo-sam-xtreme-candy-chinh-hang-cai-tien-cao-cap-cuc-manh-date-moi-nhat-i2751159739.html</v>
      </c>
      <c r="C4584" s="10" t="s">
        <v>4584</v>
      </c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8">
        <v>9439.0</v>
      </c>
      <c r="B4585" s="9" t="str">
        <f>HYPERLINK("https://www.lazada.vn/products/socola-sua-mix-3-loai-godiva-belgium-1962-masterpieces-an-assortment-of-milk-chocolate-tui-422gr-i2922994677.html", "https://www.lazada.vn/products/socola-sua-mix-3-loai-godiva-belgium-1962-masterpieces-an-assortment-of-milk-chocolate-tui-422gr-i2922994677.html")</f>
        <v>https://www.lazada.vn/products/socola-sua-mix-3-loai-godiva-belgium-1962-masterpieces-an-assortment-of-milk-chocolate-tui-422gr-i2922994677.html</v>
      </c>
      <c r="C4585" s="10" t="s">
        <v>4585</v>
      </c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8">
        <v>9440.0</v>
      </c>
      <c r="B4586" s="9" t="str">
        <f>HYPERLINK("https://www.lazada.vn/products/banh-tuoi-dai-loan-tu-chon-vi-theo-y-thich-banh-dung-thu-chuyen-si-tpnk-i2646726072.html", "https://www.lazada.vn/products/banh-tuoi-dai-loan-tu-chon-vi-theo-y-thich-banh-dung-thu-chuyen-si-tpnk-i2646726072.html")</f>
        <v>https://www.lazada.vn/products/banh-tuoi-dai-loan-tu-chon-vi-theo-y-thich-banh-dung-thu-chuyen-si-tpnk-i2646726072.html</v>
      </c>
      <c r="C4586" s="10" t="s">
        <v>4586</v>
      </c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8">
        <v>9441.0</v>
      </c>
      <c r="B4587" s="9" t="str">
        <f>HYPERLINK("https://www.lazada.vn/products/vang-da-lat-do-classic-special-750ml-i2647001151.html", "https://www.lazada.vn/products/vang-da-lat-do-classic-special-750ml-i2647001151.html")</f>
        <v>https://www.lazada.vn/products/vang-da-lat-do-classic-special-750ml-i2647001151.html</v>
      </c>
      <c r="C4587" s="10" t="s">
        <v>4587</v>
      </c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8">
        <v>9442.0</v>
      </c>
      <c r="B4588" s="9" t="str">
        <f>HYPERLINK("https://www.lazada.vn/products/thung-24-chai-nuoc-uong-sua-trai-cay-th-true-juice-milk-cam-tu-nhien-300-ml-300-ml-x-24-i2796189162.html", "https://www.lazada.vn/products/thung-24-chai-nuoc-uong-sua-trai-cay-th-true-juice-milk-cam-tu-nhien-300-ml-300-ml-x-24-i2796189162.html")</f>
        <v>https://www.lazada.vn/products/thung-24-chai-nuoc-uong-sua-trai-cay-th-true-juice-milk-cam-tu-nhien-300-ml-300-ml-x-24-i2796189162.html</v>
      </c>
      <c r="C4588" s="10" t="s">
        <v>4588</v>
      </c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8">
        <v>9443.0</v>
      </c>
      <c r="B4589" s="9" t="str">
        <f>HYPERLINK("https://www.lazada.vn/products/banh-tai-heo-nhi-mix-3-mau-tui-1-kg-an-vat-sieu-ngon-tt-mart-99-i2552461599.html", "https://www.lazada.vn/products/banh-tai-heo-nhi-mix-3-mau-tui-1-kg-an-vat-sieu-ngon-tt-mart-99-i2552461599.html")</f>
        <v>https://www.lazada.vn/products/banh-tai-heo-nhi-mix-3-mau-tui-1-kg-an-vat-sieu-ngon-tt-mart-99-i2552461599.html</v>
      </c>
      <c r="C4589" s="10" t="s">
        <v>4589</v>
      </c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8">
        <v>9444.0</v>
      </c>
      <c r="B4590" s="9" t="str">
        <f>HYPERLINK("https://www.lazada.vn/products/thach-pudding-dao-gau-dau-mau-dung-moi-i2436043229.html", "https://www.lazada.vn/products/thach-pudding-dao-gau-dau-mau-dung-moi-i2436043229.html")</f>
        <v>https://www.lazada.vn/products/thach-pudding-dao-gau-dau-mau-dung-moi-i2436043229.html</v>
      </c>
      <c r="C4590" s="10" t="s">
        <v>4590</v>
      </c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8">
        <v>9445.0</v>
      </c>
      <c r="B4591" s="9" t="str">
        <f>HYPERLINK("https://www.lazada.vn/products/tao-kho-nguyen-ban-60g-bao-bi-lon-trang-mieng-so-co-la-nguyen-chat-dac-san-hainan-mut-kho-hat-de-trung-quoc-dai-luc-i2923607537.html", "https://www.lazada.vn/products/tao-kho-nguyen-ban-60g-bao-bi-lon-trang-mieng-so-co-la-nguyen-chat-dac-san-hainan-mut-kho-hat-de-trung-quoc-dai-luc-i2923607537.html")</f>
        <v>https://www.lazada.vn/products/tao-kho-nguyen-ban-60g-bao-bi-lon-trang-mieng-so-co-la-nguyen-chat-dac-san-hainan-mut-kho-hat-de-trung-quoc-dai-luc-i2923607537.html</v>
      </c>
      <c r="C4591" s="10" t="s">
        <v>4591</v>
      </c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8">
        <v>9446.0</v>
      </c>
      <c r="B4592" s="9" t="str">
        <f>HYPERLINK("https://www.lazada.vn/products/vodka-ha-noi-94-lo-duc-25-500ml-i3019459470.html", "https://www.lazada.vn/products/vodka-ha-noi-94-lo-duc-25-500ml-i3019459470.html")</f>
        <v>https://www.lazada.vn/products/vodka-ha-noi-94-lo-duc-25-500ml-i3019459470.html</v>
      </c>
      <c r="C4592" s="10" t="s">
        <v>4592</v>
      </c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8">
        <v>9447.0</v>
      </c>
      <c r="B4593" s="9" t="str">
        <f>HYPERLINK("https://www.lazada.vn/products/banh-xop-pho-mai-richeese-ahh-hop-10-cay-x-9g-i1685025344.html", "https://www.lazada.vn/products/banh-xop-pho-mai-richeese-ahh-hop-10-cay-x-9g-i1685025344.html")</f>
        <v>https://www.lazada.vn/products/banh-xop-pho-mai-richeese-ahh-hop-10-cay-x-9g-i1685025344.html</v>
      </c>
      <c r="C4593" s="10" t="s">
        <v>4593</v>
      </c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8">
        <v>9448.0</v>
      </c>
      <c r="B4594" s="9" t="str">
        <f>HYPERLINK("https://www.lazada.vn/products/20h-243-293-tang-combo-5-lays-combo-5-lays-suon-bo-90g-max-wagyu-kem-chua-tao-bien-75g-i2757021886.html", "https://www.lazada.vn/products/20h-243-293-tang-combo-5-lays-combo-5-lays-suon-bo-90g-max-wagyu-kem-chua-tao-bien-75g-i2757021886.html")</f>
        <v>https://www.lazada.vn/products/20h-243-293-tang-combo-5-lays-combo-5-lays-suon-bo-90g-max-wagyu-kem-chua-tao-bien-75g-i2757021886.html</v>
      </c>
      <c r="C4594" s="10" t="s">
        <v>4594</v>
      </c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8">
        <v>9449.0</v>
      </c>
      <c r="B4595" s="9" t="str">
        <f>HYPERLINK("https://www.lazada.vn/products/coop-online-pho-de-nhat-vi-pho-bo-340g-5-goi-x-68g-i2860305386.html", "https://www.lazada.vn/products/coop-online-pho-de-nhat-vi-pho-bo-340g-5-goi-x-68g-i2860305386.html")</f>
        <v>https://www.lazada.vn/products/coop-online-pho-de-nhat-vi-pho-bo-340g-5-goi-x-68g-i2860305386.html</v>
      </c>
      <c r="C4595" s="10" t="s">
        <v>4595</v>
      </c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8">
        <v>9450.0</v>
      </c>
      <c r="B4596" s="9" t="str">
        <f>HYPERLINK("https://www.lazada.vn/products/ghathiya-homemade-500g-i1746924998.html", "https://www.lazada.vn/products/ghathiya-homemade-500g-i1746924998.html")</f>
        <v>https://www.lazada.vn/products/ghathiya-homemade-500g-i1746924998.html</v>
      </c>
      <c r="C4596" s="10" t="s">
        <v>4596</v>
      </c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8">
        <v>9451.0</v>
      </c>
      <c r="B4597" s="9" t="str">
        <f>HYPERLINK("https://www.lazada.vn/products/mam-man-ca-sac-thom-ngon-nut-mui-1kg-i1967979644.html", "https://www.lazada.vn/products/mam-man-ca-sac-thom-ngon-nut-mui-1kg-i1967979644.html")</f>
        <v>https://www.lazada.vn/products/mam-man-ca-sac-thom-ngon-nut-mui-1kg-i1967979644.html</v>
      </c>
      <c r="C4597" s="10" t="s">
        <v>4597</v>
      </c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8">
        <v>9452.0</v>
      </c>
      <c r="B4598" s="9" t="str">
        <f>HYPERLINK("https://www.lazada.vn/products/ruou-mo-nhat-ban-nishino-seki-umeshu-500ml-15-i3009483147.html", "https://www.lazada.vn/products/ruou-mo-nhat-ban-nishino-seki-umeshu-500ml-15-i3009483147.html")</f>
        <v>https://www.lazada.vn/products/ruou-mo-nhat-ban-nishino-seki-umeshu-500ml-15-i3009483147.html</v>
      </c>
      <c r="C4598" s="10" t="s">
        <v>4598</v>
      </c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8">
        <v>9453.0</v>
      </c>
      <c r="B4599" s="9" t="str">
        <f>HYPERLINK("https://www.lazada.vn/products/tran-chau-olong-tui-200gr-400gr-bep-cua-me-onici-kem-cong-thuc-nau-topping-tra-sua-i2698444341.html", "https://www.lazada.vn/products/tran-chau-olong-tui-200gr-400gr-bep-cua-me-onici-kem-cong-thuc-nau-topping-tra-sua-i2698444341.html")</f>
        <v>https://www.lazada.vn/products/tran-chau-olong-tui-200gr-400gr-bep-cua-me-onici-kem-cong-thuc-nau-topping-tra-sua-i2698444341.html</v>
      </c>
      <c r="C4599" s="10" t="s">
        <v>4599</v>
      </c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8">
        <v>9454.0</v>
      </c>
      <c r="B4600" s="9" t="str">
        <f>HYPERLINK("https://www.lazada.vn/products/banh-quy-dinh-duong-afc-du-vi-172gr-afc-vi-rau-lua-mi-tao-bo-bit-tet-ga-sa-tac-i2904297453.html", "https://www.lazada.vn/products/banh-quy-dinh-duong-afc-du-vi-172gr-afc-vi-rau-lua-mi-tao-bo-bit-tet-ga-sa-tac-i2904297453.html")</f>
        <v>https://www.lazada.vn/products/banh-quy-dinh-duong-afc-du-vi-172gr-afc-vi-rau-lua-mi-tao-bo-bit-tet-ga-sa-tac-i2904297453.html</v>
      </c>
      <c r="C4600" s="10" t="s">
        <v>4600</v>
      </c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8">
        <v>9455.0</v>
      </c>
      <c r="B4601" s="9" t="str">
        <f>HYPERLINK("https://www.lazada.vn/products/combo-15-goi-my-tron-spaghety-kool-cung-dinh-x105g-i1487094475.html", "https://www.lazada.vn/products/combo-15-goi-my-tron-spaghety-kool-cung-dinh-x105g-i1487094475.html")</f>
        <v>https://www.lazada.vn/products/combo-15-goi-my-tron-spaghety-kool-cung-dinh-x105g-i1487094475.html</v>
      </c>
      <c r="C4601" s="10" t="s">
        <v>4601</v>
      </c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8">
        <v>9456.0</v>
      </c>
      <c r="B4602" s="9" t="str">
        <f>HYPERLINK("https://www.lazada.vn/products/sea-crown-lon-155g-ca-nuc-kho-tieu-mackerel-in-black-pepper-sauce-halal-i3036343096.html", "https://www.lazada.vn/products/sea-crown-lon-155g-ca-nuc-kho-tieu-mackerel-in-black-pepper-sauce-halal-i3036343096.html")</f>
        <v>https://www.lazada.vn/products/sea-crown-lon-155g-ca-nuc-kho-tieu-mackerel-in-black-pepper-sauce-halal-i3036343096.html</v>
      </c>
      <c r="C4602" s="10" t="s">
        <v>4602</v>
      </c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8">
        <v>9457.0</v>
      </c>
      <c r="B4603" s="9" t="str">
        <f>HYPERLINK("https://www.lazada.vn/products/coop-lo-200g-nu-bach-hoa-ngam-giam-y-capperi-i3036342341.html", "https://www.lazada.vn/products/coop-lo-200g-nu-bach-hoa-ngam-giam-y-capperi-i3036342341.html")</f>
        <v>https://www.lazada.vn/products/coop-lo-200g-nu-bach-hoa-ngam-giam-y-capperi-i3036342341.html</v>
      </c>
      <c r="C4603" s="10" t="s">
        <v>4603</v>
      </c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8">
        <v>9458.0</v>
      </c>
      <c r="B4604" s="9" t="str">
        <f>HYPERLINK("https://www.lazada.vn/products/soda-chanh-1-goi-500gr-soda-uc-nuoc-uong-giai-khat-co-san-gas-khong-can-siro-va-nuoc-co-gas-du-vi-thom-ngon-de-pha-i2485308903.html", "https://www.lazada.vn/products/soda-chanh-1-goi-500gr-soda-uc-nuoc-uong-giai-khat-co-san-gas-khong-can-siro-va-nuoc-co-gas-du-vi-thom-ngon-de-pha-i2485308903.html")</f>
        <v>https://www.lazada.vn/products/soda-chanh-1-goi-500gr-soda-uc-nuoc-uong-giai-khat-co-san-gas-khong-can-siro-va-nuoc-co-gas-du-vi-thom-ngon-de-pha-i2485308903.html</v>
      </c>
      <c r="C4604" s="10" t="s">
        <v>4604</v>
      </c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8">
        <v>9459.0</v>
      </c>
      <c r="B4605" s="9" t="str">
        <f>HYPERLINK("https://www.lazada.vn/products/tet-2025-keo-hop-socola-golden-hongya-hop-12-vien-chuong-vang-trai-tim-cau-no-nhua-kinh-quat-da-dang-mau-ma-qua-tang-sang-trong-i2922889058.html", "https://www.lazada.vn/products/tet-2025-keo-hop-socola-golden-hongya-hop-12-vien-chuong-vang-trai-tim-cau-no-nhua-kinh-quat-da-dang-mau-ma-qua-tang-sang-trong-i2922889058.html")</f>
        <v>https://www.lazada.vn/products/tet-2025-keo-hop-socola-golden-hongya-hop-12-vien-chuong-vang-trai-tim-cau-no-nhua-kinh-quat-da-dang-mau-ma-qua-tang-sang-trong-i2922889058.html</v>
      </c>
      <c r="C4605" s="10" t="s">
        <v>4605</v>
      </c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8">
        <v>9460.0</v>
      </c>
      <c r="B4606" s="9" t="str">
        <f>HYPERLINK("https://www.lazada.vn/products/siro-huong-cay-phong-khong-duong-maple-grove-farms-sugar-free-maple-flavored-syrup-gluten-free-i2545683387.html", "https://www.lazada.vn/products/siro-huong-cay-phong-khong-duong-maple-grove-farms-sugar-free-maple-flavored-syrup-gluten-free-i2545683387.html")</f>
        <v>https://www.lazada.vn/products/siro-huong-cay-phong-khong-duong-maple-grove-farms-sugar-free-maple-flavored-syrup-gluten-free-i2545683387.html</v>
      </c>
      <c r="C4606" s="10" t="s">
        <v>4606</v>
      </c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8">
        <v>9461.0</v>
      </c>
      <c r="B4607" s="9" t="str">
        <f>HYPERLINK("https://www.lazada.vn/products/bia-kirin-350ml-noi-dia-nhat-nguyen-thung-24-lon-sieu-thi-nhat-ichiban-market-i1656115717.html", "https://www.lazada.vn/products/bia-kirin-350ml-noi-dia-nhat-nguyen-thung-24-lon-sieu-thi-nhat-ichiban-market-i1656115717.html")</f>
        <v>https://www.lazada.vn/products/bia-kirin-350ml-noi-dia-nhat-nguyen-thung-24-lon-sieu-thi-nhat-ichiban-market-i1656115717.html</v>
      </c>
      <c r="C4607" s="10" t="s">
        <v>4607</v>
      </c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8">
        <v>9462.0</v>
      </c>
      <c r="B4608" s="9" t="str">
        <f>HYPERLINK("https://www.lazada.vn/products/loc-6-lon-nuoc-ngot-mirinda-xanh-330ml-dam-da-thom-ngon-dung-vi-soda-kem-la-nuoc-giai-khac-uong-lanh-ngon-tuyet-dinh-co-mau-xuan-2025-i2457133374.html", "https://www.lazada.vn/products/loc-6-lon-nuoc-ngot-mirinda-xanh-330ml-dam-da-thom-ngon-dung-vi-soda-kem-la-nuoc-giai-khac-uong-lanh-ngon-tuyet-dinh-co-mau-xuan-2025-i2457133374.html")</f>
        <v>https://www.lazada.vn/products/loc-6-lon-nuoc-ngot-mirinda-xanh-330ml-dam-da-thom-ngon-dung-vi-soda-kem-la-nuoc-giai-khac-uong-lanh-ngon-tuyet-dinh-co-mau-xuan-2025-i2457133374.html</v>
      </c>
      <c r="C4608" s="10" t="s">
        <v>4608</v>
      </c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8">
        <v>9463.0</v>
      </c>
      <c r="B4609" s="9" t="str">
        <f>HYPERLINK("https://www.lazada.vn/products/bot-tra-chanh-nestea-800g-i2680208535.html", "https://www.lazada.vn/products/bot-tra-chanh-nestea-800g-i2680208535.html")</f>
        <v>https://www.lazada.vn/products/bot-tra-chanh-nestea-800g-i2680208535.html</v>
      </c>
      <c r="C4609" s="10" t="s">
        <v>4609</v>
      </c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8">
        <v>9464.0</v>
      </c>
      <c r="B4610" s="9" t="str">
        <f>HYPERLINK("https://www.lazada.vn/products/keo-hong-sam-hac-sam-khong-duong-han-quoc-dong-goi-viet-nam-i2751069099.html", "https://www.lazada.vn/products/keo-hong-sam-hac-sam-khong-duong-han-quoc-dong-goi-viet-nam-i2751069099.html")</f>
        <v>https://www.lazada.vn/products/keo-hong-sam-hac-sam-khong-duong-han-quoc-dong-goi-viet-nam-i2751069099.html</v>
      </c>
      <c r="C4610" s="10" t="s">
        <v>4610</v>
      </c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8">
        <v>9465.0</v>
      </c>
      <c r="B4611" s="9" t="str">
        <f>HYPERLINK("https://www.lazada.vn/products/ca-phe-sua-vinacafe-gold-original-bich-nho-480g-gom-24-goi-i2691022428.html", "https://www.lazada.vn/products/ca-phe-sua-vinacafe-gold-original-bich-nho-480g-gom-24-goi-i2691022428.html")</f>
        <v>https://www.lazada.vn/products/ca-phe-sua-vinacafe-gold-original-bich-nho-480g-gom-24-goi-i2691022428.html</v>
      </c>
      <c r="C4611" s="10" t="s">
        <v>4611</v>
      </c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8">
        <v>9466.0</v>
      </c>
      <c r="B4612" s="9" t="str">
        <f>HYPERLINK("https://www.lazada.vn/products/banh-tuoi-dai-loan-tu-chon-vi-theo-y-thich-banh-dung-thu-tknk-beegin-i2646627297.html", "https://www.lazada.vn/products/banh-tuoi-dai-loan-tu-chon-vi-theo-y-thich-banh-dung-thu-tknk-beegin-i2646627297.html")</f>
        <v>https://www.lazada.vn/products/banh-tuoi-dai-loan-tu-chon-vi-theo-y-thich-banh-dung-thu-tknk-beegin-i2646627297.html</v>
      </c>
      <c r="C4612" s="10" t="s">
        <v>4612</v>
      </c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8">
        <v>9467.0</v>
      </c>
      <c r="B4613" s="9" t="str">
        <f>HYPERLINK("https://www.lazada.vn/products/vang-phap-bich-3-lit-louis-martine-i2646970108.html", "https://www.lazada.vn/products/vang-phap-bich-3-lit-louis-martine-i2646970108.html")</f>
        <v>https://www.lazada.vn/products/vang-phap-bich-3-lit-louis-martine-i2646970108.html</v>
      </c>
      <c r="C4613" s="10" t="s">
        <v>4613</v>
      </c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8">
        <v>9468.0</v>
      </c>
      <c r="B4614" s="9" t="str">
        <f>HYPERLINK("https://www.lazada.vn/products/loc-6-lon-strongbow-vi-thom-luu-kiwi-thang-long-i2794348399.html", "https://www.lazada.vn/products/loc-6-lon-strongbow-vi-thom-luu-kiwi-thang-long-i2794348399.html")</f>
        <v>https://www.lazada.vn/products/loc-6-lon-strongbow-vi-thom-luu-kiwi-thang-long-i2794348399.html</v>
      </c>
      <c r="C4614" s="10" t="s">
        <v>4614</v>
      </c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8">
        <v>9469.0</v>
      </c>
      <c r="B4615" s="9" t="str">
        <f>HYPERLINK("https://www.lazada.vn/products/xap-10-cai-banh-trang-me-loai-ngon-ha-tinh-vi-dam-da-nhieu-me-an-la-ghien-chua-nuong-i2549421937.html", "https://www.lazada.vn/products/xap-10-cai-banh-trang-me-loai-ngon-ha-tinh-vi-dam-da-nhieu-me-an-la-ghien-chua-nuong-i2549421937.html")</f>
        <v>https://www.lazada.vn/products/xap-10-cai-banh-trang-me-loai-ngon-ha-tinh-vi-dam-da-nhieu-me-an-la-ghien-chua-nuong-i2549421937.html</v>
      </c>
      <c r="C4615" s="10" t="s">
        <v>4615</v>
      </c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8">
        <v>9470.0</v>
      </c>
      <c r="B4616" s="9" t="str">
        <f>HYPERLINK("https://www.lazada.vn/products/thach-rau-cau-jin-jin-thach-dua-jin-jin-dai-loan-vi-xoai-chanh-leo-nho-tong-hop-sieu-ngon-goi-400g-i2434097044.html", "https://www.lazada.vn/products/thach-rau-cau-jin-jin-thach-dua-jin-jin-dai-loan-vi-xoai-chanh-leo-nho-tong-hop-sieu-ngon-goi-400g-i2434097044.html")</f>
        <v>https://www.lazada.vn/products/thach-rau-cau-jin-jin-thach-dua-jin-jin-dai-loan-vi-xoai-chanh-leo-nho-tong-hop-sieu-ngon-goi-400g-i2434097044.html</v>
      </c>
      <c r="C4616" s="10" t="s">
        <v>4616</v>
      </c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8">
        <v>9471.0</v>
      </c>
      <c r="B4617" s="9" t="str">
        <f>HYPERLINK("https://www.lazada.vn/products/le-kho-le-zhi-20g10-tui-le-zhi-dried-apple-va-peach-strawberries-crisp-snack-baking-raw-material-dried-fruit-snack-i2923603969.html", "https://www.lazada.vn/products/le-kho-le-zhi-20g10-tui-le-zhi-dried-apple-va-peach-strawberries-crisp-snack-baking-raw-material-dried-fruit-snack-i2923603969.html")</f>
        <v>https://www.lazada.vn/products/le-kho-le-zhi-20g10-tui-le-zhi-dried-apple-va-peach-strawberries-crisp-snack-baking-raw-material-dried-fruit-snack-i2923603969.html</v>
      </c>
      <c r="C4617" s="10" t="s">
        <v>4617</v>
      </c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8">
        <v>9472.0</v>
      </c>
      <c r="B4618" s="9" t="str">
        <f>HYPERLINK("https://www.lazada.vn/products/vodka-ha-noi-94-lo-duc-35-500ml-i3019395866.html", "https://www.lazada.vn/products/vodka-ha-noi-94-lo-duc-35-500ml-i3019395866.html")</f>
        <v>https://www.lazada.vn/products/vodka-ha-noi-94-lo-duc-35-500ml-i3019395866.html</v>
      </c>
      <c r="C4618" s="10" t="s">
        <v>4618</v>
      </c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8">
        <v>9473.0</v>
      </c>
      <c r="B4619" s="9" t="str">
        <f>HYPERLINK("https://www.lazada.vn/products/knorr-bot-sup-nen-thit-ga-hop-15kg-i1680123333.html", "https://www.lazada.vn/products/knorr-bot-sup-nen-thit-ga-hop-15kg-i1680123333.html")</f>
        <v>https://www.lazada.vn/products/knorr-bot-sup-nen-thit-ga-hop-15kg-i1680123333.html</v>
      </c>
      <c r="C4619" s="10" t="s">
        <v>4619</v>
      </c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8">
        <v>9474.0</v>
      </c>
      <c r="B4620" s="9" t="str">
        <f>HYPERLINK("https://www.lazada.vn/products/20h-243-293-tang-combo-5-lays-combo-5-lays-vi-muc-gion-kieu-dai-loan-88g-i2757019886.html", "https://www.lazada.vn/products/20h-243-293-tang-combo-5-lays-combo-5-lays-vi-muc-gion-kieu-dai-loan-88g-i2757019886.html")</f>
        <v>https://www.lazada.vn/products/20h-243-293-tang-combo-5-lays-combo-5-lays-vi-muc-gion-kieu-dai-loan-88g-i2757019886.html</v>
      </c>
      <c r="C4620" s="10" t="s">
        <v>4620</v>
      </c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8">
        <v>9475.0</v>
      </c>
      <c r="B4621" s="9" t="str">
        <f>HYPERLINK("https://www.lazada.vn/products/coop-online-mi-tron-vifon-tom-chay-toi-ly-75g-i2860278504.html", "https://www.lazada.vn/products/coop-online-mi-tron-vifon-tom-chay-toi-ly-75g-i2860278504.html")</f>
        <v>https://www.lazada.vn/products/coop-online-mi-tron-vifon-tom-chay-toi-ly-75g-i2860278504.html</v>
      </c>
      <c r="C4621" s="10" t="s">
        <v>4621</v>
      </c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8">
        <v>9476.0</v>
      </c>
      <c r="B4622" s="9" t="str">
        <f>HYPERLINK("https://www.lazada.vn/products/chinesefoodma-1911fmcgsale-giam-8-don-500k-tom-hum-dat-bao-ngu-muc-xo-diep-bach-tuoc-dong-hop-100g-re-hat-shoee-i1738093027.html", "https://www.lazada.vn/products/chinesefoodma-1911fmcgsale-giam-8-don-500k-tom-hum-dat-bao-ngu-muc-xo-diep-bach-tuoc-dong-hop-100g-re-hat-shoee-i1738093027.html")</f>
        <v>https://www.lazada.vn/products/chinesefoodma-1911fmcgsale-giam-8-don-500k-tom-hum-dat-bao-ngu-muc-xo-diep-bach-tuoc-dong-hop-100g-re-hat-shoee-i1738093027.html</v>
      </c>
      <c r="C4622" s="10" t="s">
        <v>4622</v>
      </c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8">
        <v>9477.0</v>
      </c>
      <c r="B4623" s="9" t="str">
        <f>HYPERLINK("https://www.lazada.vn/products/nui-so-6-vi-1kg-i1962461555.html", "https://www.lazada.vn/products/nui-so-6-vi-1kg-i1962461555.html")</f>
        <v>https://www.lazada.vn/products/nui-so-6-vi-1kg-i1962461555.html</v>
      </c>
      <c r="C4623" s="10" t="s">
        <v>4623</v>
      </c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8">
        <v>9478.0</v>
      </c>
      <c r="B4624" s="9" t="str">
        <f>HYPERLINK("https://www.lazada.vn/products/hop-qua-ruou-mo-nhat-umeshu-nakano-bc-mitsu-vi-mat-ong-720ml-12-i3009475223.html", "https://www.lazada.vn/products/hop-qua-ruou-mo-nhat-umeshu-nakano-bc-mitsu-vi-mat-ong-720ml-12-i3009475223.html")</f>
        <v>https://www.lazada.vn/products/hop-qua-ruou-mo-nhat-umeshu-nakano-bc-mitsu-vi-mat-ong-720ml-12-i3009475223.html</v>
      </c>
      <c r="C4624" s="10" t="s">
        <v>4624</v>
      </c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8">
        <v>9479.0</v>
      </c>
      <c r="B4625" s="9" t="str">
        <f>HYPERLINK("https://www.lazada.vn/products/thach-dua-hanh-dung-goi-1-kg-99889-i2696390318.html", "https://www.lazada.vn/products/thach-dua-hanh-dung-goi-1-kg-99889-i2696390318.html")</f>
        <v>https://www.lazada.vn/products/thach-dua-hanh-dung-goi-1-kg-99889-i2696390318.html</v>
      </c>
      <c r="C4625" s="10" t="s">
        <v>4625</v>
      </c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8">
        <v>9480.0</v>
      </c>
      <c r="B4626" s="9" t="str">
        <f>HYPERLINK("https://www.lazada.vn/products/my-tom-omni-chua-cay-combo-12-coc-x65g-omni-nooldle-i1478244148.html", "https://www.lazada.vn/products/my-tom-omni-chua-cay-combo-12-coc-x65g-omni-nooldle-i1478244148.html")</f>
        <v>https://www.lazada.vn/products/my-tom-omni-chua-cay-combo-12-coc-x65g-omni-nooldle-i1478244148.html</v>
      </c>
      <c r="C4626" s="10" t="s">
        <v>4626</v>
      </c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8">
        <v>9481.0</v>
      </c>
      <c r="B4627" s="9" t="str">
        <f>HYPERLINK("https://www.lazada.vn/products/roza-hop-xanh-la-150g-ca-thu-chien-sot-tuong-ot-tha-lan-fried-mackerel-with-chilli-halal-i3036338308.html", "https://www.lazada.vn/products/roza-hop-xanh-la-150g-ca-thu-chien-sot-tuong-ot-tha-lan-fried-mackerel-with-chilli-halal-i3036338308.html")</f>
        <v>https://www.lazada.vn/products/roza-hop-xanh-la-150g-ca-thu-chien-sot-tuong-ot-tha-lan-fried-mackerel-with-chilli-halal-i3036338308.html</v>
      </c>
      <c r="C4627" s="10" t="s">
        <v>4627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8">
        <v>9482.0</v>
      </c>
      <c r="B4628" s="9" t="str">
        <f>HYPERLINK("https://www.lazada.vn/products/thach-ngo-nep-rau-cau-vi-trai-cay-hinh-nai-chuoi-dep-la-dia-800g-i2545272335.html", "https://www.lazada.vn/products/thach-ngo-nep-rau-cau-vi-trai-cay-hinh-nai-chuoi-dep-la-dia-800g-i2545272335.html")</f>
        <v>https://www.lazada.vn/products/thach-ngo-nep-rau-cau-vi-trai-cay-hinh-nai-chuoi-dep-la-dia-800g-i2545272335.html</v>
      </c>
      <c r="C4628" s="10" t="s">
        <v>4628</v>
      </c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8">
        <v>9483.0</v>
      </c>
      <c r="B4629" s="9" t="str">
        <f>HYPERLINK("https://www.lazada.vn/products/banh-quy-bo-butter-nut-cake-mix-hat-dinh-duong-3in1-hop-360g-banh-mix-hanh-nhan-banh-mix-hat-dieu-banh-mix-dua-say-kho-an-kieng-banh-keo-tet-2025-ruvask-i2903812854.html", "https://www.lazada.vn/products/banh-quy-bo-butter-nut-cake-mix-hat-dinh-duong-3in1-hop-360g-banh-mix-hanh-nhan-banh-mix-hat-dieu-banh-mix-dua-say-kho-an-kieng-banh-keo-tet-2025-ruvask-i2903812854.html")</f>
        <v>https://www.lazada.vn/products/banh-quy-bo-butter-nut-cake-mix-hat-dinh-duong-3in1-hop-360g-banh-mix-hanh-nhan-banh-mix-hat-dieu-banh-mix-dua-say-kho-an-kieng-banh-keo-tet-2025-ruvask-i2903812854.html</v>
      </c>
      <c r="C4629" s="10" t="s">
        <v>4629</v>
      </c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8">
        <v>9484.0</v>
      </c>
      <c r="B4630" s="9" t="str">
        <f>HYPERLINK("https://www.lazada.vn/products/campbells-lon-ga-300g-sup-kem-ga-malaysia-condensed-soup-cream-of-chicken-ayam-halal-i3036338120.html", "https://www.lazada.vn/products/campbells-lon-ga-300g-sup-kem-ga-malaysia-condensed-soup-cream-of-chicken-ayam-halal-i3036338120.html")</f>
        <v>https://www.lazada.vn/products/campbells-lon-ga-300g-sup-kem-ga-malaysia-condensed-soup-cream-of-chicken-ayam-halal-i3036338120.html</v>
      </c>
      <c r="C4630" s="10" t="s">
        <v>4630</v>
      </c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8">
        <v>9485.0</v>
      </c>
      <c r="B4631" s="9" t="str">
        <f>HYPERLINK("https://www.lazada.vn/products/thung-24lon-nuoc-ngot-7up-320ml-dam-da-thom-ngon-dung-vi-chanh-la-nuoc-giai-khac-ho-tro-tot-cho-duong-tieu-hoa-uong-lanh-ngon-tuyetco-mau-xuan-2025-i2457086745.html", "https://www.lazada.vn/products/thung-24lon-nuoc-ngot-7up-320ml-dam-da-thom-ngon-dung-vi-chanh-la-nuoc-giai-khac-ho-tro-tot-cho-duong-tieu-hoa-uong-lanh-ngon-tuyetco-mau-xuan-2025-i2457086745.html")</f>
        <v>https://www.lazada.vn/products/thung-24lon-nuoc-ngot-7up-320ml-dam-da-thom-ngon-dung-vi-chanh-la-nuoc-giai-khac-ho-tro-tot-cho-duong-tieu-hoa-uong-lanh-ngon-tuyetco-mau-xuan-2025-i2457086745.html</v>
      </c>
      <c r="C4631" s="10" t="s">
        <v>4631</v>
      </c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8">
        <v>9486.0</v>
      </c>
      <c r="B4632" s="9" t="str">
        <f>HYPERLINK("https://www.lazada.vn/products/bia-asahi-super-dry-350ml-noi-dia-nhat-nguyen-thung-24-lon-sieu-thi-nhat-ichiban-market-i1655935629.html", "https://www.lazada.vn/products/bia-asahi-super-dry-350ml-noi-dia-nhat-nguyen-thung-24-lon-sieu-thi-nhat-ichiban-market-i1655935629.html")</f>
        <v>https://www.lazada.vn/products/bia-asahi-super-dry-350ml-noi-dia-nhat-nguyen-thung-24-lon-sieu-thi-nhat-ichiban-market-i1655935629.html</v>
      </c>
      <c r="C4632" s="10" t="s">
        <v>4632</v>
      </c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8">
        <v>9487.0</v>
      </c>
      <c r="B4633" s="9" t="str">
        <f>HYPERLINK("https://www.lazada.vn/products/bot-giun-do-bot-sau-do-chuyen-chep-tram-troi-ro-phi-jiuyuan-goi-50g-i2679897039.html", "https://www.lazada.vn/products/bot-giun-do-bot-sau-do-chuyen-chep-tram-troi-ro-phi-jiuyuan-goi-50g-i2679897039.html")</f>
        <v>https://www.lazada.vn/products/bot-giun-do-bot-sau-do-chuyen-chep-tram-troi-ro-phi-jiuyuan-goi-50g-i2679897039.html</v>
      </c>
      <c r="C4633" s="10" t="s">
        <v>4633</v>
      </c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8">
        <v>9488.0</v>
      </c>
      <c r="B4634" s="9" t="str">
        <f>HYPERLINK("https://www.lazada.vn/products/socola-dars-morinaga-nhan-trai-cay-nghien-hop-12-vien-i2922316157.html", "https://www.lazada.vn/products/socola-dars-morinaga-nhan-trai-cay-nghien-hop-12-vien-i2922316157.html")</f>
        <v>https://www.lazada.vn/products/socola-dars-morinaga-nhan-trai-cay-nghien-hop-12-vien-i2922316157.html</v>
      </c>
      <c r="C4634" s="10" t="s">
        <v>4634</v>
      </c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8">
        <v>9489.0</v>
      </c>
      <c r="B4635" s="9" t="str">
        <f>HYPERLINK("https://www.lazada.vn/products/ca-phe-sua-wake-up-cafe-sai-gon-456g-i2690751499.html", "https://www.lazada.vn/products/ca-phe-sua-wake-up-cafe-sai-gon-456g-i2690751499.html")</f>
        <v>https://www.lazada.vn/products/ca-phe-sua-wake-up-cafe-sai-gon-456g-i2690751499.html</v>
      </c>
      <c r="C4635" s="10" t="s">
        <v>4635</v>
      </c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8">
        <v>9490.0</v>
      </c>
      <c r="B4636" s="9" t="str">
        <f>HYPERLINK("https://www.lazada.vn/products/hang-chuan-si-thung-5kg-keo-c-trai-cay-mix-du-vi-keo-ngam-lanh-i2747714932.html", "https://www.lazada.vn/products/hang-chuan-si-thung-5kg-keo-c-trai-cay-mix-du-vi-keo-ngam-lanh-i2747714932.html")</f>
        <v>https://www.lazada.vn/products/hang-chuan-si-thung-5kg-keo-c-trai-cay-mix-du-vi-keo-ngam-lanh-i2747714932.html</v>
      </c>
      <c r="C4636" s="10" t="s">
        <v>4636</v>
      </c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8">
        <v>9491.0</v>
      </c>
      <c r="B4637" s="9" t="str">
        <f>HYPERLINK("https://www.lazada.vn/products/vo-banh-nguyen-cam-old-el-paso-4-wraps-ble-complet-tui-232g-4-cai-i2646552220.html", "https://www.lazada.vn/products/vo-banh-nguyen-cam-old-el-paso-4-wraps-ble-complet-tui-232g-4-cai-i2646552220.html")</f>
        <v>https://www.lazada.vn/products/vo-banh-nguyen-cam-old-el-paso-4-wraps-ble-complet-tui-232g-4-cai-i2646552220.html</v>
      </c>
      <c r="C4637" s="10" t="s">
        <v>4637</v>
      </c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8">
        <v>9492.0</v>
      </c>
      <c r="B4638" s="9" t="str">
        <f>HYPERLINK("https://www.lazada.vn/products/vang-phap-benjamin-mendy-750ml-i2646939158.html", "https://www.lazada.vn/products/vang-phap-benjamin-mendy-750ml-i2646939158.html")</f>
        <v>https://www.lazada.vn/products/vang-phap-benjamin-mendy-750ml-i2646939158.html</v>
      </c>
      <c r="C4638" s="10" t="s">
        <v>4638</v>
      </c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8">
        <v>9493.0</v>
      </c>
      <c r="B4639" s="9" t="str">
        <f>HYPERLINK("https://www.lazada.vn/products/dua-mon-ngam-chua-ngot-hu-1kg-giao-tphcm-i2793532634.html", "https://www.lazada.vn/products/dua-mon-ngam-chua-ngot-hu-1kg-giao-tphcm-i2793532634.html")</f>
        <v>https://www.lazada.vn/products/dua-mon-ngam-chua-ngot-hu-1kg-giao-tphcm-i2793532634.html</v>
      </c>
      <c r="C4639" s="10" t="s">
        <v>4639</v>
      </c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8">
        <v>9494.0</v>
      </c>
      <c r="B4640" s="9" t="str">
        <f>HYPERLINK("https://www.lazada.vn/products/banh-trang-deo-tom-cay-tay-ninh-do-an-vat-i2548575687.html", "https://www.lazada.vn/products/banh-trang-deo-tom-cay-tay-ninh-do-an-vat-i2548575687.html")</f>
        <v>https://www.lazada.vn/products/banh-trang-deo-tom-cay-tay-ninh-do-an-vat-i2548575687.html</v>
      </c>
      <c r="C4640" s="10" t="s">
        <v>4640</v>
      </c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8">
        <v>9495.0</v>
      </c>
      <c r="B4641" s="9" t="str">
        <f>HYPERLINK("https://www.lazada.vn/products/1kg-thach-rau-cau-trai-cay-jojo-an-vat-thach-rau-cau-cho-be-i2429814641.html", "https://www.lazada.vn/products/1kg-thach-rau-cau-trai-cay-jojo-an-vat-thach-rau-cau-cho-be-i2429814641.html")</f>
        <v>https://www.lazada.vn/products/1kg-thach-rau-cau-trai-cay-jojo-an-vat-thach-rau-cau-cho-be-i2429814641.html</v>
      </c>
      <c r="C4641" s="10" t="s">
        <v>4641</v>
      </c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8">
        <v>9496.0</v>
      </c>
      <c r="B4642" s="9" t="str">
        <f>HYPERLINK("https://www.lazada.vn/products/blocs-sua-chua-kho-54g3-hop-snack-giai-tri-deo-kho-dau-tay-deo-kho-dua-deo-kho-chuoi-thuong-hieu-becheery-i2923603768.html", "https://www.lazada.vn/products/blocs-sua-chua-kho-54g3-hop-snack-giai-tri-deo-kho-dau-tay-deo-kho-dua-deo-kho-chuoi-thuong-hieu-becheery-i2923603768.html")</f>
        <v>https://www.lazada.vn/products/blocs-sua-chua-kho-54g3-hop-snack-giai-tri-deo-kho-dau-tay-deo-kho-dua-deo-kho-chuoi-thuong-hieu-becheery-i2923603768.html</v>
      </c>
      <c r="C4642" s="10" t="s">
        <v>4642</v>
      </c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8">
        <v>9497.0</v>
      </c>
      <c r="B4643" s="9" t="str">
        <f>HYPERLINK("https://www.lazada.vn/products/vodka-hanoi-750ml-i3018730848.html", "https://www.lazada.vn/products/vodka-hanoi-750ml-i3018730848.html")</f>
        <v>https://www.lazada.vn/products/vodka-hanoi-750ml-i3018730848.html</v>
      </c>
      <c r="C4643" s="10" t="s">
        <v>4643</v>
      </c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8">
        <v>9498.0</v>
      </c>
      <c r="B4644" s="9" t="str">
        <f>HYPERLINK("https://www.lazada.vn/products/banh-quy-kep-kem-gold-daisy-236g-i1675476145.html", "https://www.lazada.vn/products/banh-quy-kep-kem-gold-daisy-236g-i1675476145.html")</f>
        <v>https://www.lazada.vn/products/banh-quy-kep-kem-gold-daisy-236g-i1675476145.html</v>
      </c>
      <c r="C4644" s="10" t="s">
        <v>4644</v>
      </c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8">
        <v>9499.0</v>
      </c>
      <c r="B4645" s="9" t="str">
        <f>HYPERLINK("https://www.lazada.vn/products/hop-10-goi-snack-rong-bien-huu-co-tach-muoi-15g-tu-6-thang-vi-truyen-thong-alvins-i2749216223.html", "https://www.lazada.vn/products/hop-10-goi-snack-rong-bien-huu-co-tach-muoi-15g-tu-6-thang-vi-truyen-thong-alvins-i2749216223.html")</f>
        <v>https://www.lazada.vn/products/hop-10-goi-snack-rong-bien-huu-co-tach-muoi-15g-tu-6-thang-vi-truyen-thong-alvins-i2749216223.html</v>
      </c>
      <c r="C4645" s="10" t="s">
        <v>4645</v>
      </c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8">
        <v>9500.0</v>
      </c>
      <c r="B4646" s="9" t="str">
        <f>HYPERLINK("https://www.lazada.vn/products/coop-online-mi-spaghetti-bistro-sot-kem-pho-mai-goi-100g-i2860269503.html", "https://www.lazada.vn/products/coop-online-mi-spaghetti-bistro-sot-kem-pho-mai-goi-100g-i2860269503.html")</f>
        <v>https://www.lazada.vn/products/coop-online-mi-spaghetti-bistro-sot-kem-pho-mai-goi-100g-i2860269503.html</v>
      </c>
      <c r="C4646" s="10" t="s">
        <v>4646</v>
      </c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8">
        <v>9501.0</v>
      </c>
      <c r="B4647" s="9" t="str">
        <f>HYPERLINK("https://www.lazada.vn/products/chinesefoodcanh-vit-dacheng-hot-hit-loai-35g-hang-san-i1738092022.html", "https://www.lazada.vn/products/chinesefoodcanh-vit-dacheng-hot-hit-loai-35g-hang-san-i1738092022.html")</f>
        <v>https://www.lazada.vn/products/chinesefoodcanh-vit-dacheng-hot-hit-loai-35g-hang-san-i1738092022.html</v>
      </c>
      <c r="C4647" s="10" t="s">
        <v>4647</v>
      </c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8">
        <v>9502.0</v>
      </c>
      <c r="B4648" s="9" t="str">
        <f>HYPERLINK("https://www.lazada.vn/products/mi-trung-1kg-i1962457619.html", "https://www.lazada.vn/products/mi-trung-1kg-i1962457619.html")</f>
        <v>https://www.lazada.vn/products/mi-trung-1kg-i1962457619.html</v>
      </c>
      <c r="C4648" s="10" t="s">
        <v>4648</v>
      </c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8">
        <v>9503.0</v>
      </c>
      <c r="B4649" s="9" t="str">
        <f>HYPERLINK("https://www.lazada.vn/products/my-tom-kokomi-chua-cay-thung-30-goi-65g-va-90g-moi-don-da-ho-tro-20k-ship-i1471432857.html", "https://www.lazada.vn/products/my-tom-kokomi-chua-cay-thung-30-goi-65g-va-90g-moi-don-da-ho-tro-20k-ship-i1471432857.html")</f>
        <v>https://www.lazada.vn/products/my-tom-kokomi-chua-cay-thung-30-goi-65g-va-90g-moi-don-da-ho-tro-20k-ship-i1471432857.html</v>
      </c>
      <c r="C4649" s="10" t="s">
        <v>4649</v>
      </c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8">
        <v>9504.0</v>
      </c>
      <c r="B4650" s="9" t="str">
        <f>HYPERLINK("https://www.lazada.vn/products/hop-qua-anh-dao-sake-nishino-seki-nigori-720ml-i3009450390.html", "https://www.lazada.vn/products/hop-qua-anh-dao-sake-nishino-seki-nigori-720ml-i3009450390.html")</f>
        <v>https://www.lazada.vn/products/hop-qua-anh-dao-sake-nishino-seki-nigori-720ml-i3009450390.html</v>
      </c>
      <c r="C4650" s="10" t="s">
        <v>4650</v>
      </c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8">
        <v>9505.0</v>
      </c>
      <c r="B4651" s="9" t="str">
        <f>HYPERLINK("https://www.lazada.vn/products/combo-5-goi-bot-suong-sam-tong-kho-nguyen-lieu-gia-si-i2695102760.html", "https://www.lazada.vn/products/combo-5-goi-bot-suong-sam-tong-kho-nguyen-lieu-gia-si-i2695102760.html")</f>
        <v>https://www.lazada.vn/products/combo-5-goi-bot-suong-sam-tong-kho-nguyen-lieu-gia-si-i2695102760.html</v>
      </c>
      <c r="C4651" s="10" t="s">
        <v>4651</v>
      </c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8">
        <v>9506.0</v>
      </c>
      <c r="B4652" s="9" t="str">
        <f>HYPERLINK("https://www.lazada.vn/products/hcmmi-xao-gion-nhat-ban-nagasaki-saraudon-i1469766678.html", "https://www.lazada.vn/products/hcmmi-xao-gion-nhat-ban-nagasaki-saraudon-i1469766678.html")</f>
        <v>https://www.lazada.vn/products/hcmmi-xao-gion-nhat-ban-nagasaki-saraudon-i1469766678.html</v>
      </c>
      <c r="C4652" s="10" t="s">
        <v>4652</v>
      </c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8">
        <v>9507.0</v>
      </c>
      <c r="B4653" s="9" t="str">
        <f>HYPERLINK("https://www.lazada.vn/products/canfresh-lon-820g-dao-tuoi-ngam-nuoc-duong-trng-quoc-peach-halves-in-syrup-i3036326449.html", "https://www.lazada.vn/products/canfresh-lon-820g-dao-tuoi-ngam-nuoc-duong-trng-quoc-peach-halves-in-syrup-i3036326449.html")</f>
        <v>https://www.lazada.vn/products/canfresh-lon-820g-dao-tuoi-ngam-nuoc-duong-trng-quoc-peach-halves-in-syrup-i3036326449.html</v>
      </c>
      <c r="C4653" s="10" t="s">
        <v>4653</v>
      </c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8">
        <v>9508.0</v>
      </c>
      <c r="B4654" s="9" t="str">
        <f>HYPERLINK("https://www.lazada.vn/products/1-kg-tran-chau-dentrang-nau-che-tra-sua-sieu-ngon-i2545086553.html", "https://www.lazada.vn/products/1-kg-tran-chau-dentrang-nau-che-tra-sua-sieu-ngon-i2545086553.html")</f>
        <v>https://www.lazada.vn/products/1-kg-tran-chau-dentrang-nau-che-tra-sua-sieu-ngon-i2545086553.html</v>
      </c>
      <c r="C4654" s="10" t="s">
        <v>4654</v>
      </c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8">
        <v>9509.0</v>
      </c>
      <c r="B4655" s="9" t="str">
        <f>HYPERLINK("https://www.lazada.vn/products/banh-quy-mix-hat-dinh-duong-3in1-nagano-nut-cake-hop-345g-banh-mix-hat-dieu-hanh-nhan-dua-kho-banh-quy-ruvask-i2903795120.html", "https://www.lazada.vn/products/banh-quy-mix-hat-dinh-duong-3in1-nagano-nut-cake-hop-345g-banh-mix-hat-dieu-hanh-nhan-dua-kho-banh-quy-ruvask-i2903795120.html")</f>
        <v>https://www.lazada.vn/products/banh-quy-mix-hat-dinh-duong-3in1-nagano-nut-cake-hop-345g-banh-mix-hat-dieu-hanh-nhan-dua-kho-banh-quy-ruvask-i2903795120.html</v>
      </c>
      <c r="C4655" s="10" t="s">
        <v>4655</v>
      </c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8">
        <v>9510.0</v>
      </c>
      <c r="B4656" s="9" t="str">
        <f>HYPERLINK("https://www.lazada.vn/products/thung-24lon-nuoc-ngot-mirinda-xanh-320ml-dam-da-thom-ngon-dung-vi-soda-kem-la-nuoc-giai-khac-uong-lanh-ngon-tuyet-dinhco-mau-xuan-2025-i2457017953.html", "https://www.lazada.vn/products/thung-24lon-nuoc-ngot-mirinda-xanh-320ml-dam-da-thom-ngon-dung-vi-soda-kem-la-nuoc-giai-khac-uong-lanh-ngon-tuyet-dinhco-mau-xuan-2025-i2457017953.html")</f>
        <v>https://www.lazada.vn/products/thung-24lon-nuoc-ngot-mirinda-xanh-320ml-dam-da-thom-ngon-dung-vi-soda-kem-la-nuoc-giai-khac-uong-lanh-ngon-tuyet-dinhco-mau-xuan-2025-i2457017953.html</v>
      </c>
      <c r="C4656" s="10" t="s">
        <v>4656</v>
      </c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8">
        <v>9511.0</v>
      </c>
      <c r="B4657" s="9" t="str">
        <f>HYPERLINK("https://www.lazada.vn/products/bia-duc-paderborner-export-55-lon-330ml-i1629140711.html", "https://www.lazada.vn/products/bia-duc-paderborner-export-55-lon-330ml-i1629140711.html")</f>
        <v>https://www.lazada.vn/products/bia-duc-paderborner-export-55-lon-330ml-i1629140711.html</v>
      </c>
      <c r="C4657" s="10" t="s">
        <v>4657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8">
        <v>9512.0</v>
      </c>
      <c r="B4658" s="9" t="str">
        <f>HYPERLINK("https://www.lazada.vn/products/socola-alphabet-meito-nhat-ban-144g-i2922254854.html", "https://www.lazada.vn/products/socola-alphabet-meito-nhat-ban-144g-i2922254854.html")</f>
        <v>https://www.lazada.vn/products/socola-alphabet-meito-nhat-ban-144g-i2922254854.html</v>
      </c>
      <c r="C4658" s="10" t="s">
        <v>4658</v>
      </c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8">
        <v>9513.0</v>
      </c>
      <c r="B4659" s="9" t="str">
        <f>HYPERLINK("https://www.lazada.vn/products/sua-hat-dinh-duong-thuan-chay-hong-hoa-organic-36-loai-hat-i2679404292.html", "https://www.lazada.vn/products/sua-hat-dinh-duong-thuan-chay-hong-hoa-organic-36-loai-hat-i2679404292.html")</f>
        <v>https://www.lazada.vn/products/sua-hat-dinh-duong-thuan-chay-hong-hoa-organic-36-loai-hat-i2679404292.html</v>
      </c>
      <c r="C4659" s="10" t="s">
        <v>4659</v>
      </c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8">
        <v>9514.0</v>
      </c>
      <c r="B4660" s="9" t="str">
        <f>HYPERLINK("https://www.lazada.vn/products/ca-phe-sua-g7-3-in-1-hop-336g-gom-21-goi-i2690747781.html", "https://www.lazada.vn/products/ca-phe-sua-g7-3-in-1-hop-336g-gom-21-goi-i2690747781.html")</f>
        <v>https://www.lazada.vn/products/ca-phe-sua-g7-3-in-1-hop-336g-gom-21-goi-i2690747781.html</v>
      </c>
      <c r="C4660" s="10" t="s">
        <v>4660</v>
      </c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8">
        <v>9515.0</v>
      </c>
      <c r="B4661" s="9" t="str">
        <f>HYPERLINK("https://www.lazada.vn/products/keo-sap-nhan-trai-cay-thom-ngon-combo-nhieu-hinh-dang-bat-mat-i2747105074.html", "https://www.lazada.vn/products/keo-sap-nhan-trai-cay-thom-ngon-combo-nhieu-hinh-dang-bat-mat-i2747105074.html")</f>
        <v>https://www.lazada.vn/products/keo-sap-nhan-trai-cay-thom-ngon-combo-nhieu-hinh-dang-bat-mat-i2747105074.html</v>
      </c>
      <c r="C4661" s="10" t="s">
        <v>4661</v>
      </c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8">
        <v>9516.0</v>
      </c>
      <c r="B4662" s="9" t="str">
        <f>HYPERLINK("https://www.lazada.vn/products/dr-trung-banh-tuiles-almond-hat-bi-me-den-banh-cookie-cao-cap-thom-beo-gion-rum-it-duong-va-khong-chat-bao-quan-i2902854120.html", "https://www.lazada.vn/products/dr-trung-banh-tuiles-almond-hat-bi-me-den-banh-cookie-cao-cap-thom-beo-gion-rum-it-duong-va-khong-chat-bao-quan-i2902854120.html")</f>
        <v>https://www.lazada.vn/products/dr-trung-banh-tuiles-almond-hat-bi-me-den-banh-cookie-cao-cap-thom-beo-gion-rum-it-duong-va-khong-chat-bao-quan-i2902854120.html</v>
      </c>
      <c r="C4662" s="10" t="s">
        <v>4662</v>
      </c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8">
        <v>9517.0</v>
      </c>
      <c r="B4663" s="9" t="str">
        <f>HYPERLINK("https://www.lazada.vn/products/sot-hersheys-socola-chai-1360g-i2538922744.html", "https://www.lazada.vn/products/sot-hersheys-socola-chai-1360g-i2538922744.html")</f>
        <v>https://www.lazada.vn/products/sot-hersheys-socola-chai-1360g-i2538922744.html</v>
      </c>
      <c r="C4663" s="10" t="s">
        <v>4663</v>
      </c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8">
        <v>9518.0</v>
      </c>
      <c r="B4664" s="9" t="str">
        <f>HYPERLINK("https://www.lazada.vn/products/vang-chile-rato-tradition-cabernet-sauvignon-i2646852309.html", "https://www.lazada.vn/products/vang-chile-rato-tradition-cabernet-sauvignon-i2646852309.html")</f>
        <v>https://www.lazada.vn/products/vang-chile-rato-tradition-cabernet-sauvignon-i2646852309.html</v>
      </c>
      <c r="C4664" s="10" t="s">
        <v>4664</v>
      </c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8">
        <v>9519.0</v>
      </c>
      <c r="B4665" s="9" t="str">
        <f>HYPERLINK("https://www.lazada.vn/products/chi-giao-hcm-xa-lach-frisee-200g-i2791973385.html", "https://www.lazada.vn/products/chi-giao-hcm-xa-lach-frisee-200g-i2791973385.html")</f>
        <v>https://www.lazada.vn/products/chi-giao-hcm-xa-lach-frisee-200g-i2791973385.html</v>
      </c>
      <c r="C4665" s="10" t="s">
        <v>4665</v>
      </c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8">
        <v>9520.0</v>
      </c>
      <c r="B4666" s="9" t="str">
        <f>HYPERLINK("https://www.lazada.vn/products/10-bich-banh-trang-rong-bien-it-cay-an-chay-duoc-tui-zip-50g-chinh-goc-banh-trang-tay-ninh-an-vat-sieu-ngon-tet-an-la-ghien-i2547773151.html", "https://www.lazada.vn/products/10-bich-banh-trang-rong-bien-it-cay-an-chay-duoc-tui-zip-50g-chinh-goc-banh-trang-tay-ninh-an-vat-sieu-ngon-tet-an-la-ghien-i2547773151.html")</f>
        <v>https://www.lazada.vn/products/10-bich-banh-trang-rong-bien-it-cay-an-chay-duoc-tui-zip-50g-chinh-goc-banh-trang-tay-ninh-an-vat-sieu-ngon-tet-an-la-ghien-i2547773151.html</v>
      </c>
      <c r="C4666" s="10" t="s">
        <v>4666</v>
      </c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8">
        <v>9521.0</v>
      </c>
      <c r="B4667" s="9" t="str">
        <f>HYPERLINK("https://www.lazada.vn/products/thach-pudding-dao-gau-dau-i2427384317.html", "https://www.lazada.vn/products/thach-pudding-dao-gau-dau-i2427384317.html")</f>
        <v>https://www.lazada.vn/products/thach-pudding-dao-gau-dau-i2427384317.html</v>
      </c>
      <c r="C4667" s="10" t="s">
        <v>4667</v>
      </c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8">
        <v>9522.0</v>
      </c>
      <c r="B4668" s="9" t="str">
        <f>HYPERLINK("https://www.lazada.vn/products/vodka-ha-noi-viet-nam-395-750ml-i3018456142.html", "https://www.lazada.vn/products/vodka-ha-noi-viet-nam-395-750ml-i3018456142.html")</f>
        <v>https://www.lazada.vn/products/vodka-ha-noi-viet-nam-395-750ml-i3018456142.html</v>
      </c>
      <c r="C4668" s="10" t="s">
        <v>4668</v>
      </c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8">
        <v>9523.0</v>
      </c>
      <c r="B4669" s="9" t="str">
        <f>HYPERLINK("https://www.lazada.vn/products/banh-kep-kem-du-vi-mico-328g-i1670182494.html", "https://www.lazada.vn/products/banh-kep-kem-du-vi-mico-328g-i1670182494.html")</f>
        <v>https://www.lazada.vn/products/banh-kep-kem-du-vi-mico-328g-i1670182494.html</v>
      </c>
      <c r="C4669" s="10" t="s">
        <v>4669</v>
      </c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8">
        <v>9524.0</v>
      </c>
      <c r="B4670" s="9" t="str">
        <f>HYPERLINK("https://www.lazada.vn/products/combo-6-anh-em-6-mon-do-an-vat-tang-10-goi-snack-ca-vien-chien-combo-an-vat-i2748528679.html", "https://www.lazada.vn/products/combo-6-anh-em-6-mon-do-an-vat-tang-10-goi-snack-ca-vien-chien-combo-an-vat-i2748528679.html")</f>
        <v>https://www.lazada.vn/products/combo-6-anh-em-6-mon-do-an-vat-tang-10-goi-snack-ca-vien-chien-combo-an-vat-i2748528679.html</v>
      </c>
      <c r="C4670" s="10" t="s">
        <v>4670</v>
      </c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8">
        <v>9525.0</v>
      </c>
      <c r="B4671" s="9" t="str">
        <f>HYPERLINK("https://www.lazada.vn/products/coop-online-chao-dinh-duong-gao-lut-dau-do-coop-select-240g-i2860268538.html", "https://www.lazada.vn/products/coop-online-chao-dinh-duong-gao-lut-dau-do-coop-select-240g-i2860268538.html")</f>
        <v>https://www.lazada.vn/products/coop-online-chao-dinh-duong-gao-lut-dau-do-coop-select-240g-i2860268538.html</v>
      </c>
      <c r="C4671" s="10" t="s">
        <v>4671</v>
      </c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8">
        <v>9526.0</v>
      </c>
      <c r="B4672" s="9" t="str">
        <f>HYPERLINK("https://www.lazada.vn/products/chinesefoodma-1911fmcgsale-giam-8-don-500k-dau-hu-thoi-cay-an-lien-ngon-dinh-chop-dac-san-trng-quoc-goi-24g-i1738091034.html", "https://www.lazada.vn/products/chinesefoodma-1911fmcgsale-giam-8-don-500k-dau-hu-thoi-cay-an-lien-ngon-dinh-chop-dac-san-trng-quoc-goi-24g-i1738091034.html")</f>
        <v>https://www.lazada.vn/products/chinesefoodma-1911fmcgsale-giam-8-don-500k-dau-hu-thoi-cay-an-lien-ngon-dinh-chop-dac-san-trng-quoc-goi-24g-i1738091034.html</v>
      </c>
      <c r="C4672" s="10" t="s">
        <v>4672</v>
      </c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8">
        <v>9527.0</v>
      </c>
      <c r="B4673" s="9" t="str">
        <f>HYPERLINK("https://www.lazada.vn/products/hu-tieu-rong-bien-1kg-i1962450509.html", "https://www.lazada.vn/products/hu-tieu-rong-bien-1kg-i1962450509.html")</f>
        <v>https://www.lazada.vn/products/hu-tieu-rong-bien-1kg-i1962450509.html</v>
      </c>
      <c r="C4673" s="10" t="s">
        <v>4673</v>
      </c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8">
        <v>9528.0</v>
      </c>
      <c r="B4674" s="9" t="str">
        <f>HYPERLINK("https://www.lazada.vn/products/nui-rau-cu-ong-dai-1kg-i1959718344.html", "https://www.lazada.vn/products/nui-rau-cu-ong-dai-1kg-i1959718344.html")</f>
        <v>https://www.lazada.vn/products/nui-rau-cu-ong-dai-1kg-i1959718344.html</v>
      </c>
      <c r="C4674" s="10" t="s">
        <v>4674</v>
      </c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8">
        <v>9529.0</v>
      </c>
      <c r="B4675" s="9" t="str">
        <f>HYPERLINK("https://www.lazada.vn/products/ruou-mo-nhat-umeshu-nakano-bc-mitsu-vi-mat-ong-720ml-12-i3009437397.html", "https://www.lazada.vn/products/ruou-mo-nhat-umeshu-nakano-bc-mitsu-vi-mat-ong-720ml-12-i3009437397.html")</f>
        <v>https://www.lazada.vn/products/ruou-mo-nhat-umeshu-nakano-bc-mitsu-vi-mat-ong-720ml-12-i3009437397.html</v>
      </c>
      <c r="C4675" s="10" t="s">
        <v>4675</v>
      </c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8">
        <v>9530.0</v>
      </c>
      <c r="B4676" s="9" t="str">
        <f>HYPERLINK("https://www.lazada.vn/products/cao-atiso-200g300g-tong-kho-nguyen-lieu-gia-si-i2693021305.html", "https://www.lazada.vn/products/cao-atiso-200g300g-tong-kho-nguyen-lieu-gia-si-i2693021305.html")</f>
        <v>https://www.lazada.vn/products/cao-atiso-200g300g-tong-kho-nguyen-lieu-gia-si-i2693021305.html</v>
      </c>
      <c r="C4676" s="10" t="s">
        <v>4676</v>
      </c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8">
        <v>9531.0</v>
      </c>
      <c r="B4677" s="9" t="str">
        <f>HYPERLINK("https://www.lazada.vn/products/hcmmi-xao-yakisoba-kieu-thai-i1469750891.html", "https://www.lazada.vn/products/hcmmi-xao-yakisoba-kieu-thai-i1469750891.html")</f>
        <v>https://www.lazada.vn/products/hcmmi-xao-yakisoba-kieu-thai-i1469750891.html</v>
      </c>
      <c r="C4677" s="10" t="s">
        <v>4677</v>
      </c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8">
        <v>9532.0</v>
      </c>
      <c r="B4678" s="9" t="str">
        <f>HYPERLINK("https://www.lazada.vn/products/century-hop-chunky-do-ca-ngu-khuc-sot-gia-vi-ca-philippines-corned-tuna-chili-halal-i3036321220.html", "https://www.lazada.vn/products/century-hop-chunky-do-ca-ngu-khuc-sot-gia-vi-ca-philippines-corned-tuna-chili-halal-i3036321220.html")</f>
        <v>https://www.lazada.vn/products/century-hop-chunky-do-ca-ngu-khuc-sot-gia-vi-ca-philippines-corned-tuna-chili-halal-i3036321220.html</v>
      </c>
      <c r="C4678" s="10" t="s">
        <v>4678</v>
      </c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8">
        <v>9533.0</v>
      </c>
      <c r="B4679" s="9" t="str">
        <f>HYPERLINK("https://www.lazada.vn/products/loc-6chai-nuoc-ngot-mirinda-xanh-chai-1500ml-dam-da-thom-ngon-dung-vi-soda-kem-la-nuoc-giai-khac-uong-lanh-ngon-tuyet-dinh-han-han-su-dung-luon-moi-i2456760129.html", "https://www.lazada.vn/products/loc-6chai-nuoc-ngot-mirinda-xanh-chai-1500ml-dam-da-thom-ngon-dung-vi-soda-kem-la-nuoc-giai-khac-uong-lanh-ngon-tuyet-dinh-han-han-su-dung-luon-moi-i2456760129.html")</f>
        <v>https://www.lazada.vn/products/loc-6chai-nuoc-ngot-mirinda-xanh-chai-1500ml-dam-da-thom-ngon-dung-vi-soda-kem-la-nuoc-giai-khac-uong-lanh-ngon-tuyet-dinh-han-han-su-dung-luon-moi-i2456760129.html</v>
      </c>
      <c r="C4679" s="10" t="s">
        <v>4679</v>
      </c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8">
        <v>9534.0</v>
      </c>
      <c r="B4680" s="9" t="str">
        <f>HYPERLINK("https://www.lazada.vn/products/malt-nau-bia-caramunich-malt-iii-i1629098162.html", "https://www.lazada.vn/products/malt-nau-bia-caramunich-malt-iii-i1629098162.html")</f>
        <v>https://www.lazada.vn/products/malt-nau-bia-caramunich-malt-iii-i1629098162.html</v>
      </c>
      <c r="C4680" s="10" t="s">
        <v>4680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8">
        <v>9535.0</v>
      </c>
      <c r="B4681" s="9" t="str">
        <f>HYPERLINK("https://www.lazada.vn/products/si-hop-socola-vuong-y-hop-20-vien-tron-i2922087651.html", "https://www.lazada.vn/products/si-hop-socola-vuong-y-hop-20-vien-tron-i2922087651.html")</f>
        <v>https://www.lazada.vn/products/si-hop-socola-vuong-y-hop-20-vien-tron-i2922087651.html</v>
      </c>
      <c r="C4681" s="10" t="s">
        <v>4681</v>
      </c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8">
        <v>9536.0</v>
      </c>
      <c r="B4682" s="9" t="str">
        <f>HYPERLINK("https://www.lazada.vn/products/hcmset-nguyen-lieu-nau-bia-i1627585124.html", "https://www.lazada.vn/products/hcmset-nguyen-lieu-nau-bia-i1627585124.html")</f>
        <v>https://www.lazada.vn/products/hcmset-nguyen-lieu-nau-bia-i1627585124.html</v>
      </c>
      <c r="C4682" s="10" t="s">
        <v>4682</v>
      </c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8">
        <v>9537.0</v>
      </c>
      <c r="B4683" s="9" t="str">
        <f>HYPERLINK("https://www.lazada.vn/products/combo-5-hop-banh-quy-munchys-lexus-2-vi-lua-chon-vi-kep-kem-pho-mai-cheese-cream-va-vi-socola-hop-150gx5-i2901646869.html", "https://www.lazada.vn/products/combo-5-hop-banh-quy-munchys-lexus-2-vi-lua-chon-vi-kep-kem-pho-mai-cheese-cream-va-vi-socola-hop-150gx5-i2901646869.html")</f>
        <v>https://www.lazada.vn/products/combo-5-hop-banh-quy-munchys-lexus-2-vi-lua-chon-vi-kep-kem-pho-mai-cheese-cream-va-vi-socola-hop-150gx5-i2901646869.html</v>
      </c>
      <c r="C4683" s="10" t="s">
        <v>4683</v>
      </c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8">
        <v>9538.0</v>
      </c>
      <c r="B4684" s="9" t="str">
        <f>HYPERLINK("https://www.lazada.vn/products/socola-sua-glico-libera-milk-50g-i2921875800.html", "https://www.lazada.vn/products/socola-sua-glico-libera-milk-50g-i2921875800.html")</f>
        <v>https://www.lazada.vn/products/socola-sua-glico-libera-milk-50g-i2921875800.html</v>
      </c>
      <c r="C4684" s="10" t="s">
        <v>4684</v>
      </c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8">
        <v>9539.0</v>
      </c>
      <c r="B4685" s="9" t="str">
        <f>HYPERLINK("https://www.lazada.vn/products/thach-dua-trung-tin-goi-500g-i2538883280.html", "https://www.lazada.vn/products/thach-dua-trung-tin-goi-500g-i2538883280.html")</f>
        <v>https://www.lazada.vn/products/thach-dua-trung-tin-goi-500g-i2538883280.html</v>
      </c>
      <c r="C4685" s="10" t="s">
        <v>4685</v>
      </c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8">
        <v>9540.0</v>
      </c>
      <c r="B4686" s="9" t="str">
        <f>HYPERLINK("https://www.lazada.vn/products/bot-rau-ma-say-lanh-nguyen-chat-hop-500g-thanh-nhiet-tot-thai-doc-mat-gan-dap-mat-na-dep-da-i2678490306.html", "https://www.lazada.vn/products/bot-rau-ma-say-lanh-nguyen-chat-hop-500g-thanh-nhiet-tot-thai-doc-mat-gan-dap-mat-na-dep-da-i2678490306.html")</f>
        <v>https://www.lazada.vn/products/bot-rau-ma-say-lanh-nguyen-chat-hop-500g-thanh-nhiet-tot-thai-doc-mat-gan-dap-mat-na-dep-da-i2678490306.html</v>
      </c>
      <c r="C4686" s="10" t="s">
        <v>4686</v>
      </c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8">
        <v>9541.0</v>
      </c>
      <c r="B4687" s="9" t="str">
        <f>HYPERLINK("https://www.lazada.vn/products/ca-phe-sua-g7-3-in-1-bich-320g-gom-20-goi-i2690740812.html", "https://www.lazada.vn/products/ca-phe-sua-g7-3-in-1-bich-320g-gom-20-goi-i2690740812.html")</f>
        <v>https://www.lazada.vn/products/ca-phe-sua-g7-3-in-1-bich-320g-gom-20-goi-i2690740812.html</v>
      </c>
      <c r="C4687" s="10" t="s">
        <v>4687</v>
      </c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8">
        <v>9542.0</v>
      </c>
      <c r="B4688" s="9" t="str">
        <f>HYPERLINK("https://www.lazada.vn/products/keo-sting-vi-dau-tay-goi-320gram-banh-keo-an-vat-i2746184274.html", "https://www.lazada.vn/products/keo-sting-vi-dau-tay-goi-320gram-banh-keo-an-vat-i2746184274.html")</f>
        <v>https://www.lazada.vn/products/keo-sting-vi-dau-tay-goi-320gram-banh-keo-an-vat-i2746184274.html</v>
      </c>
      <c r="C4688" s="10" t="s">
        <v>4688</v>
      </c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8">
        <v>9543.0</v>
      </c>
      <c r="B4689" s="9" t="str">
        <f>HYPERLINK("https://www.lazada.vn/products/keo-sting-dau-goi-320gr-keo-tang-luc-styng-bo-huc-banh-keo-an-vat-i2746018900.html", "https://www.lazada.vn/products/keo-sting-dau-goi-320gr-keo-tang-luc-styng-bo-huc-banh-keo-an-vat-i2746018900.html")</f>
        <v>https://www.lazada.vn/products/keo-sting-dau-goi-320gr-keo-tang-luc-styng-bo-huc-banh-keo-an-vat-i2746018900.html</v>
      </c>
      <c r="C4689" s="10" t="s">
        <v>4689</v>
      </c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8">
        <v>9544.0</v>
      </c>
      <c r="B4690" s="9" t="str">
        <f>HYPERLINK("https://www.lazada.vn/products/vang-y-megale-negroamaro-i2646848410.html", "https://www.lazada.vn/products/vang-y-megale-negroamaro-i2646848410.html")</f>
        <v>https://www.lazada.vn/products/vang-y-megale-negroamaro-i2646848410.html</v>
      </c>
      <c r="C4690" s="10" t="s">
        <v>4690</v>
      </c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8">
        <v>9545.0</v>
      </c>
      <c r="B4691" s="9" t="str">
        <f>HYPERLINK("https://www.lazada.vn/products/sinh-to-chanh-day-golden-farm-chai-1l-i2791949622.html", "https://www.lazada.vn/products/sinh-to-chanh-day-golden-farm-chai-1l-i2791949622.html")</f>
        <v>https://www.lazada.vn/products/sinh-to-chanh-day-golden-farm-chai-1l-i2791949622.html</v>
      </c>
      <c r="C4691" s="10" t="s">
        <v>4691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8">
        <v>9546.0</v>
      </c>
      <c r="B4692" s="9" t="str">
        <f>HYPERLINK("https://www.lazada.vn/products/que-tam-hang-dai-banh-an-vat-tuoi-tho-1000dbich-i2546029661.html", "https://www.lazada.vn/products/que-tam-hang-dai-banh-an-vat-tuoi-tho-1000dbich-i2546029661.html")</f>
        <v>https://www.lazada.vn/products/que-tam-hang-dai-banh-an-vat-tuoi-tho-1000dbich-i2546029661.html</v>
      </c>
      <c r="C4692" s="10" t="s">
        <v>4692</v>
      </c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8">
        <v>9547.0</v>
      </c>
      <c r="B4693" s="9" t="str">
        <f>HYPERLINK("https://www.lazada.vn/products/thach-rau-cau-thach-trai-cay-jinjin-ice-pop-dai-loan-680g-i2426437454.html", "https://www.lazada.vn/products/thach-rau-cau-thach-trai-cay-jinjin-ice-pop-dai-loan-680g-i2426437454.html")</f>
        <v>https://www.lazada.vn/products/thach-rau-cau-thach-trai-cay-jinjin-ice-pop-dai-loan-680g-i2426437454.html</v>
      </c>
      <c r="C4693" s="10" t="s">
        <v>4693</v>
      </c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8">
        <v>9548.0</v>
      </c>
      <c r="B4694" s="9" t="str">
        <f>HYPERLINK("https://www.lazada.vn/products/vodka-ha-noi-94-lo-duc-195-700ml-co-hop-i3018448217.html", "https://www.lazada.vn/products/vodka-ha-noi-94-lo-duc-195-700ml-co-hop-i3018448217.html")</f>
        <v>https://www.lazada.vn/products/vodka-ha-noi-94-lo-duc-195-700ml-co-hop-i3018448217.html</v>
      </c>
      <c r="C4694" s="10" t="s">
        <v>4694</v>
      </c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8">
        <v>9549.0</v>
      </c>
      <c r="B4695" s="9" t="str">
        <f>HYPERLINK("https://www.lazada.vn/products/keo-nougat-keo-hanh-phuc-nhieu-vi-100gr-keo-sua-hat-dinh-duong-mix-trai-cay-kho-eatcleanfood1983-i1669566562.html", "https://www.lazada.vn/products/keo-nougat-keo-hanh-phuc-nhieu-vi-100gr-keo-sua-hat-dinh-duong-mix-trai-cay-kho-eatcleanfood1983-i1669566562.html")</f>
        <v>https://www.lazada.vn/products/keo-nougat-keo-hanh-phuc-nhieu-vi-100gr-keo-sua-hat-dinh-duong-mix-trai-cay-kho-eatcleanfood1983-i1669566562.html</v>
      </c>
      <c r="C4695" s="10" t="s">
        <v>4695</v>
      </c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8">
        <v>9550.0</v>
      </c>
      <c r="B4696" s="9" t="str">
        <f>HYPERLINK("https://www.lazada.vn/products/set-10-goi-an-vat-cay-mix-du-vi-tong-hop-i2747630971.html", "https://www.lazada.vn/products/set-10-goi-an-vat-cay-mix-du-vi-tong-hop-i2747630971.html")</f>
        <v>https://www.lazada.vn/products/set-10-goi-an-vat-cay-mix-du-vi-tong-hop-i2747630971.html</v>
      </c>
      <c r="C4696" s="10" t="s">
        <v>4696</v>
      </c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8">
        <v>9551.0</v>
      </c>
      <c r="B4697" s="9" t="str">
        <f>HYPERLINK("https://www.lazada.vn/products/coop-online-pho-tron-de-nhat-thap-cam-cay-8g-i2860253526.html", "https://www.lazada.vn/products/coop-online-pho-tron-de-nhat-thap-cam-cay-8g-i2860253526.html")</f>
        <v>https://www.lazada.vn/products/coop-online-pho-tron-de-nhat-thap-cam-cay-8g-i2860253526.html</v>
      </c>
      <c r="C4697" s="10" t="s">
        <v>4697</v>
      </c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8">
        <v>9552.0</v>
      </c>
      <c r="B4698" s="9" t="str">
        <f>HYPERLINK("https://www.lazada.vn/products/chinesefoodre-hat-shoee-tong-hop-cac-loai-o-mai-hoa-qua-nhiet-doi-sieu-ngon-goi-25g-i1738091015.html", "https://www.lazada.vn/products/chinesefoodre-hat-shoee-tong-hop-cac-loai-o-mai-hoa-qua-nhiet-doi-sieu-ngon-goi-25g-i1738091015.html")</f>
        <v>https://www.lazada.vn/products/chinesefoodre-hat-shoee-tong-hop-cac-loai-o-mai-hoa-qua-nhiet-doi-sieu-ngon-goi-25g-i1738091015.html</v>
      </c>
      <c r="C4698" s="10" t="s">
        <v>4698</v>
      </c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8">
        <v>9553.0</v>
      </c>
      <c r="B4699" s="9" t="str">
        <f>HYPERLINK("https://www.lazada.vn/products/nui-so-rau-cu-1kg-bao-bi-tet-lam-qua-bieu-tang-i1959679833.html", "https://www.lazada.vn/products/nui-so-rau-cu-1kg-bao-bi-tet-lam-qua-bieu-tang-i1959679833.html")</f>
        <v>https://www.lazada.vn/products/nui-so-rau-cu-1kg-bao-bi-tet-lam-qua-bieu-tang-i1959679833.html</v>
      </c>
      <c r="C4699" s="10" t="s">
        <v>4699</v>
      </c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8">
        <v>9554.0</v>
      </c>
      <c r="B4700" s="9" t="str">
        <f>HYPERLINK("https://www.lazada.vn/products/pho-ha-noi-cung-dinh-1-thung-30-goi-x68g-2-vi-ga-hoac-bo-giao-ngau-nhien-i1465416533.html", "https://www.lazada.vn/products/pho-ha-noi-cung-dinh-1-thung-30-goi-x68g-2-vi-ga-hoac-bo-giao-ngau-nhien-i1465416533.html")</f>
        <v>https://www.lazada.vn/products/pho-ha-noi-cung-dinh-1-thung-30-goi-x68g-2-vi-ga-hoac-bo-giao-ngau-nhien-i1465416533.html</v>
      </c>
      <c r="C4700" s="10" t="s">
        <v>4700</v>
      </c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8">
        <v>9555.0</v>
      </c>
      <c r="B4701" s="9" t="str">
        <f>HYPERLINK("https://www.lazada.vn/products/nuoc-cot-atiso-do-thanh-mat-chua-chua-ngot-dam-ong-uong-ba-khen-qua-vat-da-lat-i2690940456.html", "https://www.lazada.vn/products/nuoc-cot-atiso-do-thanh-mat-chua-chua-ngot-dam-ong-uong-ba-khen-qua-vat-da-lat-i2690940456.html")</f>
        <v>https://www.lazada.vn/products/nuoc-cot-atiso-do-thanh-mat-chua-chua-ngot-dam-ong-uong-ba-khen-qua-vat-da-lat-i2690940456.html</v>
      </c>
      <c r="C4701" s="10" t="s">
        <v>4701</v>
      </c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8">
        <v>9556.0</v>
      </c>
      <c r="B4702" s="9" t="str">
        <f>HYPERLINK("https://www.lazada.vn/products/thugraveng-30-goacutei-85g-my-lau-nam-bagraveo-ngu-chua-cay-reeva-dugraveng-chay-duoc-i1461371656.html", "https://www.lazada.vn/products/thugraveng-30-goacutei-85g-my-lau-nam-bagraveo-ngu-chua-cay-reeva-dugraveng-chay-duoc-i1461371656.html")</f>
        <v>https://www.lazada.vn/products/thugraveng-30-goacutei-85g-my-lau-nam-bagraveo-ngu-chua-cay-reeva-dugraveng-chay-duoc-i1461371656.html</v>
      </c>
      <c r="C4702" s="10" t="s">
        <v>4702</v>
      </c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8">
        <v>9557.0</v>
      </c>
      <c r="B4703" s="9" t="str">
        <f>HYPERLINK("https://www.lazada.vn/products/hop-qua-van-phuc-ruou-sake-nishino-seki-hiya-720ml-i3009437387.html", "https://www.lazada.vn/products/hop-qua-van-phuc-ruou-sake-nishino-seki-hiya-720ml-i3009437387.html")</f>
        <v>https://www.lazada.vn/products/hop-qua-van-phuc-ruou-sake-nishino-seki-hiya-720ml-i3009437387.html</v>
      </c>
      <c r="C4703" s="10" t="s">
        <v>4703</v>
      </c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8">
        <v>9558.0</v>
      </c>
      <c r="B4704" s="9" t="str">
        <f>HYPERLINK("https://www.lazada.vn/products/sinh-to-trai-cay-osterberg-1l-i2538026051.html", "https://www.lazada.vn/products/sinh-to-trai-cay-osterberg-1l-i2538026051.html")</f>
        <v>https://www.lazada.vn/products/sinh-to-trai-cay-osterberg-1l-i2538026051.html</v>
      </c>
      <c r="C4704" s="10" t="s">
        <v>4704</v>
      </c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8">
        <v>9559.0</v>
      </c>
      <c r="B4705" s="9" t="str">
        <f>HYPERLINK("https://www.lazada.vn/products/nautilus-hop-den-ca-ngu-phet-banh-quy-vi-nam-tha-lan-truffle-tuna-spread-with-crackers-halal-i3036319463.html", "https://www.lazada.vn/products/nautilus-hop-den-ca-ngu-phet-banh-quy-vi-nam-tha-lan-truffle-tuna-spread-with-crackers-halal-i3036319463.html")</f>
        <v>https://www.lazada.vn/products/nautilus-hop-den-ca-ngu-phet-banh-quy-vi-nam-tha-lan-truffle-tuna-spread-with-crackers-halal-i3036319463.html</v>
      </c>
      <c r="C4705" s="10" t="s">
        <v>4705</v>
      </c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8">
        <v>9560.0</v>
      </c>
      <c r="B4706" s="9" t="str">
        <f>HYPERLINK("https://www.lazada.vn/products/loc-6-chai-nuoc-ngot-mirinda-xaxi-390ml-dam-da-thom-ngon-dung-vi-xa-xi-la-nuoc-giai-khac-bat-tung-nang-luong-uong-lanh-ngon-tuyet-dinh-han-su-dung-luon-moi-i2456726009.html", "https://www.lazada.vn/products/loc-6-chai-nuoc-ngot-mirinda-xaxi-390ml-dam-da-thom-ngon-dung-vi-xa-xi-la-nuoc-giai-khac-bat-tung-nang-luong-uong-lanh-ngon-tuyet-dinh-han-su-dung-luon-moi-i2456726009.html")</f>
        <v>https://www.lazada.vn/products/loc-6-chai-nuoc-ngot-mirinda-xaxi-390ml-dam-da-thom-ngon-dung-vi-xa-xi-la-nuoc-giai-khac-bat-tung-nang-luong-uong-lanh-ngon-tuyet-dinh-han-su-dung-luon-moi-i2456726009.html</v>
      </c>
      <c r="C4706" s="10" t="s">
        <v>4706</v>
      </c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8">
        <v>9561.0</v>
      </c>
      <c r="B4707" s="9" t="str">
        <f>HYPERLINK("https://www.lazada.vn/products/thung-bia-tiger-24-lon-24330ml-i1612339498.html", "https://www.lazada.vn/products/thung-bia-tiger-24-lon-24330ml-i1612339498.html")</f>
        <v>https://www.lazada.vn/products/thung-bia-tiger-24-lon-24330ml-i1612339498.html</v>
      </c>
      <c r="C4707" s="10" t="s">
        <v>4707</v>
      </c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8">
        <v>9562.0</v>
      </c>
      <c r="B4708" s="9" t="str">
        <f>HYPERLINK("https://www.lazada.vn/products/socola-cadbury-dairy-milk-37g-nhieu-loai-i2921728206.html", "https://www.lazada.vn/products/socola-cadbury-dairy-milk-37g-nhieu-loai-i2921728206.html")</f>
        <v>https://www.lazada.vn/products/socola-cadbury-dairy-milk-37g-nhieu-loai-i2921728206.html</v>
      </c>
      <c r="C4708" s="10" t="s">
        <v>4708</v>
      </c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8">
        <v>9563.0</v>
      </c>
      <c r="B4709" s="9" t="str">
        <f>HYPERLINK("https://www.lazada.vn/products/combo-tiet-kiem-2-tui-ca-phe-sua-da-hoa-tan-truyen-thong-cafe-sua-da-hoa-tan-tui-tien-loi-ban-me-gold-rexsun-i2690631133.html", "https://www.lazada.vn/products/combo-tiet-kiem-2-tui-ca-phe-sua-da-hoa-tan-truyen-thong-cafe-sua-da-hoa-tan-tui-tien-loi-ban-me-gold-rexsun-i2690631133.html")</f>
        <v>https://www.lazada.vn/products/combo-tiet-kiem-2-tui-ca-phe-sua-da-hoa-tan-truyen-thong-cafe-sua-da-hoa-tan-tui-tien-loi-ban-me-gold-rexsun-i2690631133.html</v>
      </c>
      <c r="C4709" s="10" t="s">
        <v>4709</v>
      </c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8">
        <v>9564.0</v>
      </c>
      <c r="B4710" s="9" t="str">
        <f>HYPERLINK("https://www.lazada.vn/products/bot-cacao-sua-nesquik-cua-my-1275kg-i2678257341.html", "https://www.lazada.vn/products/bot-cacao-sua-nesquik-cua-my-1275kg-i2678257341.html")</f>
        <v>https://www.lazada.vn/products/bot-cacao-sua-nesquik-cua-my-1275kg-i2678257341.html</v>
      </c>
      <c r="C4710" s="10" t="s">
        <v>4710</v>
      </c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8">
        <v>9565.0</v>
      </c>
      <c r="B4711" s="9" t="str">
        <f>HYPERLINK("https://www.lazada.vn/products/banh-trung-nuong-tipo-115g-i2901599904.html", "https://www.lazada.vn/products/banh-trung-nuong-tipo-115g-i2901599904.html")</f>
        <v>https://www.lazada.vn/products/banh-trung-nuong-tipo-115g-i2901599904.html</v>
      </c>
      <c r="C4711" s="10" t="s">
        <v>4711</v>
      </c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8">
        <v>9566.0</v>
      </c>
      <c r="B4712" s="9" t="str">
        <f>HYPERLINK("https://www.lazada.vn/products/keo-me-soi-thai-lan-moniegold-chua-chua-ngot-ngot-sieu-cuon-i2745829023.html", "https://www.lazada.vn/products/keo-me-soi-thai-lan-moniegold-chua-chua-ngot-ngot-sieu-cuon-i2745829023.html")</f>
        <v>https://www.lazada.vn/products/keo-me-soi-thai-lan-moniegold-chua-chua-ngot-ngot-sieu-cuon-i2745829023.html</v>
      </c>
      <c r="C4712" s="10" t="s">
        <v>4712</v>
      </c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8">
        <v>9567.0</v>
      </c>
      <c r="B4713" s="9" t="str">
        <f>HYPERLINK("https://www.lazada.vn/products/vang-phap-lafage-narassa-i2646847395.html", "https://www.lazada.vn/products/vang-phap-lafage-narassa-i2646847395.html")</f>
        <v>https://www.lazada.vn/products/vang-phap-lafage-narassa-i2646847395.html</v>
      </c>
      <c r="C4713" s="10" t="s">
        <v>4713</v>
      </c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8">
        <v>9568.0</v>
      </c>
      <c r="B4714" s="9" t="str">
        <f>HYPERLINK("https://www.lazada.vn/products/vien-chanh-day-chanh-leo-say-thang-hoa-co-dac-100g-200g-dien-hi-tra-i2791694696.html", "https://www.lazada.vn/products/vien-chanh-day-chanh-leo-say-thang-hoa-co-dac-100g-200g-dien-hi-tra-i2791694696.html")</f>
        <v>https://www.lazada.vn/products/vien-chanh-day-chanh-leo-say-thang-hoa-co-dac-100g-200g-dien-hi-tra-i2791694696.html</v>
      </c>
      <c r="C4714" s="10" t="s">
        <v>4714</v>
      </c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8">
        <v>9569.0</v>
      </c>
      <c r="B4715" s="9" t="str">
        <f>HYPERLINK("https://www.lazada.vn/products/bim-bim-que-dau-ha-lan-thom-ngon-do-an-vat-i2540142056.html", "https://www.lazada.vn/products/bim-bim-que-dau-ha-lan-thom-ngon-do-an-vat-i2540142056.html")</f>
        <v>https://www.lazada.vn/products/bim-bim-que-dau-ha-lan-thom-ngon-do-an-vat-i2540142056.html</v>
      </c>
      <c r="C4715" s="10" t="s">
        <v>4715</v>
      </c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8">
        <v>9570.0</v>
      </c>
      <c r="B4716" s="9" t="str">
        <f>HYPERLINK("https://www.lazada.vn/products/thach-rau-cau-pudding-vi-trung-sua-hop-16-cai-egg-flavored-pudding-houyi-dai-loan-260g-i2426403807.html", "https://www.lazada.vn/products/thach-rau-cau-pudding-vi-trung-sua-hop-16-cai-egg-flavored-pudding-houyi-dai-loan-260g-i2426403807.html")</f>
        <v>https://www.lazada.vn/products/thach-rau-cau-pudding-vi-trung-sua-hop-16-cai-egg-flavored-pudding-houyi-dai-loan-260g-i2426403807.html</v>
      </c>
      <c r="C4716" s="10" t="s">
        <v>4716</v>
      </c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8">
        <v>9571.0</v>
      </c>
      <c r="B4717" s="9" t="str">
        <f>HYPERLINK("https://www.lazada.vn/products/vodka-men-lon-395-500ml-i3018435204.html", "https://www.lazada.vn/products/vodka-men-lon-395-500ml-i3018435204.html")</f>
        <v>https://www.lazada.vn/products/vodka-men-lon-395-500ml-i3018435204.html</v>
      </c>
      <c r="C4717" s="10" t="s">
        <v>4717</v>
      </c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8">
        <v>9572.0</v>
      </c>
      <c r="B4718" s="9" t="str">
        <f>HYPERLINK("https://www.lazada.vn/products/banh-quy-bo-danisa-hop-thiec-3-size-454g-681g-908g-i1667235819.html", "https://www.lazada.vn/products/banh-quy-bo-danisa-hop-thiec-3-size-454g-681g-908g-i1667235819.html")</f>
        <v>https://www.lazada.vn/products/banh-quy-bo-danisa-hop-thiec-3-size-454g-681g-908g-i1667235819.html</v>
      </c>
      <c r="C4718" s="10" t="s">
        <v>4718</v>
      </c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8">
        <v>9573.0</v>
      </c>
      <c r="B4719" s="9" t="str">
        <f>HYPERLINK("https://www.lazada.vn/products/500g-khoai-lang-say-mam-hanh-gion-i2746322055.html", "https://www.lazada.vn/products/500g-khoai-lang-say-mam-hanh-gion-i2746322055.html")</f>
        <v>https://www.lazada.vn/products/500g-khoai-lang-say-mam-hanh-gion-i2746322055.html</v>
      </c>
      <c r="C4719" s="10" t="s">
        <v>4719</v>
      </c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8">
        <v>9574.0</v>
      </c>
      <c r="B4720" s="9" t="str">
        <f>HYPERLINK("https://www.lazada.vn/products/coop-online-mi-ngonngon-lau-thai-tom-ly60g-i2860251600.html", "https://www.lazada.vn/products/coop-online-mi-ngonngon-lau-thai-tom-ly60g-i2860251600.html")</f>
        <v>https://www.lazada.vn/products/coop-online-mi-ngonngon-lau-thai-tom-ly60g-i2860251600.html</v>
      </c>
      <c r="C4720" s="10" t="s">
        <v>4720</v>
      </c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8">
        <v>9575.0</v>
      </c>
      <c r="B4721" s="9" t="str">
        <f>HYPERLINK("https://www.lazada.vn/products/chinesefoodma-1911fmcgsale-giam-8-don-500k-san-hang-chan-ga-cay-yuyu-100g-re-hat-shoee-i1738085068.html", "https://www.lazada.vn/products/chinesefoodma-1911fmcgsale-giam-8-don-500k-san-hang-chan-ga-cay-yuyu-100g-re-hat-shoee-i1738085068.html")</f>
        <v>https://www.lazada.vn/products/chinesefoodma-1911fmcgsale-giam-8-don-500k-san-hang-chan-ga-cay-yuyu-100g-re-hat-shoee-i1738085068.html</v>
      </c>
      <c r="C4721" s="10" t="s">
        <v>4721</v>
      </c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8">
        <v>9576.0</v>
      </c>
      <c r="B4722" s="9" t="str">
        <f>HYPERLINK("https://www.lazada.vn/products/mam-man-ca-ro-dong-nha-lam-thom-nut-mui-1kg-i1959607756.html", "https://www.lazada.vn/products/mam-man-ca-ro-dong-nha-lam-thom-nut-mui-1kg-i1959607756.html")</f>
        <v>https://www.lazada.vn/products/mam-man-ca-ro-dong-nha-lam-thom-nut-mui-1kg-i1959607756.html</v>
      </c>
      <c r="C4722" s="10" t="s">
        <v>4722</v>
      </c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8">
        <v>9577.0</v>
      </c>
      <c r="B4723" s="9" t="str">
        <f>HYPERLINK("https://www.lazada.vn/products/my-tom-omni-chua-cay-thung-30-goi-x75g-omni-nooldle-i1456113675.html", "https://www.lazada.vn/products/my-tom-omni-chua-cay-thung-30-goi-x75g-omni-nooldle-i1456113675.html")</f>
        <v>https://www.lazada.vn/products/my-tom-omni-chua-cay-thung-30-goi-x75g-omni-nooldle-i1456113675.html</v>
      </c>
      <c r="C4723" s="10" t="s">
        <v>4723</v>
      </c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8">
        <v>9578.0</v>
      </c>
      <c r="B4724" s="9" t="str">
        <f>HYPERLINK("https://www.lazada.vn/products/hop-qua-ruou-mo-nhat-ban-nakano-umeshu-nhat-ban-14-i3009416421.html", "https://www.lazada.vn/products/hop-qua-ruou-mo-nhat-ban-nakano-umeshu-nhat-ban-14-i3009416421.html")</f>
        <v>https://www.lazada.vn/products/hop-qua-ruou-mo-nhat-ban-nakano-umeshu-nhat-ban-14-i3009416421.html</v>
      </c>
      <c r="C4724" s="10" t="s">
        <v>4724</v>
      </c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8">
        <v>9579.0</v>
      </c>
      <c r="B4725" s="9" t="str">
        <f>HYPERLINK("https://www.lazada.vn/products/cao-mem-atiso-co-dac-tu-bong-than-re-va-la-qua-vat-da-lat-i2690892521.html", "https://www.lazada.vn/products/cao-mem-atiso-co-dac-tu-bong-than-re-va-la-qua-vat-da-lat-i2690892521.html")</f>
        <v>https://www.lazada.vn/products/cao-mem-atiso-co-dac-tu-bong-than-re-va-la-qua-vat-da-lat-i2690892521.html</v>
      </c>
      <c r="C4725" s="10" t="s">
        <v>4725</v>
      </c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8">
        <v>9580.0</v>
      </c>
      <c r="B4726" s="9" t="str">
        <f>HYPERLINK("https://www.lazada.vn/products/tulip-hop-nho-200g-heo-thit-heo-hop-dan-mach-pork-lucheon-meat-i3036315304.html", "https://www.lazada.vn/products/tulip-hop-nho-200g-heo-thit-heo-hop-dan-mach-pork-lucheon-meat-i3036315304.html")</f>
        <v>https://www.lazada.vn/products/tulip-hop-nho-200g-heo-thit-heo-hop-dan-mach-pork-lucheon-meat-i3036315304.html</v>
      </c>
      <c r="C4726" s="10" t="s">
        <v>4726</v>
      </c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8">
        <v>9581.0</v>
      </c>
      <c r="B4727" s="9" t="str">
        <f>HYPERLINK("https://www.lazada.vn/products/chinh-hang-soju-han-quoc-jinro-combo-06-chai-tu-chon-vi-360ml-nhap-khau-tu-han-quoc-i2538006464.html", "https://www.lazada.vn/products/chinh-hang-soju-han-quoc-jinro-combo-06-chai-tu-chon-vi-360ml-nhap-khau-tu-han-quoc-i2538006464.html")</f>
        <v>https://www.lazada.vn/products/chinh-hang-soju-han-quoc-jinro-combo-06-chai-tu-chon-vi-360ml-nhap-khau-tu-han-quoc-i2538006464.html</v>
      </c>
      <c r="C4727" s="10" t="s">
        <v>4727</v>
      </c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8">
        <v>9582.0</v>
      </c>
      <c r="B4728" s="9" t="str">
        <f>HYPERLINK("https://www.lazada.vn/products/thung-24chai-nuoc-ngot-mirinda-xaxi-390ml-dam-da-thom-ngon-dung-vi-xa-xi-la-nuoc-giai-khac-bat-tung-nang-luong-cho-mot-ngay-moi-tran-day-nang-dong-han-dung-luon-moi-i2456646454.html", "https://www.lazada.vn/products/thung-24chai-nuoc-ngot-mirinda-xaxi-390ml-dam-da-thom-ngon-dung-vi-xa-xi-la-nuoc-giai-khac-bat-tung-nang-luong-cho-mot-ngay-moi-tran-day-nang-dong-han-dung-luon-moi-i2456646454.html")</f>
        <v>https://www.lazada.vn/products/thung-24chai-nuoc-ngot-mirinda-xaxi-390ml-dam-da-thom-ngon-dung-vi-xa-xi-la-nuoc-giai-khac-bat-tung-nang-luong-cho-mot-ngay-moi-tran-day-nang-dong-han-dung-luon-moi-i2456646454.html</v>
      </c>
      <c r="C4728" s="10" t="s">
        <v>4728</v>
      </c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8">
        <v>9583.0</v>
      </c>
      <c r="B4729" s="9" t="str">
        <f>HYPERLINK("https://www.lazada.vn/products/siro-thai-pixie-chai-730ml-i2537970478.html", "https://www.lazada.vn/products/siro-thai-pixie-chai-730ml-i2537970478.html")</f>
        <v>https://www.lazada.vn/products/siro-thai-pixie-chai-730ml-i2537970478.html</v>
      </c>
      <c r="C4729" s="10" t="s">
        <v>4729</v>
      </c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8">
        <v>9584.0</v>
      </c>
      <c r="B4730" s="9" t="str">
        <f>HYPERLINK("https://www.lazada.vn/products/ngua-go-phong-thuy-doi-cao-cap-i1603929987.html", "https://www.lazada.vn/products/ngua-go-phong-thuy-doi-cao-cap-i1603929987.html")</f>
        <v>https://www.lazada.vn/products/ngua-go-phong-thuy-doi-cao-cap-i1603929987.html</v>
      </c>
      <c r="C4730" s="10" t="s">
        <v>4730</v>
      </c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8">
        <v>9585.0</v>
      </c>
      <c r="B4731" s="9" t="str">
        <f>HYPERLINK("https://www.lazada.vn/products/nuoc-ngot-mirinda-cam-chai1500ml-dam-da-thom-ngon-dung-vi-cam-co-nhieu-vitamin-c-tot-cho-suc-khoe-uong-lanh-ngon-tuyet-dinh-han-su-dung-luon-moi-i2456631589.html", "https://www.lazada.vn/products/nuoc-ngot-mirinda-cam-chai1500ml-dam-da-thom-ngon-dung-vi-cam-co-nhieu-vitamin-c-tot-cho-suc-khoe-uong-lanh-ngon-tuyet-dinh-han-su-dung-luon-moi-i2456631589.html")</f>
        <v>https://www.lazada.vn/products/nuoc-ngot-mirinda-cam-chai1500ml-dam-da-thom-ngon-dung-vi-cam-co-nhieu-vitamin-c-tot-cho-suc-khoe-uong-lanh-ngon-tuyet-dinh-han-su-dung-luon-moi-i2456631589.html</v>
      </c>
      <c r="C4731" s="10" t="s">
        <v>4731</v>
      </c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8">
        <v>9586.0</v>
      </c>
      <c r="B4732" s="9" t="str">
        <f>HYPERLINK("https://www.lazada.vn/products/sinh-to-berrino-chai-nhua-1l-du-mui-i2537914151.html", "https://www.lazada.vn/products/sinh-to-berrino-chai-nhua-1l-du-mui-i2537914151.html")</f>
        <v>https://www.lazada.vn/products/sinh-to-berrino-chai-nhua-1l-du-mui-i2537914151.html</v>
      </c>
      <c r="C4732" s="10" t="s">
        <v>4732</v>
      </c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8">
        <v>9587.0</v>
      </c>
      <c r="B4733" s="9" t="str">
        <f>HYPERLINK("https://www.lazada.vn/products/ca-phe-heirloom-ethiopia-white-floral-gedeb-zone-washed-grade-1-stupiducks-specialty-coffee-i2690384041.html", "https://www.lazada.vn/products/ca-phe-heirloom-ethiopia-white-floral-gedeb-zone-washed-grade-1-stupiducks-specialty-coffee-i2690384041.html")</f>
        <v>https://www.lazada.vn/products/ca-phe-heirloom-ethiopia-white-floral-gedeb-zone-washed-grade-1-stupiducks-specialty-coffee-i2690384041.html</v>
      </c>
      <c r="C4733" s="10" t="s">
        <v>4733</v>
      </c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8">
        <v>9588.0</v>
      </c>
      <c r="B4734" s="9" t="str">
        <f>HYPERLINK("https://www.lazada.vn/products/keo-werthers-original-caramel-goi-80g-i2744238038.html", "https://www.lazada.vn/products/keo-werthers-original-caramel-goi-80g-i2744238038.html")</f>
        <v>https://www.lazada.vn/products/keo-werthers-original-caramel-goi-80g-i2744238038.html</v>
      </c>
      <c r="C4734" s="10" t="s">
        <v>4734</v>
      </c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8">
        <v>9589.0</v>
      </c>
      <c r="B4735" s="9" t="str">
        <f>HYPERLINK("https://www.lazada.vn/products/banh-magic-twin-socola-banh-quy-man-magic-gion-tan-hai-lop-kem-socola-hop-300g-i2901544597.html", "https://www.lazada.vn/products/banh-magic-twin-socola-banh-quy-man-magic-gion-tan-hai-lop-kem-socola-hop-300g-i2901544597.html")</f>
        <v>https://www.lazada.vn/products/banh-magic-twin-socola-banh-quy-man-magic-gion-tan-hai-lop-kem-socola-hop-300g-i2901544597.html</v>
      </c>
      <c r="C4735" s="10" t="s">
        <v>4735</v>
      </c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8">
        <v>9590.0</v>
      </c>
      <c r="B4736" s="9" t="str">
        <f>HYPERLINK("https://www.lazada.vn/products/vang-no-casa-burti-flute-en-rose-i2646708963.html", "https://www.lazada.vn/products/vang-no-casa-burti-flute-en-rose-i2646708963.html")</f>
        <v>https://www.lazada.vn/products/vang-no-casa-burti-flute-en-rose-i2646708963.html</v>
      </c>
      <c r="C4736" s="10" t="s">
        <v>4736</v>
      </c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8">
        <v>9591.0</v>
      </c>
      <c r="B4737" s="9" t="str">
        <f>HYPERLINK("https://www.lazada.vn/products/vang-phap-cote-mas-rouge-intense_750ml-i2646377058.html", "https://www.lazada.vn/products/vang-phap-cote-mas-rouge-intense_750ml-i2646377058.html")</f>
        <v>https://www.lazada.vn/products/vang-phap-cote-mas-rouge-intense_750ml-i2646377058.html</v>
      </c>
      <c r="C4737" s="10" t="s">
        <v>4737</v>
      </c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8">
        <v>9592.0</v>
      </c>
      <c r="B4738" s="9" t="str">
        <f>HYPERLINK("https://www.lazada.vn/products/2-red-lion-nhap-lao-dung-tich-700ml-i2500694143.html", "https://www.lazada.vn/products/2-red-lion-nhap-lao-dung-tich-700ml-i2500694143.html")</f>
        <v>https://www.lazada.vn/products/2-red-lion-nhap-lao-dung-tich-700ml-i2500694143.html</v>
      </c>
      <c r="C4738" s="10" t="s">
        <v>4738</v>
      </c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8">
        <v>9593.0</v>
      </c>
      <c r="B4739" s="9" t="str">
        <f>HYPERLINK("https://www.lazada.vn/products/nuoc-cot-nhau-khong-duong-100-tu-nhien-khong-chat-bao-quan-tot-cho-suc-khoe-chai-1000ml-i2790460805.html", "https://www.lazada.vn/products/nuoc-cot-nhau-khong-duong-100-tu-nhien-khong-chat-bao-quan-tot-cho-suc-khoe-chai-1000ml-i2790460805.html")</f>
        <v>https://www.lazada.vn/products/nuoc-cot-nhau-khong-duong-100-tu-nhien-khong-chat-bao-quan-tot-cho-suc-khoe-chai-1000ml-i2790460805.html</v>
      </c>
      <c r="C4739" s="10" t="s">
        <v>4739</v>
      </c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8">
        <v>9594.0</v>
      </c>
      <c r="B4740" s="9" t="str">
        <f>HYPERLINK("https://www.lazada.vn/products/banh-neo-banh-que-chien-nuoc-mam-do-an-vat-i2539542326.html", "https://www.lazada.vn/products/banh-neo-banh-que-chien-nuoc-mam-do-an-vat-i2539542326.html")</f>
        <v>https://www.lazada.vn/products/banh-neo-banh-que-chien-nuoc-mam-do-an-vat-i2539542326.html</v>
      </c>
      <c r="C4740" s="10" t="s">
        <v>4740</v>
      </c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8">
        <v>9595.0</v>
      </c>
      <c r="B4741" s="9" t="str">
        <f>HYPERLINK("https://www.lazada.vn/products/loc-6-chai-nuoc-pocari-500ml-2-chai-900ml-i2500609975.html", "https://www.lazada.vn/products/loc-6-chai-nuoc-pocari-500ml-2-chai-900ml-i2500609975.html")</f>
        <v>https://www.lazada.vn/products/loc-6-chai-nuoc-pocari-500ml-2-chai-900ml-i2500609975.html</v>
      </c>
      <c r="C4741" s="10" t="s">
        <v>4741</v>
      </c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8">
        <v>9596.0</v>
      </c>
      <c r="B4742" s="9" t="str">
        <f>HYPERLINK("https://www.lazada.vn/products/thach-rau-cau-thach-que-trai-cay-jin-jin-dai-loan-i2426268958.html", "https://www.lazada.vn/products/thach-rau-cau-thach-que-trai-cay-jin-jin-dai-loan-i2426268958.html")</f>
        <v>https://www.lazada.vn/products/thach-rau-cau-thach-que-trai-cay-jin-jin-dai-loan-i2426268958.html</v>
      </c>
      <c r="C4742" s="10" t="s">
        <v>4742</v>
      </c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8">
        <v>9597.0</v>
      </c>
      <c r="B4743" s="9" t="str">
        <f>HYPERLINK("https://www.lazada.vn/products/thung-12-goi-nuvi-thach-nho-goi-6-tui-20g-i2425968653.html", "https://www.lazada.vn/products/thung-12-goi-nuvi-thach-nho-goi-6-tui-20g-i2425968653.html")</f>
        <v>https://www.lazada.vn/products/thung-12-goi-nuvi-thach-nho-goi-6-tui-20g-i2425968653.html</v>
      </c>
      <c r="C4743" s="10" t="s">
        <v>4743</v>
      </c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8">
        <v>9598.0</v>
      </c>
      <c r="B4744" s="9" t="str">
        <f>HYPERLINK("https://www.lazada.vn/products/vodka-ha-noi-94-lo-duc-500ml-i3018434364.html", "https://www.lazada.vn/products/vodka-ha-noi-94-lo-duc-500ml-i3018434364.html")</f>
        <v>https://www.lazada.vn/products/vodka-ha-noi-94-lo-duc-500ml-i3018434364.html</v>
      </c>
      <c r="C4744" s="10" t="s">
        <v>4744</v>
      </c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8">
        <v>9599.0</v>
      </c>
      <c r="B4745" s="9" t="str">
        <f>HYPERLINK("https://www.lazada.vn/products/combo-5-tui-banh-gao-nuong-an-co-2-vi-tu-nhien-va-tao-bien-i1660315349.html", "https://www.lazada.vn/products/combo-5-tui-banh-gao-nuong-an-co-2-vi-tu-nhien-va-tao-bien-i1660315349.html")</f>
        <v>https://www.lazada.vn/products/combo-5-tui-banh-gao-nuong-an-co-2-vi-tu-nhien-va-tao-bien-i1660315349.html</v>
      </c>
      <c r="C4745" s="10" t="s">
        <v>4745</v>
      </c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8">
        <v>9600.0</v>
      </c>
      <c r="B4746" s="9" t="str">
        <f>HYPERLINK("https://www.lazada.vn/products/bich-60-goi-snack-ca-vien-chien-goi-12g-sieu-hap-dan-vi-ngon-tuoi-tho-snack-an-vat-i2746228067.html", "https://www.lazada.vn/products/bich-60-goi-snack-ca-vien-chien-goi-12g-sieu-hap-dan-vi-ngon-tuoi-tho-snack-an-vat-i2746228067.html")</f>
        <v>https://www.lazada.vn/products/bich-60-goi-snack-ca-vien-chien-goi-12g-sieu-hap-dan-vi-ngon-tuoi-tho-snack-an-vat-i2746228067.html</v>
      </c>
      <c r="C4746" s="10" t="s">
        <v>4746</v>
      </c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8">
        <v>9601.0</v>
      </c>
      <c r="B4747" s="9" t="str">
        <f>HYPERLINK("https://www.lazada.vn/products/coop-online-mi-xao-indomie-mi-goreng-goi-85g-i2860240590.html", "https://www.lazada.vn/products/coop-online-mi-xao-indomie-mi-goreng-goi-85g-i2860240590.html")</f>
        <v>https://www.lazada.vn/products/coop-online-mi-xao-indomie-mi-goreng-goi-85g-i2860240590.html</v>
      </c>
      <c r="C4747" s="10" t="s">
        <v>4747</v>
      </c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8">
        <v>9602.0</v>
      </c>
      <c r="B4748" s="9" t="str">
        <f>HYPERLINK("https://www.lazada.vn/products/chinesefoodban-si-thung-60-cai-xuc-xich-ngo-xuc-xich-cay-i1738085005.html", "https://www.lazada.vn/products/chinesefoodban-si-thung-60-cai-xuc-xich-ngo-xuc-xich-cay-i1738085005.html")</f>
        <v>https://www.lazada.vn/products/chinesefoodban-si-thung-60-cai-xuc-xich-ngo-xuc-xich-cay-i1738085005.html</v>
      </c>
      <c r="C4748" s="10" t="s">
        <v>4748</v>
      </c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8">
        <v>9603.0</v>
      </c>
      <c r="B4749" s="9" t="str">
        <f>HYPERLINK("https://www.lazada.vn/products/ruoc-ca-hoi-tron-trung-ca-tuyet-noi-dia-nhat-120g-i1959020314.html", "https://www.lazada.vn/products/ruoc-ca-hoi-tron-trung-ca-tuyet-noi-dia-nhat-120g-i1959020314.html")</f>
        <v>https://www.lazada.vn/products/ruoc-ca-hoi-tron-trung-ca-tuyet-noi-dia-nhat-120g-i1959020314.html</v>
      </c>
      <c r="C4749" s="10" t="s">
        <v>4749</v>
      </c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8">
        <v>9604.0</v>
      </c>
      <c r="B4750" s="9" t="str">
        <f>HYPERLINK("https://www.lazada.vn/products/ayam-brand-hop-xanh-duong-150g-ca-ngu-ngam-nuoc-thai-lan-tuna-chunks-in-water-halal-i3036309329.html", "https://www.lazada.vn/products/ayam-brand-hop-xanh-duong-150g-ca-ngu-ngam-nuoc-thai-lan-tuna-chunks-in-water-halal-i3036309329.html")</f>
        <v>https://www.lazada.vn/products/ayam-brand-hop-xanh-duong-150g-ca-ngu-ngam-nuoc-thai-lan-tuna-chunks-in-water-halal-i3036309329.html</v>
      </c>
      <c r="C4750" s="10" t="s">
        <v>4750</v>
      </c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8">
        <v>9605.0</v>
      </c>
      <c r="B4751" s="9" t="str">
        <f>HYPERLINK("https://www.lazada.vn/products/mam-tron-goi-somtum-mae-pim-pimrypie-400ml-thai-lan-12363-i1958149936.html", "https://www.lazada.vn/products/mam-tron-goi-somtum-mae-pim-pimrypie-400ml-thai-lan-12363-i1958149936.html")</f>
        <v>https://www.lazada.vn/products/mam-tron-goi-somtum-mae-pim-pimrypie-400ml-thai-lan-12363-i1958149936.html</v>
      </c>
      <c r="C4751" s="10" t="s">
        <v>4751</v>
      </c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8">
        <v>9606.0</v>
      </c>
      <c r="B4752" s="9" t="str">
        <f>HYPERLINK("https://www.lazada.vn/products/ruou-sake-nishinoseki-vay-vang-720ml-15-i3009365299.html", "https://www.lazada.vn/products/ruou-sake-nishinoseki-vay-vang-720ml-15-i3009365299.html")</f>
        <v>https://www.lazada.vn/products/ruou-sake-nishinoseki-vay-vang-720ml-15-i3009365299.html</v>
      </c>
      <c r="C4752" s="10" t="s">
        <v>4752</v>
      </c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8">
        <v>9607.0</v>
      </c>
      <c r="B4753" s="9" t="str">
        <f>HYPERLINK("https://www.lazada.vn/products/tran-chau-3q-zaika-jelly-trang-i2687735690.html", "https://www.lazada.vn/products/tran-chau-3q-zaika-jelly-trang-i2687735690.html")</f>
        <v>https://www.lazada.vn/products/tran-chau-3q-zaika-jelly-trang-i2687735690.html</v>
      </c>
      <c r="C4753" s="10" t="s">
        <v>4753</v>
      </c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8">
        <v>9608.0</v>
      </c>
      <c r="B4754" s="9" t="str">
        <f>HYPERLINK("https://www.lazada.vn/products/nuoc-ngot-7up-chai-1500ml-dam-da-thom-ngon-dung-vi-chanh-la-nuoc-giai-khac-bat-tung-nang-luong-cho-mot-ngay-moi-nang-dong-trong-cong-viec-han-su-dung-luon-moi-i2456613594.html", "https://www.lazada.vn/products/nuoc-ngot-7up-chai-1500ml-dam-da-thom-ngon-dung-vi-chanh-la-nuoc-giai-khac-bat-tung-nang-luong-cho-mot-ngay-moi-nang-dong-trong-cong-viec-han-su-dung-luon-moi-i2456613594.html")</f>
        <v>https://www.lazada.vn/products/nuoc-ngot-7up-chai-1500ml-dam-da-thom-ngon-dung-vi-chanh-la-nuoc-giai-khac-bat-tung-nang-luong-cho-mot-ngay-moi-nang-dong-trong-cong-viec-han-su-dung-luon-moi-i2456613594.html</v>
      </c>
      <c r="C4754" s="10" t="s">
        <v>4754</v>
      </c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8">
        <v>9609.0</v>
      </c>
      <c r="B4755" s="9" t="str">
        <f>HYPERLINK("https://www.lazada.vn/products/siro-trinh-chai-nhua-600ml-du-mui-i2537842054.html", "https://www.lazada.vn/products/siro-trinh-chai-nhua-600ml-du-mui-i2537842054.html")</f>
        <v>https://www.lazada.vn/products/siro-trinh-chai-nhua-600ml-du-mui-i2537842054.html</v>
      </c>
      <c r="C4755" s="10" t="s">
        <v>4755</v>
      </c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8">
        <v>9610.0</v>
      </c>
      <c r="B4756" s="9" t="str">
        <f>HYPERLINK("https://www.lazada.vn/products/bia-suntory-premium-malts-beer-suntory-premium-malts-i1590615361.html", "https://www.lazada.vn/products/bia-suntory-premium-malts-beer-suntory-premium-malts-i1590615361.html")</f>
        <v>https://www.lazada.vn/products/bia-suntory-premium-malts-beer-suntory-premium-malts-i1590615361.html</v>
      </c>
      <c r="C4756" s="10" t="s">
        <v>4756</v>
      </c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8">
        <v>9611.0</v>
      </c>
      <c r="B4757" s="9" t="str">
        <f>HYPERLINK("https://www.lazada.vn/products/combo-10-goi-bot-cay-mat-nhan-ho-thanh-that-da-bac-hoa-binh-i2677929162.html", "https://www.lazada.vn/products/combo-10-goi-bot-cay-mat-nhan-ho-thanh-that-da-bac-hoa-binh-i2677929162.html")</f>
        <v>https://www.lazada.vn/products/combo-10-goi-bot-cay-mat-nhan-ho-thanh-that-da-bac-hoa-binh-i2677929162.html</v>
      </c>
      <c r="C4757" s="10" t="s">
        <v>4757</v>
      </c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8">
        <v>9612.0</v>
      </c>
      <c r="B4758" s="9" t="str">
        <f>HYPERLINK("https://www.lazada.vn/products/ca-phe-sua-da-maccoffee-cafe-pho-bich-720g-30-goi-x-24g-i2689607210.html", "https://www.lazada.vn/products/ca-phe-sua-da-maccoffee-cafe-pho-bich-720g-30-goi-x-24g-i2689607210.html")</f>
        <v>https://www.lazada.vn/products/ca-phe-sua-da-maccoffee-cafe-pho-bich-720g-30-goi-x-24g-i2689607210.html</v>
      </c>
      <c r="C4758" s="10" t="s">
        <v>4758</v>
      </c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8">
        <v>9613.0</v>
      </c>
      <c r="B4759" s="9" t="str">
        <f>HYPERLINK("https://www.lazada.vn/products/che-ten-sp-keo-miss-candy-cho-nu-1-vien-i2743085030.html", "https://www.lazada.vn/products/che-ten-sp-keo-miss-candy-cho-nu-1-vien-i2743085030.html")</f>
        <v>https://www.lazada.vn/products/che-ten-sp-keo-miss-candy-cho-nu-1-vien-i2743085030.html</v>
      </c>
      <c r="C4759" s="10" t="s">
        <v>4759</v>
      </c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8">
        <v>9614.0</v>
      </c>
      <c r="B4760" s="9" t="str">
        <f>HYPERLINK("https://www.lazada.vn/products/vang-da-lat-premium-red-750ml-i2646371007.html", "https://www.lazada.vn/products/vang-da-lat-premium-red-750ml-i2646371007.html")</f>
        <v>https://www.lazada.vn/products/vang-da-lat-premium-red-750ml-i2646371007.html</v>
      </c>
      <c r="C4760" s="10" t="s">
        <v>4760</v>
      </c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8">
        <v>9615.0</v>
      </c>
      <c r="B4761" s="9" t="str">
        <f>HYPERLINK("https://www.lazada.vn/products/banh-quy-bo-danisa-limited-edition-kem-hop-nhac-992gr-i2901469884.html", "https://www.lazada.vn/products/banh-quy-bo-danisa-limited-edition-kem-hop-nhac-992gr-i2901469884.html")</f>
        <v>https://www.lazada.vn/products/banh-quy-bo-danisa-limited-edition-kem-hop-nhac-992gr-i2901469884.html</v>
      </c>
      <c r="C4761" s="10" t="s">
        <v>4761</v>
      </c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8">
        <v>9616.0</v>
      </c>
      <c r="B4762" s="9" t="str">
        <f>HYPERLINK("https://www.lazada.vn/products/com-chay-cha-bong-minh-chau-com-chay-ruoc-do-an-vat-dam-da-thom-ngon-i2537404462.html", "https://www.lazada.vn/products/com-chay-cha-bong-minh-chau-com-chay-ruoc-do-an-vat-dam-da-thom-ngon-i2537404462.html")</f>
        <v>https://www.lazada.vn/products/com-chay-cha-bong-minh-chau-com-chay-ruoc-do-an-vat-dam-da-thom-ngon-i2537404462.html</v>
      </c>
      <c r="C4762" s="10" t="s">
        <v>4762</v>
      </c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8">
        <v>9617.0</v>
      </c>
      <c r="B4763" s="9" t="str">
        <f>HYPERLINK("https://www.lazada.vn/products/nuoc-uong-revive-chanh-muoi-loc-6-chai-x-390ml-i2786166465.html", "https://www.lazada.vn/products/nuoc-uong-revive-chanh-muoi-loc-6-chai-x-390ml-i2786166465.html")</f>
        <v>https://www.lazada.vn/products/nuoc-uong-revive-chanh-muoi-loc-6-chai-x-390ml-i2786166465.html</v>
      </c>
      <c r="C4763" s="10" t="s">
        <v>4763</v>
      </c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8">
        <v>9618.0</v>
      </c>
      <c r="B4764" s="9" t="str">
        <f>HYPERLINK("https://www.lazada.vn/products/blue-whisky-1995-nhap-lao700ml40-o-mau-xanh-blue-i2500431177.html", "https://www.lazada.vn/products/blue-whisky-1995-nhap-lao700ml40-o-mau-xanh-blue-i2500431177.html")</f>
        <v>https://www.lazada.vn/products/blue-whisky-1995-nhap-lao700ml40-o-mau-xanh-blue-i2500431177.html</v>
      </c>
      <c r="C4764" s="10" t="s">
        <v>4764</v>
      </c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8">
        <v>9619.0</v>
      </c>
      <c r="B4765" s="9" t="str">
        <f>HYPERLINK("https://www.lazada.vn/products/thach-trai-cay-fruit-pudding-minion-1-goi-800gr-i2425928746.html", "https://www.lazada.vn/products/thach-trai-cay-fruit-pudding-minion-1-goi-800gr-i2425928746.html")</f>
        <v>https://www.lazada.vn/products/thach-trai-cay-fruit-pudding-minion-1-goi-800gr-i2425928746.html</v>
      </c>
      <c r="C4765" s="10" t="s">
        <v>4765</v>
      </c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8">
        <v>9620.0</v>
      </c>
      <c r="B4766" s="9" t="str">
        <f>HYPERLINK("https://www.lazada.vn/products/thung-12-goi-nuvi-thach-dao-tui-6-goi-20g-i2425887897.html", "https://www.lazada.vn/products/thung-12-goi-nuvi-thach-dao-tui-6-goi-20g-i2425887897.html")</f>
        <v>https://www.lazada.vn/products/thung-12-goi-nuvi-thach-dao-tui-6-goi-20g-i2425887897.html</v>
      </c>
      <c r="C4766" s="10" t="s">
        <v>4766</v>
      </c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8">
        <v>9621.0</v>
      </c>
      <c r="B4767" s="9" t="str">
        <f>HYPERLINK("https://www.lazada.vn/products/vodka-ha-noi-295-500ml-i3018278933.html", "https://www.lazada.vn/products/vodka-ha-noi-295-500ml-i3018278933.html")</f>
        <v>https://www.lazada.vn/products/vodka-ha-noi-295-500ml-i3018278933.html</v>
      </c>
      <c r="C4767" s="10" t="s">
        <v>4767</v>
      </c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8">
        <v>9622.0</v>
      </c>
      <c r="B4768" s="9" t="str">
        <f>HYPERLINK("https://www.lazada.vn/products/hop-12-cai-banh-chocopie-360-396g-choco-pie-du-5-vi-tinh-dao-dark-matcha-sua-do-an-vat-gia-re-i1658266033.html", "https://www.lazada.vn/products/hop-12-cai-banh-chocopie-360-396g-choco-pie-du-5-vi-tinh-dao-dark-matcha-sua-do-an-vat-gia-re-i1658266033.html")</f>
        <v>https://www.lazada.vn/products/hop-12-cai-banh-chocopie-360-396g-choco-pie-du-5-vi-tinh-dao-dark-matcha-sua-do-an-vat-gia-re-i1658266033.html</v>
      </c>
      <c r="C4768" s="10" t="s">
        <v>4768</v>
      </c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8">
        <v>9623.0</v>
      </c>
      <c r="B4769" s="9" t="str">
        <f>HYPERLINK("https://www.lazada.vn/products/khoai-lang-ken-gion-thom-ngon-an-vat-250g-i2741994700.html", "https://www.lazada.vn/products/khoai-lang-ken-gion-thom-ngon-an-vat-250g-i2741994700.html")</f>
        <v>https://www.lazada.vn/products/khoai-lang-ken-gion-thom-ngon-an-vat-250g-i2741994700.html</v>
      </c>
      <c r="C4769" s="10" t="s">
        <v>4769</v>
      </c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8">
        <v>9624.0</v>
      </c>
      <c r="B4770" s="9" t="str">
        <f>HYPERLINK("https://www.lazada.vn/products/coop-online-mi-mini-handy-bo-sate-ly-53g-i2860171803.html", "https://www.lazada.vn/products/coop-online-mi-mini-handy-bo-sate-ly-53g-i2860171803.html")</f>
        <v>https://www.lazada.vn/products/coop-online-mi-mini-handy-bo-sate-ly-53g-i2860171803.html</v>
      </c>
      <c r="C4770" s="10" t="s">
        <v>4770</v>
      </c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8">
        <v>9625.0</v>
      </c>
      <c r="B4771" s="9" t="str">
        <f>HYPERLINK("https://www.lazada.vn/products/chinesefoodtra-sam-thanh-nhiet-wanglaoji-thanh-nhiet-giai-doc-thung-20-lon-310ml-hang-chuan-i1738072054.html", "https://www.lazada.vn/products/chinesefoodtra-sam-thanh-nhiet-wanglaoji-thanh-nhiet-giai-doc-thung-20-lon-310ml-hang-chuan-i1738072054.html")</f>
        <v>https://www.lazada.vn/products/chinesefoodtra-sam-thanh-nhiet-wanglaoji-thanh-nhiet-giai-doc-thung-20-lon-310ml-hang-chuan-i1738072054.html</v>
      </c>
      <c r="C4771" s="10" t="s">
        <v>4771</v>
      </c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8">
        <v>9626.0</v>
      </c>
      <c r="B4772" s="9" t="str">
        <f>HYPERLINK("https://www.lazada.vn/products/mam-dua-ca-1-kg-i1955254472.html", "https://www.lazada.vn/products/mam-dua-ca-1-kg-i1955254472.html")</f>
        <v>https://www.lazada.vn/products/mam-dua-ca-1-kg-i1955254472.html</v>
      </c>
      <c r="C4772" s="10" t="s">
        <v>4772</v>
      </c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8">
        <v>9627.0</v>
      </c>
      <c r="B4773" s="9" t="str">
        <f>HYPERLINK("https://www.lazada.vn/products/sinh-to-vina-chai-nhua-1000g-i2537837372.html", "https://www.lazada.vn/products/sinh-to-vina-chai-nhua-1000g-i2537837372.html")</f>
        <v>https://www.lazada.vn/products/sinh-to-vina-chai-nhua-1000g-i2537837372.html</v>
      </c>
      <c r="C4773" s="10" t="s">
        <v>4773</v>
      </c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8">
        <v>9628.0</v>
      </c>
      <c r="B4774" s="9" t="str">
        <f>HYPERLINK("https://www.lazada.vn/products/bia-asahi-dry-2-lit-beer-asahi-dry-2-liter-i1590485872.html", "https://www.lazada.vn/products/bia-asahi-dry-2-lit-beer-asahi-dry-2-liter-i1590485872.html")</f>
        <v>https://www.lazada.vn/products/bia-asahi-dry-2-lit-beer-asahi-dry-2-liter-i1590485872.html</v>
      </c>
      <c r="C4774" s="10" t="s">
        <v>4774</v>
      </c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8">
        <v>9629.0</v>
      </c>
      <c r="B4775" s="9" t="str">
        <f>HYPERLINK("https://www.lazada.vn/products/kuehne-lon-810g-bap-cai-muoi-duc-sauerkraut-with-ine-i3036307370.html", "https://www.lazada.vn/products/kuehne-lon-810g-bap-cai-muoi-duc-sauerkraut-with-ine-i3036307370.html")</f>
        <v>https://www.lazada.vn/products/kuehne-lon-810g-bap-cai-muoi-duc-sauerkraut-with-ine-i3036307370.html</v>
      </c>
      <c r="C4775" s="10" t="s">
        <v>4775</v>
      </c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8">
        <v>9630.0</v>
      </c>
      <c r="B4776" s="9" t="str">
        <f>HYPERLINK("https://www.lazada.vn/products/loc-6chai-nuoc-ngot-mirinda-xanh-390ml-dam-da-thom-ngon-dung-vi-soda-kem-la-nuoc-giai-khac-bat-tung-nang-luong-cho-mot-ngay-moi-nang-dong-trong-cong-viec-han-su-dung-luon-moi-i2456561796.html", "https://www.lazada.vn/products/loc-6chai-nuoc-ngot-mirinda-xanh-390ml-dam-da-thom-ngon-dung-vi-soda-kem-la-nuoc-giai-khac-bat-tung-nang-luong-cho-mot-ngay-moi-nang-dong-trong-cong-viec-han-su-dung-luon-moi-i2456561796.html")</f>
        <v>https://www.lazada.vn/products/loc-6chai-nuoc-ngot-mirinda-xanh-390ml-dam-da-thom-ngon-dung-vi-soda-kem-la-nuoc-giai-khac-bat-tung-nang-luong-cho-mot-ngay-moi-nang-dong-trong-cong-viec-han-su-dung-luon-moi-i2456561796.html</v>
      </c>
      <c r="C4776" s="10" t="s">
        <v>4776</v>
      </c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8">
        <v>9631.0</v>
      </c>
      <c r="B4777" s="9" t="str">
        <f>HYPERLINK("https://www.lazada.vn/products/ruou-mo-nhat-umeshu-nakano-miiri-co-qua-720ml-14-i3009357661.html", "https://www.lazada.vn/products/ruou-mo-nhat-umeshu-nakano-miiri-co-qua-720ml-14-i3009357661.html")</f>
        <v>https://www.lazada.vn/products/ruou-mo-nhat-umeshu-nakano-miiri-co-qua-720ml-14-i3009357661.html</v>
      </c>
      <c r="C4777" s="10" t="s">
        <v>4777</v>
      </c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8">
        <v>9632.0</v>
      </c>
      <c r="B4778" s="9" t="str">
        <f>HYPERLINK("https://www.lazada.vn/products/vang-y-sole-ditalia-semi-vang-ngot-nhap-khau-chinh-hang-i2687193107.html", "https://www.lazada.vn/products/vang-y-sole-ditalia-semi-vang-ngot-nhap-khau-chinh-hang-i2687193107.html")</f>
        <v>https://www.lazada.vn/products/vang-y-sole-ditalia-semi-vang-ngot-nhap-khau-chinh-hang-i2687193107.html</v>
      </c>
      <c r="C4778" s="10" t="s">
        <v>4778</v>
      </c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8">
        <v>9633.0</v>
      </c>
      <c r="B4779" s="9" t="str">
        <f>HYPERLINK("https://www.lazada.vn/products/1kg-phan-hoa-cafe-duong-ong-mat-i2677549896.html", "https://www.lazada.vn/products/1kg-phan-hoa-cafe-duong-ong-mat-i2677549896.html")</f>
        <v>https://www.lazada.vn/products/1kg-phan-hoa-cafe-duong-ong-mat-i2677549896.html</v>
      </c>
      <c r="C4779" s="10" t="s">
        <v>4779</v>
      </c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8">
        <v>9634.0</v>
      </c>
      <c r="B4780" s="9" t="str">
        <f>HYPERLINK("https://www.lazada.vn/products/keo-o-mai-colorful-plum-mix-5-vi-goi-408g-an-vat-denfood-i2742030789.html", "https://www.lazada.vn/products/keo-o-mai-colorful-plum-mix-5-vi-goi-408g-an-vat-denfood-i2742030789.html")</f>
        <v>https://www.lazada.vn/products/keo-o-mai-colorful-plum-mix-5-vi-goi-408g-an-vat-denfood-i2742030789.html</v>
      </c>
      <c r="C4780" s="10" t="s">
        <v>4780</v>
      </c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8">
        <v>9635.0</v>
      </c>
      <c r="B4781" s="9" t="str">
        <f>HYPERLINK("https://www.lazada.vn/products/vang-chile-santo-molina-3-lit-i2646332122.html", "https://www.lazada.vn/products/vang-chile-santo-molina-3-lit-i2646332122.html")</f>
        <v>https://www.lazada.vn/products/vang-chile-santo-molina-3-lit-i2646332122.html</v>
      </c>
      <c r="C4781" s="10" t="s">
        <v>4781</v>
      </c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8">
        <v>9636.0</v>
      </c>
      <c r="B4782" s="9" t="str">
        <f>HYPERLINK("https://www.lazada.vn/products/banh-quy-nhan-mut-dua-kilin-lua-chon-tinh-te-cho-tet-sum-vay-i2901039556.html", "https://www.lazada.vn/products/banh-quy-nhan-mut-dua-kilin-lua-chon-tinh-te-cho-tet-sum-vay-i2901039556.html")</f>
        <v>https://www.lazada.vn/products/banh-quy-nhan-mut-dua-kilin-lua-chon-tinh-te-cho-tet-sum-vay-i2901039556.html</v>
      </c>
      <c r="C4782" s="10" t="s">
        <v>4782</v>
      </c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8">
        <v>9637.0</v>
      </c>
      <c r="B4783" s="9" t="str">
        <f>HYPERLINK("https://www.lazada.vn/products/banh-hanh-nhan-mai-phuong-thom-ngon-do-an-vat-i2532915027.html", "https://www.lazada.vn/products/banh-hanh-nhan-mai-phuong-thom-ngon-do-an-vat-i2532915027.html")</f>
        <v>https://www.lazada.vn/products/banh-hanh-nhan-mai-phuong-thom-ngon-do-an-vat-i2532915027.html</v>
      </c>
      <c r="C4783" s="10" t="s">
        <v>4783</v>
      </c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8">
        <v>9638.0</v>
      </c>
      <c r="B4784" s="9" t="str">
        <f>HYPERLINK("https://www.lazada.vn/products/bot-socola-kingsun-1kg-i2122375987.html", "https://www.lazada.vn/products/bot-socola-kingsun-1kg-i2122375987.html")</f>
        <v>https://www.lazada.vn/products/bot-socola-kingsun-1kg-i2122375987.html</v>
      </c>
      <c r="C4784" s="10" t="s">
        <v>4784</v>
      </c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8">
        <v>9639.0</v>
      </c>
      <c r="B4785" s="9" t="str">
        <f>HYPERLINK("https://www.lazada.vn/products/nuoc-ep-man-tu-nhien-taylor-nhap-khau-chinh-ngach-tu-han-quoc-chong-tao-bon-deep-water-180ml-i2785701789.html", "https://www.lazada.vn/products/nuoc-ep-man-tu-nhien-taylor-nhap-khau-chinh-ngach-tu-han-quoc-chong-tao-bon-deep-water-180ml-i2785701789.html")</f>
        <v>https://www.lazada.vn/products/nuoc-ep-man-tu-nhien-taylor-nhap-khau-chinh-ngach-tu-han-quoc-chong-tao-bon-deep-water-180ml-i2785701789.html</v>
      </c>
      <c r="C4785" s="10" t="s">
        <v>4785</v>
      </c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8">
        <v>9640.0</v>
      </c>
      <c r="B4786" s="9" t="str">
        <f>HYPERLINK("https://www.lazada.vn/products/bot-cacao-sua-hoa-tan-3in1-ka-cacao-huong-vi-socola-tu-nhien-dam-da-khong-huong-lieu-phu-gia-i2122357475.html", "https://www.lazada.vn/products/bot-cacao-sua-hoa-tan-3in1-ka-cacao-huong-vi-socola-tu-nhien-dam-da-khong-huong-lieu-phu-gia-i2122357475.html")</f>
        <v>https://www.lazada.vn/products/bot-cacao-sua-hoa-tan-3in1-ka-cacao-huong-vi-socola-tu-nhien-dam-da-khong-huong-lieu-phu-gia-i2122357475.html</v>
      </c>
      <c r="C4786" s="10" t="s">
        <v>4786</v>
      </c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8">
        <v>9641.0</v>
      </c>
      <c r="B4787" s="9" t="str">
        <f>HYPERLINK("https://www.lazada.vn/products/nuoc-tang-luc-energy-drink-carabao-thai-lan-i2497506189.html", "https://www.lazada.vn/products/nuoc-tang-luc-energy-drink-carabao-thai-lan-i2497506189.html")</f>
        <v>https://www.lazada.vn/products/nuoc-tang-luc-energy-drink-carabao-thai-lan-i2497506189.html</v>
      </c>
      <c r="C4787" s="10" t="s">
        <v>4787</v>
      </c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8">
        <v>9642.0</v>
      </c>
      <c r="B4788" s="9" t="str">
        <f>HYPERLINK("https://www.lazada.vn/products/nutifood-thung-12-goi-120g-nuvi-thach-trai-cay-vi-thach-daothach-nhothach-vai-12-tui-x-6goi-20g-i2425205630.html", "https://www.lazada.vn/products/nutifood-thung-12-goi-120g-nuvi-thach-trai-cay-vi-thach-daothach-nhothach-vai-12-tui-x-6goi-20g-i2425205630.html")</f>
        <v>https://www.lazada.vn/products/nutifood-thung-12-goi-120g-nuvi-thach-trai-cay-vi-thach-daothach-nhothach-vai-12-tui-x-6goi-20g-i2425205630.html</v>
      </c>
      <c r="C4788" s="10" t="s">
        <v>4788</v>
      </c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8">
        <v>9643.0</v>
      </c>
      <c r="B4789" s="9" t="str">
        <f>HYPERLINK("https://www.lazada.vn/products/vodka-soda-196-vi-dao-lon-320ml-i3011409087.html", "https://www.lazada.vn/products/vodka-soda-196-vi-dao-lon-320ml-i3011409087.html")</f>
        <v>https://www.lazada.vn/products/vodka-soda-196-vi-dao-lon-320ml-i3011409087.html</v>
      </c>
      <c r="C4789" s="10" t="s">
        <v>4789</v>
      </c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8">
        <v>9644.0</v>
      </c>
      <c r="B4790" s="9" t="str">
        <f>HYPERLINK("https://www.lazada.vn/products/hop-12-cai-banh-chocopie-360-396g-i1658225570.html", "https://www.lazada.vn/products/hop-12-cai-banh-chocopie-360-396g-i1658225570.html")</f>
        <v>https://www.lazada.vn/products/hop-12-cai-banh-chocopie-360-396g-i1658225570.html</v>
      </c>
      <c r="C4790" s="10" t="s">
        <v>4790</v>
      </c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8">
        <v>9645.0</v>
      </c>
      <c r="B4791" s="9" t="str">
        <f>HYPERLINK("https://www.lazada.vn/products/banh-tao-do-oc-cho-khoai-dau-kep-khong-duong-sieu-hot-i2739563007.html", "https://www.lazada.vn/products/banh-tao-do-oc-cho-khoai-dau-kep-khong-duong-sieu-hot-i2739563007.html")</f>
        <v>https://www.lazada.vn/products/banh-tao-do-oc-cho-khoai-dau-kep-khong-duong-sieu-hot-i2739563007.html</v>
      </c>
      <c r="C4791" s="10" t="s">
        <v>4791</v>
      </c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8">
        <v>9646.0</v>
      </c>
      <c r="B4792" s="9" t="str">
        <f>HYPERLINK("https://www.lazada.vn/products/coop-online-mi-handy-hao-hao-vi-tomyum-ly-67g-i2860156899.html", "https://www.lazada.vn/products/coop-online-mi-handy-hao-hao-vi-tomyum-ly-67g-i2860156899.html")</f>
        <v>https://www.lazada.vn/products/coop-online-mi-handy-hao-hao-vi-tomyum-ly-67g-i2860156899.html</v>
      </c>
      <c r="C4792" s="10" t="s">
        <v>4792</v>
      </c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8">
        <v>9647.0</v>
      </c>
      <c r="B4793" s="9" t="str">
        <f>HYPERLINK("https://www.lazada.vn/products/chinesefood20-goi-dau-phu-thui-hang-ba-gia-hang-san-i1738069052.html", "https://www.lazada.vn/products/chinesefood20-goi-dau-phu-thui-hang-ba-gia-hang-san-i1738069052.html")</f>
        <v>https://www.lazada.vn/products/chinesefood20-goi-dau-phu-thui-hang-ba-gia-hang-san-i1738069052.html</v>
      </c>
      <c r="C4793" s="10" t="s">
        <v>4793</v>
      </c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8">
        <v>9648.0</v>
      </c>
      <c r="B4794" s="9" t="str">
        <f>HYPERLINK("https://www.lazada.vn/products/bia-kirin-lager-beer-kirin-lager-i1568074003.html", "https://www.lazada.vn/products/bia-kirin-lager-beer-kirin-lager-i1568074003.html")</f>
        <v>https://www.lazada.vn/products/bia-kirin-lager-beer-kirin-lager-i1568074003.html</v>
      </c>
      <c r="C4794" s="10" t="s">
        <v>4794</v>
      </c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8">
        <v>9649.0</v>
      </c>
      <c r="B4795" s="9" t="str">
        <f>HYPERLINK("https://www.lazada.vn/products/sinh-to-golden-farm-chai-1000ml-i2537810545.html", "https://www.lazada.vn/products/sinh-to-golden-farm-chai-1000ml-i2537810545.html")</f>
        <v>https://www.lazada.vn/products/sinh-to-golden-farm-chai-1000ml-i2537810545.html</v>
      </c>
      <c r="C4795" s="10" t="s">
        <v>4795</v>
      </c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8">
        <v>9650.0</v>
      </c>
      <c r="B4796" s="9" t="str">
        <f>HYPERLINK("https://www.lazada.vn/products/thach-thuy-tinh-hung-chuong-hop-1kg-i2537766799.html", "https://www.lazada.vn/products/thach-thuy-tinh-hung-chuong-hop-1kg-i2537766799.html")</f>
        <v>https://www.lazada.vn/products/thach-thuy-tinh-hung-chuong-hop-1kg-i2537766799.html</v>
      </c>
      <c r="C4796" s="10" t="s">
        <v>4796</v>
      </c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8">
        <v>9651.0</v>
      </c>
      <c r="B4797" s="9" t="str">
        <f>HYPERLINK("https://www.lazada.vn/products/sea-crown-hop-tron-nau-140g-ca-ngu-ngam-dau-thuc-vat-tha-lan-tuna-chunks-in-vegetable-oil-halal-i3036307154.html", "https://www.lazada.vn/products/sea-crown-hop-tron-nau-140g-ca-ngu-ngam-dau-thuc-vat-tha-lan-tuna-chunks-in-vegetable-oil-halal-i3036307154.html")</f>
        <v>https://www.lazada.vn/products/sea-crown-hop-tron-nau-140g-ca-ngu-ngam-dau-thuc-vat-tha-lan-tuna-chunks-in-vegetable-oil-halal-i3036307154.html</v>
      </c>
      <c r="C4797" s="10" t="s">
        <v>4797</v>
      </c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8">
        <v>9652.0</v>
      </c>
      <c r="B4798" s="9" t="str">
        <f>HYPERLINK("https://www.lazada.vn/products/bot-milk-foam-dpfood-goi-500g-muoi-bien-i2677102101.html", "https://www.lazada.vn/products/bot-milk-foam-dpfood-goi-500g-muoi-bien-i2677102101.html")</f>
        <v>https://www.lazada.vn/products/bot-milk-foam-dpfood-goi-500g-muoi-bien-i2677102101.html</v>
      </c>
      <c r="C4798" s="10" t="s">
        <v>4798</v>
      </c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8">
        <v>9653.0</v>
      </c>
      <c r="B4799" s="9" t="str">
        <f>HYPERLINK("https://www.lazada.vn/products/ca-moi-hop-sumaco-125gr-i1950369869.html", "https://www.lazada.vn/products/ca-moi-hop-sumaco-125gr-i1950369869.html")</f>
        <v>https://www.lazada.vn/products/ca-moi-hop-sumaco-125gr-i1950369869.html</v>
      </c>
      <c r="C4799" s="10" t="s">
        <v>4799</v>
      </c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8">
        <v>9654.0</v>
      </c>
      <c r="B4800" s="9" t="str">
        <f>HYPERLINK("https://www.lazada.vn/products/chao-do-hu-nho-100g-de-lam-khau-nhuc-i3036305204.html", "https://www.lazada.vn/products/chao-do-hu-nho-100g-de-lam-khau-nhuc-i3036305204.html")</f>
        <v>https://www.lazada.vn/products/chao-do-hu-nho-100g-de-lam-khau-nhuc-i3036305204.html</v>
      </c>
      <c r="C4800" s="10" t="s">
        <v>4800</v>
      </c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8">
        <v>9655.0</v>
      </c>
      <c r="B4801" s="9" t="str">
        <f>HYPERLINK("https://www.lazada.vn/products/thung-24lon-nuoc-ngot-mirinda-xaxi-320ml-dam-da-thom-ngon-dung-vi-xa-xi-la-nuoc-giai-khac-bat-tung-nang-luong-uong-lanh-ngon-tuyet-dinh-han-su-dung-luon-moi-i2456535705.html", "https://www.lazada.vn/products/thung-24lon-nuoc-ngot-mirinda-xaxi-320ml-dam-da-thom-ngon-dung-vi-xa-xi-la-nuoc-giai-khac-bat-tung-nang-luong-uong-lanh-ngon-tuyet-dinh-han-su-dung-luon-moi-i2456535705.html")</f>
        <v>https://www.lazada.vn/products/thung-24lon-nuoc-ngot-mirinda-xaxi-320ml-dam-da-thom-ngon-dung-vi-xa-xi-la-nuoc-giai-khac-bat-tung-nang-luong-uong-lanh-ngon-tuyet-dinh-han-su-dung-luon-moi-i2456535705.html</v>
      </c>
      <c r="C4801" s="10" t="s">
        <v>4801</v>
      </c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8">
        <v>9656.0</v>
      </c>
      <c r="B4802" s="9" t="str">
        <f>HYPERLINK("https://www.lazada.vn/products/vang-phap-adorez-de-france-750-ml-i2687036627.html", "https://www.lazada.vn/products/vang-phap-adorez-de-france-750-ml-i2687036627.html")</f>
        <v>https://www.lazada.vn/products/vang-phap-adorez-de-france-750-ml-i2687036627.html</v>
      </c>
      <c r="C4802" s="10" t="s">
        <v>4802</v>
      </c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8">
        <v>9657.0</v>
      </c>
      <c r="B4803" s="9" t="str">
        <f>HYPERLINK("https://www.lazada.vn/products/hop-qua-sakura-nhat-ruou-sake-nhat-tokubetsu-jyunmaisyu-sawanoizumi-180ml-i2702667387.html", "https://www.lazada.vn/products/hop-qua-sakura-nhat-ruou-sake-nhat-tokubetsu-jyunmaisyu-sawanoizumi-180ml-i2702667387.html")</f>
        <v>https://www.lazada.vn/products/hop-qua-sakura-nhat-ruou-sake-nhat-tokubetsu-jyunmaisyu-sawanoizumi-180ml-i2702667387.html</v>
      </c>
      <c r="C4803" s="10" t="s">
        <v>4803</v>
      </c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8">
        <v>9658.0</v>
      </c>
      <c r="B4804" s="9" t="str">
        <f>HYPERLINK("https://www.lazada.vn/products/vang-uc-encaste-nhap-khau-chinh-hang-i2685871980.html", "https://www.lazada.vn/products/vang-uc-encaste-nhap-khau-chinh-hang-i2685871980.html")</f>
        <v>https://www.lazada.vn/products/vang-uc-encaste-nhap-khau-chinh-hang-i2685871980.html</v>
      </c>
      <c r="C4804" s="10" t="s">
        <v>4804</v>
      </c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8">
        <v>9659.0</v>
      </c>
      <c r="B4805" s="9" t="str">
        <f>HYPERLINK("https://www.lazada.vn/products/ruou-mo-chinh-hieu-choya-honkaku-umeshu-additive-free-1800ml-i2647562813.html", "https://www.lazada.vn/products/ruou-mo-chinh-hieu-choya-honkaku-umeshu-additive-free-1800ml-i2647562813.html")</f>
        <v>https://www.lazada.vn/products/ruou-mo-chinh-hieu-choya-honkaku-umeshu-additive-free-1800ml-i2647562813.html</v>
      </c>
      <c r="C4805" s="10" t="s">
        <v>4805</v>
      </c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8">
        <v>9660.0</v>
      </c>
      <c r="B4806" s="9" t="str">
        <f>HYPERLINK("https://www.lazada.vn/products/vang-no-casa-burti-flute-dolce-750ml-i2646306094.html", "https://www.lazada.vn/products/vang-no-casa-burti-flute-dolce-750ml-i2646306094.html")</f>
        <v>https://www.lazada.vn/products/vang-no-casa-burti-flute-dolce-750ml-i2646306094.html</v>
      </c>
      <c r="C4806" s="10" t="s">
        <v>4806</v>
      </c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8">
        <v>9661.0</v>
      </c>
      <c r="B4807" s="9" t="str">
        <f>HYPERLINK("https://www.lazada.vn/products/keo-le-an-phe-mat-ong-thanh-nhiet-mem-deo-thom-ngon-an-vat-denfood-i2742005893.html", "https://www.lazada.vn/products/keo-le-an-phe-mat-ong-thanh-nhiet-mem-deo-thom-ngon-an-vat-denfood-i2742005893.html")</f>
        <v>https://www.lazada.vn/products/keo-le-an-phe-mat-ong-thanh-nhiet-mem-deo-thom-ngon-an-vat-denfood-i2742005893.html</v>
      </c>
      <c r="C4807" s="10" t="s">
        <v>4807</v>
      </c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8">
        <v>9662.0</v>
      </c>
      <c r="B4808" s="9" t="str">
        <f>HYPERLINK("https://www.lazada.vn/products/banh-cracker-khoai-tay-libra-atela-tui-500g-1kg-i2900600507.html", "https://www.lazada.vn/products/banh-cracker-khoai-tay-libra-atela-tui-500g-1kg-i2900600507.html")</f>
        <v>https://www.lazada.vn/products/banh-cracker-khoai-tay-libra-atela-tui-500g-1kg-i2900600507.html</v>
      </c>
      <c r="C4808" s="10" t="s">
        <v>4808</v>
      </c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8">
        <v>9663.0</v>
      </c>
      <c r="B4809" s="9" t="str">
        <f>HYPERLINK("https://www.lazada.vn/products/tui-1kg-banh-hanh-nhan-mai-phuong-thom-ngon-do-an-vat-i2532862461.html", "https://www.lazada.vn/products/tui-1kg-banh-hanh-nhan-mai-phuong-thom-ngon-do-an-vat-i2532862461.html")</f>
        <v>https://www.lazada.vn/products/tui-1kg-banh-hanh-nhan-mai-phuong-thom-ngon-do-an-vat-i2532862461.html</v>
      </c>
      <c r="C4809" s="10" t="s">
        <v>4809</v>
      </c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8">
        <v>9664.0</v>
      </c>
      <c r="B4810" s="9" t="str">
        <f>HYPERLINK("https://www.lazada.vn/products/sinh-to-osterberg-dau-oi-1l-nguyen-lieu-pha-che-cloudmart-i2785528788.html", "https://www.lazada.vn/products/sinh-to-osterberg-dau-oi-1l-nguyen-lieu-pha-che-cloudmart-i2785528788.html")</f>
        <v>https://www.lazada.vn/products/sinh-to-osterberg-dau-oi-1l-nguyen-lieu-pha-che-cloudmart-i2785528788.html</v>
      </c>
      <c r="C4810" s="10" t="s">
        <v>4810</v>
      </c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8">
        <v>9665.0</v>
      </c>
      <c r="B4811" s="9" t="str">
        <f>HYPERLINK("https://www.lazada.vn/products/bo-than-tinh-chai-280-ml-i2488648154.html", "https://www.lazada.vn/products/bo-than-tinh-chai-280-ml-i2488648154.html")</f>
        <v>https://www.lazada.vn/products/bo-than-tinh-chai-280-ml-i2488648154.html</v>
      </c>
      <c r="C4811" s="10" t="s">
        <v>4811</v>
      </c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8">
        <v>9666.0</v>
      </c>
      <c r="B4812" s="9" t="str">
        <f>HYPERLINK("https://www.lazada.vn/products/bot-cacao-sua-hoa-tan-3in1-ka-cacao-huong-vi-socola-tu-nhien-dam-da-khong-huong-lieu-phu-gia-i2121926321.html", "https://www.lazada.vn/products/bot-cacao-sua-hoa-tan-3in1-ka-cacao-huong-vi-socola-tu-nhien-dam-da-khong-huong-lieu-phu-gia-i2121926321.html")</f>
        <v>https://www.lazada.vn/products/bot-cacao-sua-hoa-tan-3in1-ka-cacao-huong-vi-socola-tu-nhien-dam-da-khong-huong-lieu-phu-gia-i2121926321.html</v>
      </c>
      <c r="C4812" s="10" t="s">
        <v>4812</v>
      </c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8">
        <v>9667.0</v>
      </c>
      <c r="B4813" s="9" t="str">
        <f>HYPERLINK("https://www.lazada.vn/products/thach-trai-cay-orihiro-nhat-ban-mix-vi-240g-i2424865147.html", "https://www.lazada.vn/products/thach-trai-cay-orihiro-nhat-ban-mix-vi-240g-i2424865147.html")</f>
        <v>https://www.lazada.vn/products/thach-trai-cay-orihiro-nhat-ban-mix-vi-240g-i2424865147.html</v>
      </c>
      <c r="C4813" s="10" t="s">
        <v>4813</v>
      </c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8">
        <v>9668.0</v>
      </c>
      <c r="B4814" s="9" t="str">
        <f>HYPERLINK("https://www.lazada.vn/products/banh-trung-tipo-caramel-250g-i1656261392.html", "https://www.lazada.vn/products/banh-trung-tipo-caramel-250g-i1656261392.html")</f>
        <v>https://www.lazada.vn/products/banh-trung-tipo-caramel-250g-i1656261392.html</v>
      </c>
      <c r="C4814" s="10" t="s">
        <v>4814</v>
      </c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8">
        <v>9669.0</v>
      </c>
      <c r="B4815" s="9" t="str">
        <f>HYPERLINK("https://www.lazada.vn/products/vodka-soda-196-vi-chanh-lon-320ml-i3011368208.html", "https://www.lazada.vn/products/vodka-soda-196-vi-chanh-lon-320ml-i3011368208.html")</f>
        <v>https://www.lazada.vn/products/vodka-soda-196-vi-chanh-lon-320ml-i3011368208.html</v>
      </c>
      <c r="C4815" s="10" t="s">
        <v>4815</v>
      </c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8">
        <v>9670.0</v>
      </c>
      <c r="B4816" s="9" t="str">
        <f>HYPERLINK("https://www.lazada.vn/products/khoai-tay-lat-lays-stax-ong-65g100g-i2738527807.html", "https://www.lazada.vn/products/khoai-tay-lat-lays-stax-ong-65g100g-i2738527807.html")</f>
        <v>https://www.lazada.vn/products/khoai-tay-lat-lays-stax-ong-65g100g-i2738527807.html</v>
      </c>
      <c r="C4816" s="10" t="s">
        <v>4816</v>
      </c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8">
        <v>9671.0</v>
      </c>
      <c r="B4817" s="9" t="str">
        <f>HYPERLINK("https://www.lazada.vn/products/coop-online-pho-story-pho-bo-thit-to-131g-i2860148899.html", "https://www.lazada.vn/products/coop-online-pho-story-pho-bo-thit-to-131g-i2860148899.html")</f>
        <v>https://www.lazada.vn/products/coop-online-pho-story-pho-bo-thit-to-131g-i2860148899.html</v>
      </c>
      <c r="C4817" s="10" t="s">
        <v>4817</v>
      </c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8">
        <v>9672.0</v>
      </c>
      <c r="B4818" s="9" t="str">
        <f>HYPERLINK("https://www.lazada.vn/products/chinesefoodcanh-ga-khuc-giua-tam-mat-ong-chizhong-25g-hang-moi-ve-san-hang-i1738068135.html", "https://www.lazada.vn/products/chinesefoodcanh-ga-khuc-giua-tam-mat-ong-chizhong-25g-hang-moi-ve-san-hang-i1738068135.html")</f>
        <v>https://www.lazada.vn/products/chinesefoodcanh-ga-khuc-giua-tam-mat-ong-chizhong-25g-hang-moi-ve-san-hang-i1738068135.html</v>
      </c>
      <c r="C4818" s="10" t="s">
        <v>4818</v>
      </c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8">
        <v>9673.0</v>
      </c>
      <c r="B4819" s="9" t="str">
        <f>HYPERLINK("https://www.lazada.vn/products/bia-kirin-beer-kirins-prime-brew-i1567892961.html", "https://www.lazada.vn/products/bia-kirin-beer-kirins-prime-brew-i1567892961.html")</f>
        <v>https://www.lazada.vn/products/bia-kirin-beer-kirins-prime-brew-i1567892961.html</v>
      </c>
      <c r="C4819" s="10" t="s">
        <v>4819</v>
      </c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8">
        <v>9674.0</v>
      </c>
      <c r="B4820" s="9" t="str">
        <f>HYPERLINK("https://www.lazada.vn/products/tran-chau-3q-douxian-hu-25kgbich-2kg-i2537724935.html", "https://www.lazada.vn/products/tran-chau-3q-douxian-hu-25kgbich-2kg-i2537724935.html")</f>
        <v>https://www.lazada.vn/products/tran-chau-3q-douxian-hu-25kgbich-2kg-i2537724935.html</v>
      </c>
      <c r="C4820" s="10" t="s">
        <v>4820</v>
      </c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8">
        <v>9675.0</v>
      </c>
      <c r="B4821" s="9" t="str">
        <f>HYPERLINK("https://www.lazada.vn/products/spam-hop-less-sodium-340g-thit-hop-it-muoi-my-hormel-spam-less-sodium-meat-i3036302487.html", "https://www.lazada.vn/products/spam-hop-less-sodium-340g-thit-hop-it-muoi-my-hormel-spam-less-sodium-meat-i3036302487.html")</f>
        <v>https://www.lazada.vn/products/spam-hop-less-sodium-340g-thit-hop-it-muoi-my-hormel-spam-less-sodium-meat-i3036302487.html</v>
      </c>
      <c r="C4821" s="10" t="s">
        <v>4821</v>
      </c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8">
        <v>9676.0</v>
      </c>
      <c r="B4822" s="9" t="str">
        <f>HYPERLINK("https://www.lazada.vn/products/bot-cu-ngai-den-chong-doc-cao-trung-son-150-g-chinh-hang-i2676915893.html", "https://www.lazada.vn/products/bot-cu-ngai-den-chong-doc-cao-trung-son-150-g-chinh-hang-i2676915893.html")</f>
        <v>https://www.lazada.vn/products/bot-cu-ngai-den-chong-doc-cao-trung-son-150-g-chinh-hang-i2676915893.html</v>
      </c>
      <c r="C4822" s="10" t="s">
        <v>4822</v>
      </c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8">
        <v>9677.0</v>
      </c>
      <c r="B4823" s="9" t="str">
        <f>HYPERLINK("https://www.lazada.vn/products/century-hop-trang-170g-ca-ngu-xat-lat-ngam-dau-thuc-vat-philippines-tuna-flakes-in-vegetable-oil-halal-i3036295190.html", "https://www.lazada.vn/products/century-hop-trang-170g-ca-ngu-xat-lat-ngam-dau-thuc-vat-philippines-tuna-flakes-in-vegetable-oil-halal-i3036295190.html")</f>
        <v>https://www.lazada.vn/products/century-hop-trang-170g-ca-ngu-xat-lat-ngam-dau-thuc-vat-philippines-tuna-flakes-in-vegetable-oil-halal-i3036295190.html</v>
      </c>
      <c r="C4823" s="10" t="s">
        <v>4823</v>
      </c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8">
        <v>9678.0</v>
      </c>
      <c r="B4824" s="9" t="str">
        <f>HYPERLINK("https://www.lazada.vn/products/33452-ktm-970-nap-den-xi-nhan-truoc-trai-future-lenswinker-l-fr-chinh-hang-honda-i2638580509.html", "https://www.lazada.vn/products/33452-ktm-970-nap-den-xi-nhan-truoc-trai-future-lenswinker-l-fr-chinh-hang-honda-i2638580509.html")</f>
        <v>https://www.lazada.vn/products/33452-ktm-970-nap-den-xi-nhan-truoc-trai-future-lenswinker-l-fr-chinh-hang-honda-i2638580509.html</v>
      </c>
      <c r="C4824" s="10" t="s">
        <v>4824</v>
      </c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8">
        <v>9679.0</v>
      </c>
      <c r="B4825" s="9" t="str">
        <f>HYPERLINK("https://www.lazada.vn/products/hu-1kg-mam-ca-sac-dac-san-chau-doc-an-giang-noi-tieng-thom-ngon-i1949921626.html", "https://www.lazada.vn/products/hu-1kg-mam-ca-sac-dac-san-chau-doc-an-giang-noi-tieng-thom-ngon-i1949921626.html")</f>
        <v>https://www.lazada.vn/products/hu-1kg-mam-ca-sac-dac-san-chau-doc-an-giang-noi-tieng-thom-ngon-i1949921626.html</v>
      </c>
      <c r="C4825" s="10" t="s">
        <v>4825</v>
      </c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8">
        <v>9680.0</v>
      </c>
      <c r="B4826" s="9" t="str">
        <f>HYPERLINK("https://www.lazada.vn/products/loc-4-chai-nuoc-khoang-thien-nhien-co-ga-perrier-phap-chai-thuy-tinh-330ml-i2683921602.html", "https://www.lazada.vn/products/loc-4-chai-nuoc-khoang-thien-nhien-co-ga-perrier-phap-chai-thuy-tinh-330ml-i2683921602.html")</f>
        <v>https://www.lazada.vn/products/loc-4-chai-nuoc-khoang-thien-nhien-co-ga-perrier-phap-chai-thuy-tinh-330ml-i2683921602.html</v>
      </c>
      <c r="C4826" s="10" t="s">
        <v>4826</v>
      </c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8">
        <v>9681.0</v>
      </c>
      <c r="B4827" s="9" t="str">
        <f>HYPERLINK("https://www.lazada.vn/products/loc-6lon-nuoc-ngot-mirinda-xaxi-390ml-dam-da-thom-ngon-dung-vi-xaxi-la-nuoc-giai-khac-ho-tro-tot-cho-duong-tieu-hoa-uong-lanh-ngon-tuyet-dinh-han-su-dung-luon-moi-i2456533731.html", "https://www.lazada.vn/products/loc-6lon-nuoc-ngot-mirinda-xaxi-390ml-dam-da-thom-ngon-dung-vi-xaxi-la-nuoc-giai-khac-ho-tro-tot-cho-duong-tieu-hoa-uong-lanh-ngon-tuyet-dinh-han-su-dung-luon-moi-i2456533731.html")</f>
        <v>https://www.lazada.vn/products/loc-6lon-nuoc-ngot-mirinda-xaxi-390ml-dam-da-thom-ngon-dung-vi-xaxi-la-nuoc-giai-khac-ho-tro-tot-cho-duong-tieu-hoa-uong-lanh-ngon-tuyet-dinh-han-su-dung-luon-moi-i2456533731.html</v>
      </c>
      <c r="C4827" s="10" t="s">
        <v>4827</v>
      </c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8">
        <v>9682.0</v>
      </c>
      <c r="B4828" s="9" t="str">
        <f>HYPERLINK("https://www.lazada.vn/products/keo-dua-sap-ca-phe-muoi-i2740017401.html", "https://www.lazada.vn/products/keo-dua-sap-ca-phe-muoi-i2740017401.html")</f>
        <v>https://www.lazada.vn/products/keo-dua-sap-ca-phe-muoi-i2740017401.html</v>
      </c>
      <c r="C4828" s="10" t="s">
        <v>4828</v>
      </c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8">
        <v>9683.0</v>
      </c>
      <c r="B4829" s="9" t="str">
        <f>HYPERLINK("https://www.lazada.vn/products/vang-phap-maison-les-alexandrins-i2646290047.html", "https://www.lazada.vn/products/vang-phap-maison-les-alexandrins-i2646290047.html")</f>
        <v>https://www.lazada.vn/products/vang-phap-maison-les-alexandrins-i2646290047.html</v>
      </c>
      <c r="C4829" s="10" t="s">
        <v>4829</v>
      </c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8">
        <v>9684.0</v>
      </c>
      <c r="B4830" s="9" t="str">
        <f>HYPERLINK("https://www.lazada.vn/products/banh-gery-pho-mai-cheese-cracker-nhap-khau-indo-i2898187154.html", "https://www.lazada.vn/products/banh-gery-pho-mai-cheese-cracker-nhap-khau-indo-i2898187154.html")</f>
        <v>https://www.lazada.vn/products/banh-gery-pho-mai-cheese-cracker-nhap-khau-indo-i2898187154.html</v>
      </c>
      <c r="C4830" s="10" t="s">
        <v>4830</v>
      </c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8">
        <v>9685.0</v>
      </c>
      <c r="B4831" s="9" t="str">
        <f>HYPERLINK("https://www.lazada.vn/products/banh-hanh-nhan-tuong-nhon-thom-ngon-do-an-vat-i2532854482.html", "https://www.lazada.vn/products/banh-hanh-nhan-tuong-nhon-thom-ngon-do-an-vat-i2532854482.html")</f>
        <v>https://www.lazada.vn/products/banh-hanh-nhan-tuong-nhon-thom-ngon-do-an-vat-i2532854482.html</v>
      </c>
      <c r="C4831" s="10" t="s">
        <v>4831</v>
      </c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8">
        <v>9686.0</v>
      </c>
      <c r="B4832" s="9" t="str">
        <f>HYPERLINK("https://www.lazada.vn/products/sinh-to-osterberg-dua-luoi-1l-12-chai-thung-nguyen-lieu-pha-che-cloudmart-i2784867844.html", "https://www.lazada.vn/products/sinh-to-osterberg-dua-luoi-1l-12-chai-thung-nguyen-lieu-pha-che-cloudmart-i2784867844.html")</f>
        <v>https://www.lazada.vn/products/sinh-to-osterberg-dua-luoi-1l-12-chai-thung-nguyen-lieu-pha-che-cloudmart-i2784867844.html</v>
      </c>
      <c r="C4832" s="10" t="s">
        <v>4832</v>
      </c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8">
        <v>9687.0</v>
      </c>
      <c r="B4833" s="9" t="str">
        <f>HYPERLINK("https://www.lazada.vn/products/1-loc-6-chai-pocari-bu-nuoc-va-chat-dien-giai-500ml-i2488635794.html", "https://www.lazada.vn/products/1-loc-6-chai-pocari-bu-nuoc-va-chat-dien-giai-500ml-i2488635794.html")</f>
        <v>https://www.lazada.vn/products/1-loc-6-chai-pocari-bu-nuoc-va-chat-dien-giai-500ml-i2488635794.html</v>
      </c>
      <c r="C4833" s="10" t="s">
        <v>4833</v>
      </c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8">
        <v>9688.0</v>
      </c>
      <c r="B4834" s="9" t="str">
        <f>HYPERLINK("https://www.lazada.vn/products/nuoc-pepsi-nhat-ban-160ml-i2488526427.html", "https://www.lazada.vn/products/nuoc-pepsi-nhat-ban-160ml-i2488526427.html")</f>
        <v>https://www.lazada.vn/products/nuoc-pepsi-nhat-ban-160ml-i2488526427.html</v>
      </c>
      <c r="C4834" s="10" t="s">
        <v>4834</v>
      </c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8">
        <v>9689.0</v>
      </c>
      <c r="B4835" s="9" t="str">
        <f>HYPERLINK("https://www.lazada.vn/products/bot-cacao-nguyen-chat-ka-cacao-khong-duong-huong-vi-socola-tu-nhien-dam-da-khong-huong-lieu-phu-gia-i2119578230.html", "https://www.lazada.vn/products/bot-cacao-nguyen-chat-ka-cacao-khong-duong-huong-vi-socola-tu-nhien-dam-da-khong-huong-lieu-phu-gia-i2119578230.html")</f>
        <v>https://www.lazada.vn/products/bot-cacao-nguyen-chat-ka-cacao-khong-duong-huong-vi-socola-tu-nhien-dam-da-khong-huong-lieu-phu-gia-i2119578230.html</v>
      </c>
      <c r="C4835" s="10" t="s">
        <v>4835</v>
      </c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8">
        <v>9690.0</v>
      </c>
      <c r="B4836" s="9" t="str">
        <f>HYPERLINK("https://www.lazada.vn/products/thach-hoa-qua-trai-cay-orihiro-noi-dia-nhat-ban-nguyen-lieu-tu-nhien-giau-chat-xo-khong-chat-bao-quan-thenewlife0909-i2424864130.html", "https://www.lazada.vn/products/thach-hoa-qua-trai-cay-orihiro-noi-dia-nhat-ban-nguyen-lieu-tu-nhien-giau-chat-xo-khong-chat-bao-quan-thenewlife0909-i2424864130.html")</f>
        <v>https://www.lazada.vn/products/thach-hoa-qua-trai-cay-orihiro-noi-dia-nhat-ban-nguyen-lieu-tu-nhien-giau-chat-xo-khong-chat-bao-quan-thenewlife0909-i2424864130.html</v>
      </c>
      <c r="C4836" s="10" t="s">
        <v>4836</v>
      </c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8">
        <v>9691.0</v>
      </c>
      <c r="B4837" s="9" t="str">
        <f>HYPERLINK("https://www.lazada.vn/products/banh-quy-bourbon-choco-chip-58gr-sieu-thi-nhat-ichiban-market-i1644277247.html", "https://www.lazada.vn/products/banh-quy-bourbon-choco-chip-58gr-sieu-thi-nhat-ichiban-market-i1644277247.html")</f>
        <v>https://www.lazada.vn/products/banh-quy-bourbon-choco-chip-58gr-sieu-thi-nhat-ichiban-market-i1644277247.html</v>
      </c>
      <c r="C4837" s="10" t="s">
        <v>4837</v>
      </c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8">
        <v>9692.0</v>
      </c>
      <c r="B4838" s="9" t="str">
        <f>HYPERLINK("https://www.lazada.vn/products/vodka-soda-196-vi-chanh-lon-320ml-i3011285368.html", "https://www.lazada.vn/products/vodka-soda-196-vi-chanh-lon-320ml-i3011285368.html")</f>
        <v>https://www.lazada.vn/products/vodka-soda-196-vi-chanh-lon-320ml-i3011285368.html</v>
      </c>
      <c r="C4838" s="10" t="s">
        <v>4838</v>
      </c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8">
        <v>9693.0</v>
      </c>
      <c r="B4839" s="9" t="str">
        <f>HYPERLINK("https://www.lazada.vn/products/1kg-snack-ta-la-mix-du-vi-gion-tan-i2738403012.html", "https://www.lazada.vn/products/1kg-snack-ta-la-mix-du-vi-gion-tan-i2738403012.html")</f>
        <v>https://www.lazada.vn/products/1kg-snack-ta-la-mix-du-vi-gion-tan-i2738403012.html</v>
      </c>
      <c r="C4839" s="10" t="s">
        <v>4839</v>
      </c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8">
        <v>9694.0</v>
      </c>
      <c r="B4840" s="9" t="str">
        <f>HYPERLINK("https://www.lazada.vn/products/coop-online-mi-chay-hao-hao-handy-vi-lau-nam-thap-cam-ly-66g-i2860141944.html", "https://www.lazada.vn/products/coop-online-mi-chay-hao-hao-handy-vi-lau-nam-thap-cam-ly-66g-i2860141944.html")</f>
        <v>https://www.lazada.vn/products/coop-online-mi-chay-hao-hao-handy-vi-lau-nam-thap-cam-ly-66g-i2860141944.html</v>
      </c>
      <c r="C4840" s="10" t="s">
        <v>4840</v>
      </c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8">
        <v>9695.0</v>
      </c>
      <c r="B4841" s="9" t="str">
        <f>HYPERLINK("https://www.lazada.vn/products/chinesefooddau-phu-thui-hang-ba-gia-thom-ngon-tuyet-hao-goi-26g-i1738068097.html", "https://www.lazada.vn/products/chinesefooddau-phu-thui-hang-ba-gia-thom-ngon-tuyet-hao-goi-26g-i1738068097.html")</f>
        <v>https://www.lazada.vn/products/chinesefooddau-phu-thui-hang-ba-gia-thom-ngon-tuyet-hao-goi-26g-i1738068097.html</v>
      </c>
      <c r="C4841" s="10" t="s">
        <v>4841</v>
      </c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8">
        <v>9696.0</v>
      </c>
      <c r="B4842" s="9" t="str">
        <f>HYPERLINK("https://www.lazada.vn/products/banh-gao-vi-pho-mai-ngo-one-one-118g-do-an-vat-gia-re-i1641669644.html", "https://www.lazada.vn/products/banh-gao-vi-pho-mai-ngo-one-one-118g-do-an-vat-gia-re-i1641669644.html")</f>
        <v>https://www.lazada.vn/products/banh-gao-vi-pho-mai-ngo-one-one-118g-do-an-vat-gia-re-i1641669644.html</v>
      </c>
      <c r="C4842" s="10" t="s">
        <v>4842</v>
      </c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8">
        <v>9697.0</v>
      </c>
      <c r="B4843" s="9" t="str">
        <f>HYPERLINK("https://www.lazada.vn/products/bia-asahi-clear-asahi-zero-beer-asahi-zero-i1567884907.html", "https://www.lazada.vn/products/bia-asahi-clear-asahi-zero-beer-asahi-zero-i1567884907.html")</f>
        <v>https://www.lazada.vn/products/bia-asahi-clear-asahi-zero-beer-asahi-zero-i1567884907.html</v>
      </c>
      <c r="C4843" s="10" t="s">
        <v>4843</v>
      </c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8">
        <v>9698.0</v>
      </c>
      <c r="B4844" s="9" t="str">
        <f>HYPERLINK("https://www.lazada.vn/products/mau-thu-siro-monin-100ml-du-vi-chai-nhua-nho-dung-thu-test-do-uong-i2536828432.html", "https://www.lazada.vn/products/mau-thu-siro-monin-100ml-du-vi-chai-nhua-nho-dung-thu-test-do-uong-i2536828432.html")</f>
        <v>https://www.lazada.vn/products/mau-thu-siro-monin-100ml-du-vi-chai-nhua-nho-dung-thu-test-do-uong-i2536828432.html</v>
      </c>
      <c r="C4844" s="10" t="s">
        <v>4844</v>
      </c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8">
        <v>9699.0</v>
      </c>
      <c r="B4845" s="9" t="str">
        <f>HYPERLINK("https://www.lazada.vn/products/vissan-hop-150g-heo-ham-dong-hop-canned-pork-i3036288263.html", "https://www.lazada.vn/products/vissan-hop-150g-heo-ham-dong-hop-canned-pork-i3036288263.html")</f>
        <v>https://www.lazada.vn/products/vissan-hop-150g-heo-ham-dong-hop-canned-pork-i3036288263.html</v>
      </c>
      <c r="C4845" s="10" t="s">
        <v>4845</v>
      </c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8">
        <v>9700.0</v>
      </c>
      <c r="B4846" s="9" t="str">
        <f>HYPERLINK("https://www.lazada.vn/products/bot-chuoi-xanh-say-lanh-hu-450g-hoac-hop-20-goi-i2676070420.html", "https://www.lazada.vn/products/bot-chuoi-xanh-say-lanh-hu-450g-hoac-hop-20-goi-i2676070420.html")</f>
        <v>https://www.lazada.vn/products/bot-chuoi-xanh-say-lanh-hu-450g-hoac-hop-20-goi-i2676070420.html</v>
      </c>
      <c r="C4846" s="10" t="s">
        <v>4846</v>
      </c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8">
        <v>9701.0</v>
      </c>
      <c r="B4847" s="9" t="str">
        <f>HYPERLINK("https://www.lazada.vn/products/chao-mon-phu-gia-bao-800gr-chao-de-vo-khi-vc-xa-khach-can-nhac-truoc-khi-dat-hang-nhe-i1949774170.html", "https://www.lazada.vn/products/chao-mon-phu-gia-bao-800gr-chao-de-vo-khi-vc-xa-khach-can-nhac-truoc-khi-dat-hang-nhe-i1949774170.html")</f>
        <v>https://www.lazada.vn/products/chao-mon-phu-gia-bao-800gr-chao-de-vo-khi-vc-xa-khach-can-nhac-truoc-khi-dat-hang-nhe-i1949774170.html</v>
      </c>
      <c r="C4847" s="10" t="s">
        <v>4847</v>
      </c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8">
        <v>9702.0</v>
      </c>
      <c r="B4848" s="9" t="str">
        <f>HYPERLINK("https://www.lazada.vn/products/thung-24chai-nuoc-ngot-7up-390ml-dam-da-thom-ngon-dung-vi-chanh-la-nuoc-giai-khac-bat-tung-nang-luong-cho-mot-ngay-moi-nang-dong-trong-cong-viec-han-su-dung-luon-moi-i2456504871.html", "https://www.lazada.vn/products/thung-24chai-nuoc-ngot-7up-390ml-dam-da-thom-ngon-dung-vi-chanh-la-nuoc-giai-khac-bat-tung-nang-luong-cho-mot-ngay-moi-nang-dong-trong-cong-viec-han-su-dung-luon-moi-i2456504871.html")</f>
        <v>https://www.lazada.vn/products/thung-24chai-nuoc-ngot-7up-390ml-dam-da-thom-ngon-dung-vi-chanh-la-nuoc-giai-khac-bat-tung-nang-luong-cho-mot-ngay-moi-nang-dong-trong-cong-viec-han-su-dung-luon-moi-i2456504871.html</v>
      </c>
      <c r="C4848" s="10" t="s">
        <v>4848</v>
      </c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8">
        <v>9703.0</v>
      </c>
      <c r="B4849" s="9" t="str">
        <f>HYPERLINK("https://www.lazada.vn/products/sake-nhat-ban-ayane-junmai-ginjo-720ml-15-i2603765220.html", "https://www.lazada.vn/products/sake-nhat-ban-ayane-junmai-ginjo-720ml-15-i2603765220.html")</f>
        <v>https://www.lazada.vn/products/sake-nhat-ban-ayane-junmai-ginjo-720ml-15-i2603765220.html</v>
      </c>
      <c r="C4849" s="10" t="s">
        <v>4849</v>
      </c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8">
        <v>9704.0</v>
      </c>
      <c r="B4850" s="9" t="str">
        <f>HYPERLINK("https://www.lazada.vn/products/banh-ruot-gau-sieu-ngon-date-moi-1-thung-30-cai-i2896757604.html", "https://www.lazada.vn/products/banh-ruot-gau-sieu-ngon-date-moi-1-thung-30-cai-i2896757604.html")</f>
        <v>https://www.lazada.vn/products/banh-ruot-gau-sieu-ngon-date-moi-1-thung-30-cai-i2896757604.html</v>
      </c>
      <c r="C4850" s="10" t="s">
        <v>4850</v>
      </c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8">
        <v>9705.0</v>
      </c>
      <c r="B4851" s="9" t="str">
        <f>HYPERLINK("https://www.lazada.vn/products/vang-chat-da-lat-i2646281134.html", "https://www.lazada.vn/products/vang-chat-da-lat-i2646281134.html")</f>
        <v>https://www.lazada.vn/products/vang-chat-da-lat-i2646281134.html</v>
      </c>
      <c r="C4851" s="10" t="s">
        <v>4851</v>
      </c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8">
        <v>9706.0</v>
      </c>
      <c r="B4852" s="9" t="str">
        <f>HYPERLINK("https://www.lazada.vn/products/keo-mut-trai-cay-ga-dau-lotso-i2739962266.html", "https://www.lazada.vn/products/keo-mut-trai-cay-ga-dau-lotso-i2739962266.html")</f>
        <v>https://www.lazada.vn/products/keo-mut-trai-cay-ga-dau-lotso-i2739962266.html</v>
      </c>
      <c r="C4852" s="10" t="s">
        <v>4852</v>
      </c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8">
        <v>9707.0</v>
      </c>
      <c r="B4853" s="9" t="str">
        <f>HYPERLINK("https://www.lazada.vn/products/tui-500g-banh-hanh-nhan-tuong-nhon-thom-ngon-do-an-vat-i2532779660.html", "https://www.lazada.vn/products/tui-500g-banh-hanh-nhan-tuong-nhon-thom-ngon-do-an-vat-i2532779660.html")</f>
        <v>https://www.lazada.vn/products/tui-500g-banh-hanh-nhan-tuong-nhon-thom-ngon-do-an-vat-i2532779660.html</v>
      </c>
      <c r="C4853" s="10" t="s">
        <v>4853</v>
      </c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8">
        <v>9708.0</v>
      </c>
      <c r="B4854" s="9" t="str">
        <f>HYPERLINK("https://www.lazada.vn/products/sinh-to-osterberg-dua-xoai-nguyen-lieu-pha-che-cloudmart-i2784863949.html", "https://www.lazada.vn/products/sinh-to-osterberg-dua-xoai-nguyen-lieu-pha-che-cloudmart-i2784863949.html")</f>
        <v>https://www.lazada.vn/products/sinh-to-osterberg-dua-xoai-nguyen-lieu-pha-che-cloudmart-i2784863949.html</v>
      </c>
      <c r="C4854" s="10" t="s">
        <v>4854</v>
      </c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8">
        <v>9709.0</v>
      </c>
      <c r="B4855" s="9" t="str">
        <f>HYPERLINK("https://www.lazada.vn/products/loc-6chai-455ml-nuoc-ngot-revive-bu-khoang-bu-nuoc-tao-nang-dong-cho-co-the-thieu-hut-nuoc-i2485760546.html", "https://www.lazada.vn/products/loc-6chai-455ml-nuoc-ngot-revive-bu-khoang-bu-nuoc-tao-nang-dong-cho-co-the-thieu-hut-nuoc-i2485760546.html")</f>
        <v>https://www.lazada.vn/products/loc-6chai-455ml-nuoc-ngot-revive-bu-khoang-bu-nuoc-tao-nang-dong-cho-co-the-thieu-hut-nuoc-i2485760546.html</v>
      </c>
      <c r="C4855" s="10" t="s">
        <v>4855</v>
      </c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8">
        <v>9710.0</v>
      </c>
      <c r="B4856" s="9" t="str">
        <f>HYPERLINK("https://www.lazada.vn/products/thach-hoa-qua-trai-cay-orihiro-noi-dia-nhat-ban-nguyen-lieu-tu-nhien-giau-chat-xo-khong-chat-bao-quan-pho-thao-moc-i2424830315.html", "https://www.lazada.vn/products/thach-hoa-qua-trai-cay-orihiro-noi-dia-nhat-ban-nguyen-lieu-tu-nhien-giau-chat-xo-khong-chat-bao-quan-pho-thao-moc-i2424830315.html")</f>
        <v>https://www.lazada.vn/products/thach-hoa-qua-trai-cay-orihiro-noi-dia-nhat-ban-nguyen-lieu-tu-nhien-giau-chat-xo-khong-chat-bao-quan-pho-thao-moc-i2424830315.html</v>
      </c>
      <c r="C4856" s="10" t="s">
        <v>4856</v>
      </c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8">
        <v>9711.0</v>
      </c>
      <c r="B4857" s="9" t="str">
        <f>HYPERLINK("https://www.lazada.vn/products/bot-cacao-nguyen-chat-ka-cacao-khong-duong-huong-vi-socola-tu-nhien-dam-da-khong-huong-lieu-phu-gia-i2119418809.html", "https://www.lazada.vn/products/bot-cacao-nguyen-chat-ka-cacao-khong-duong-huong-vi-socola-tu-nhien-dam-da-khong-huong-lieu-phu-gia-i2119418809.html")</f>
        <v>https://www.lazada.vn/products/bot-cacao-nguyen-chat-ka-cacao-khong-duong-huong-vi-socola-tu-nhien-dam-da-khong-huong-lieu-phu-gia-i2119418809.html</v>
      </c>
      <c r="C4857" s="10" t="s">
        <v>4857</v>
      </c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8">
        <v>9712.0</v>
      </c>
      <c r="B4858" s="9" t="str">
        <f>HYPERLINK("https://www.lazada.vn/products/vodka-soda-196-vi-dao-lon-320ml-i3011119769.html", "https://www.lazada.vn/products/vodka-soda-196-vi-dao-lon-320ml-i3011119769.html")</f>
        <v>https://www.lazada.vn/products/vodka-soda-196-vi-dao-lon-320ml-i3011119769.html</v>
      </c>
      <c r="C4858" s="10" t="s">
        <v>4858</v>
      </c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8">
        <v>9713.0</v>
      </c>
      <c r="B4859" s="9" t="str">
        <f>HYPERLINK("https://www.lazada.vn/products/khoai-tay-chien-pringles-lon-42g-i2732594268.html", "https://www.lazada.vn/products/khoai-tay-chien-pringles-lon-42g-i2732594268.html")</f>
        <v>https://www.lazada.vn/products/khoai-tay-chien-pringles-lon-42g-i2732594268.html</v>
      </c>
      <c r="C4859" s="10" t="s">
        <v>4859</v>
      </c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8">
        <v>9714.0</v>
      </c>
      <c r="B4860" s="9" t="str">
        <f>HYPERLINK("https://www.lazada.vn/products/coop-online-hu-tieu-nhip-song-nam-vang-bich-345g-5-goi-x-69g-i2860137924.html", "https://www.lazada.vn/products/coop-online-hu-tieu-nhip-song-nam-vang-bich-345g-5-goi-x-69g-i2860137924.html")</f>
        <v>https://www.lazada.vn/products/coop-online-hu-tieu-nhip-song-nam-vang-bich-345g-5-goi-x-69g-i2860137924.html</v>
      </c>
      <c r="C4860" s="10" t="s">
        <v>4860</v>
      </c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8">
        <v>9715.0</v>
      </c>
      <c r="B4861" s="9" t="str">
        <f>HYPERLINK("https://www.lazada.vn/products/banh-quy-mix-vi-thom-ngon-khoai-tay-banh-bap-banh-hanh-nhan-do-an-vat-an-vat-banh-mut-i1638732033.html", "https://www.lazada.vn/products/banh-quy-mix-vi-thom-ngon-khoai-tay-banh-bap-banh-hanh-nhan-do-an-vat-an-vat-banh-mut-i1638732033.html")</f>
        <v>https://www.lazada.vn/products/banh-quy-mix-vi-thom-ngon-khoai-tay-banh-bap-banh-hanh-nhan-do-an-vat-an-vat-banh-mut-i1638732033.html</v>
      </c>
      <c r="C4861" s="10" t="s">
        <v>4861</v>
      </c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8">
        <v>9716.0</v>
      </c>
      <c r="B4862" s="9" t="str">
        <f>HYPERLINK("https://www.lazada.vn/products/vang-phap-domaine-boulard-i2646048537.html", "https://www.lazada.vn/products/vang-phap-domaine-boulard-i2646048537.html")</f>
        <v>https://www.lazada.vn/products/vang-phap-domaine-boulard-i2646048537.html</v>
      </c>
      <c r="C4862" s="10" t="s">
        <v>4862</v>
      </c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8">
        <v>9717.0</v>
      </c>
      <c r="B4863" s="9" t="str">
        <f>HYPERLINK("https://www.lazada.vn/products/300g-keo-ca-phe-khong-duong-mix-vi-i2738101950.html", "https://www.lazada.vn/products/300g-keo-ca-phe-khong-duong-mix-vi-i2738101950.html")</f>
        <v>https://www.lazada.vn/products/300g-keo-ca-phe-khong-duong-mix-vi-i2738101950.html</v>
      </c>
      <c r="C4863" s="10" t="s">
        <v>4863</v>
      </c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8">
        <v>9718.0</v>
      </c>
      <c r="B4864" s="9" t="str">
        <f>HYPERLINK("https://www.lazada.vn/products/hoan-tien-10vien-surimi-nam-duyen-hai-nhan-trung-ca-pho-mai-mayonnaies-500gr-giao-tphcm-i1625480668.html", "https://www.lazada.vn/products/hoan-tien-10vien-surimi-nam-duyen-hai-nhan-trung-ca-pho-mai-mayonnaies-500gr-giao-tphcm-i1625480668.html")</f>
        <v>https://www.lazada.vn/products/hoan-tien-10vien-surimi-nam-duyen-hai-nhan-trung-ca-pho-mai-mayonnaies-500gr-giao-tphcm-i1625480668.html</v>
      </c>
      <c r="C4864" s="10" t="s">
        <v>4864</v>
      </c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8">
        <v>9719.0</v>
      </c>
      <c r="B4865" s="9" t="str">
        <f>HYPERLINK("https://www.lazada.vn/products/ruou-man-15-do-choya-natural-shiso-nhat-ban-chai325ml-i2563253541.html", "https://www.lazada.vn/products/ruou-man-15-do-choya-natural-shiso-nhat-ban-chai325ml-i2563253541.html")</f>
        <v>https://www.lazada.vn/products/ruou-man-15-do-choya-natural-shiso-nhat-ban-chai325ml-i2563253541.html</v>
      </c>
      <c r="C4865" s="10" t="s">
        <v>4865</v>
      </c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8">
        <v>9720.0</v>
      </c>
      <c r="B4866" s="9" t="str">
        <f>HYPERLINK("https://www.lazada.vn/products/chao-mon-phu-gia-bao-800ghang-de-vo-nat-khach-can-nhac-truoc-khi-dat-hang-i1949768198.html", "https://www.lazada.vn/products/chao-mon-phu-gia-bao-800ghang-de-vo-nat-khach-can-nhac-truoc-khi-dat-hang-i1949768198.html")</f>
        <v>https://www.lazada.vn/products/chao-mon-phu-gia-bao-800ghang-de-vo-nat-khach-can-nhac-truoc-khi-dat-hang-i1949768198.html</v>
      </c>
      <c r="C4866" s="10" t="s">
        <v>4866</v>
      </c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8">
        <v>9721.0</v>
      </c>
      <c r="B4867" s="9" t="str">
        <f>HYPERLINK("https://www.lazada.vn/products/bich-50-goi-trai-cay-tuoi-nuvi-thach-dao-20g-i2420247428.html", "https://www.lazada.vn/products/bich-50-goi-trai-cay-tuoi-nuvi-thach-dao-20g-i2420247428.html")</f>
        <v>https://www.lazada.vn/products/bich-50-goi-trai-cay-tuoi-nuvi-thach-dao-20g-i2420247428.html</v>
      </c>
      <c r="C4867" s="10" t="s">
        <v>4867</v>
      </c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8">
        <v>9722.0</v>
      </c>
      <c r="B4868" s="9" t="str">
        <f>HYPERLINK("https://www.lazada.vn/products/ayam-lon-nau-425g-dau-sot-ca-ri-vi-dam-da-malaysia-baked-beans-in-tomato-sauce-halal-i3036286187.html", "https://www.lazada.vn/products/ayam-lon-nau-425g-dau-sot-ca-ri-vi-dam-da-malaysia-baked-beans-in-tomato-sauce-halal-i3036286187.html")</f>
        <v>https://www.lazada.vn/products/ayam-lon-nau-425g-dau-sot-ca-ri-vi-dam-da-malaysia-baked-beans-in-tomato-sauce-halal-i3036286187.html</v>
      </c>
      <c r="C4868" s="10" t="s">
        <v>4868</v>
      </c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8">
        <v>9723.0</v>
      </c>
      <c r="B4869" s="9" t="str">
        <f>HYPERLINK("https://www.lazada.vn/products/vang-do-phap-pegasus-merlot-i2646042398.html", "https://www.lazada.vn/products/vang-do-phap-pegasus-merlot-i2646042398.html")</f>
        <v>https://www.lazada.vn/products/vang-do-phap-pegasus-merlot-i2646042398.html</v>
      </c>
      <c r="C4869" s="10" t="s">
        <v>4869</v>
      </c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8">
        <v>9724.0</v>
      </c>
      <c r="B4870" s="9" t="str">
        <f>HYPERLINK("https://www.lazada.vn/products/thach-rau-cau-trai-cay-tu-nhien-fruzel-jelly-145kg-cua-my-date-092025-i2417241146.html", "https://www.lazada.vn/products/thach-rau-cau-trai-cay-tu-nhien-fruzel-jelly-145kg-cua-my-date-092025-i2417241146.html")</f>
        <v>https://www.lazada.vn/products/thach-rau-cau-trai-cay-tu-nhien-fruzel-jelly-145kg-cua-my-date-092025-i2417241146.html</v>
      </c>
      <c r="C4870" s="10" t="s">
        <v>4870</v>
      </c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8">
        <v>9725.0</v>
      </c>
      <c r="B4871" s="9" t="str">
        <f>HYPERLINK("https://www.lazada.vn/products/1-lit-mam-tep-dac-biet-thom-ngon-dac-san-ba-lang-thanh-hoa-i1949637023.html", "https://www.lazada.vn/products/1-lit-mam-tep-dac-biet-thom-ngon-dac-san-ba-lang-thanh-hoa-i1949637023.html")</f>
        <v>https://www.lazada.vn/products/1-lit-mam-tep-dac-biet-thom-ngon-dac-san-ba-lang-thanh-hoa-i1949637023.html</v>
      </c>
      <c r="C4871" s="10" t="s">
        <v>4871</v>
      </c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8">
        <v>9726.0</v>
      </c>
      <c r="B4872" s="9" t="str">
        <f>HYPERLINK("https://www.lazada.vn/products/vang-bi-appassimento-puglia-g10-i2646039400.html", "https://www.lazada.vn/products/vang-bi-appassimento-puglia-g10-i2646039400.html")</f>
        <v>https://www.lazada.vn/products/vang-bi-appassimento-puglia-g10-i2646039400.html</v>
      </c>
      <c r="C4872" s="10" t="s">
        <v>4872</v>
      </c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8">
        <v>9727.0</v>
      </c>
      <c r="B4873" s="9" t="str">
        <f>HYPERLINK("https://www.lazada.vn/products/1-tui-320g-thach-zai-zai-cola-duc-hanh-thach-cho-be-keo-thach-zaizai-an-vat-do-an-vat-an-vat-bach-hoa-online-uy-tin-i2417099346.html", "https://www.lazada.vn/products/1-tui-320g-thach-zai-zai-cola-duc-hanh-thach-cho-be-keo-thach-zaizai-an-vat-do-an-vat-an-vat-bach-hoa-online-uy-tin-i2417099346.html")</f>
        <v>https://www.lazada.vn/products/1-tui-320g-thach-zai-zai-cola-duc-hanh-thach-cho-be-keo-thach-zaizai-an-vat-do-an-vat-an-vat-bach-hoa-online-uy-tin-i2417099346.html</v>
      </c>
      <c r="C4873" s="10" t="s">
        <v>4873</v>
      </c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8">
        <v>9728.0</v>
      </c>
      <c r="B4874" s="9" t="str">
        <f>HYPERLINK("https://www.lazada.vn/products/kho-tom-tich-hop-300gr-kho-ca-mau-dac-san-ca-mau-kho-tom-tit-dac-san-kho-ca-mau-kho-mien-tay-dac-san-mien-tay-i1948888683.html", "https://www.lazada.vn/products/kho-tom-tich-hop-300gr-kho-ca-mau-dac-san-ca-mau-kho-tom-tit-dac-san-kho-ca-mau-kho-mien-tay-dac-san-mien-tay-i1948888683.html")</f>
        <v>https://www.lazada.vn/products/kho-tom-tich-hop-300gr-kho-ca-mau-dac-san-ca-mau-kho-tom-tit-dac-san-kho-ca-mau-kho-mien-tay-dac-san-mien-tay-i1948888683.html</v>
      </c>
      <c r="C4874" s="10" t="s">
        <v>4874</v>
      </c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8">
        <v>9729.0</v>
      </c>
      <c r="B4875" s="9" t="str">
        <f>HYPERLINK("https://www.lazada.vn/products/vang-y_5-lit-janus-i2646037501.html", "https://www.lazada.vn/products/vang-y_5-lit-janus-i2646037501.html")</f>
        <v>https://www.lazada.vn/products/vang-y_5-lit-janus-i2646037501.html</v>
      </c>
      <c r="C4875" s="10" t="s">
        <v>4875</v>
      </c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8">
        <v>9730.0</v>
      </c>
      <c r="B4876" s="9" t="str">
        <f>HYPERLINK("https://www.lazada.vn/products/mang-ot-mac-mat-lang-son-i1943961905.html", "https://www.lazada.vn/products/mang-ot-mac-mat-lang-son-i1943961905.html")</f>
        <v>https://www.lazada.vn/products/mang-ot-mac-mat-lang-son-i1943961905.html</v>
      </c>
      <c r="C4876" s="10" t="s">
        <v>4876</v>
      </c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8">
        <v>9731.0</v>
      </c>
      <c r="B4877" s="9" t="str">
        <f>HYPERLINK("https://www.lazada.vn/products/thach-nghe-nano-curcumin-jelly-stick-han-quoc-hop-30-goi-x-20g-i2415106220.html", "https://www.lazada.vn/products/thach-nghe-nano-curcumin-jelly-stick-han-quoc-hop-30-goi-x-20g-i2415106220.html")</f>
        <v>https://www.lazada.vn/products/thach-nghe-nano-curcumin-jelly-stick-han-quoc-hop-30-goi-x-20g-i2415106220.html</v>
      </c>
      <c r="C4877" s="10" t="s">
        <v>4877</v>
      </c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8">
        <v>9732.0</v>
      </c>
      <c r="B4878" s="9" t="str">
        <f>HYPERLINK("https://www.lazada.vn/products/vang-do-uc-kangavin-cabernet-sauvignon-i2646032217.html", "https://www.lazada.vn/products/vang-do-uc-kangavin-cabernet-sauvignon-i2646032217.html")</f>
        <v>https://www.lazada.vn/products/vang-do-uc-kangavin-cabernet-sauvignon-i2646032217.html</v>
      </c>
      <c r="C4878" s="10" t="s">
        <v>4878</v>
      </c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8">
        <v>9733.0</v>
      </c>
      <c r="B4879" s="9" t="str">
        <f>HYPERLINK("https://www.lazada.vn/products/pate-nhum-i1943001605.html", "https://www.lazada.vn/products/pate-nhum-i1943001605.html")</f>
        <v>https://www.lazada.vn/products/pate-nhum-i1943001605.html</v>
      </c>
      <c r="C4879" s="10" t="s">
        <v>4879</v>
      </c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8">
        <v>9734.0</v>
      </c>
      <c r="B4880" s="9" t="str">
        <f>HYPERLINK("https://www.lazada.vn/products/thach-trai-cay-konyakku-jele-chewy-jelly-108g-i2414691161.html", "https://www.lazada.vn/products/thach-trai-cay-konyakku-jele-chewy-jelly-108g-i2414691161.html")</f>
        <v>https://www.lazada.vn/products/thach-trai-cay-konyakku-jele-chewy-jelly-108g-i2414691161.html</v>
      </c>
      <c r="C4880" s="10" t="s">
        <v>4880</v>
      </c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8">
        <v>9735.0</v>
      </c>
      <c r="B4881" s="9" t="str">
        <f>HYPERLINK("https://www.lazada.vn/products/vang-chile-libra-reserva_750ml-i2646024480.html", "https://www.lazada.vn/products/vang-chile-libra-reserva_750ml-i2646024480.html")</f>
        <v>https://www.lazada.vn/products/vang-chile-libra-reserva_750ml-i2646024480.html</v>
      </c>
      <c r="C4881" s="10" t="s">
        <v>4881</v>
      </c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8">
        <v>9736.0</v>
      </c>
      <c r="B4882" s="9" t="str">
        <f>HYPERLINK("https://www.lazada.vn/products/kho-ca-keo-loai-ngon-kho-ca-keo-ca-mau-vi-ngot-thom-tu-nhien-phan-loai-1kg-500gram-250gram-i1942034490.html", "https://www.lazada.vn/products/kho-ca-keo-loai-ngon-kho-ca-keo-ca-mau-vi-ngot-thom-tu-nhien-phan-loai-1kg-500gram-250gram-i1942034490.html")</f>
        <v>https://www.lazada.vn/products/kho-ca-keo-loai-ngon-kho-ca-keo-ca-mau-vi-ngot-thom-tu-nhien-phan-loai-1kg-500gram-250gram-i1942034490.html</v>
      </c>
      <c r="C4882" s="10" t="s">
        <v>4882</v>
      </c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8">
        <v>9737.0</v>
      </c>
      <c r="B4883" s="9" t="str">
        <f>HYPERLINK("https://www.lazada.vn/products/thung-thach-rau-cau-trai-cay-hinh-vali-gau-dau-520g-chinh-hang-i2414330359.html", "https://www.lazada.vn/products/thung-thach-rau-cau-trai-cay-hinh-vali-gau-dau-520g-chinh-hang-i2414330359.html")</f>
        <v>https://www.lazada.vn/products/thung-thach-rau-cau-trai-cay-hinh-vali-gau-dau-520g-chinh-hang-i2414330359.html</v>
      </c>
      <c r="C4883" s="10" t="s">
        <v>4883</v>
      </c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8">
        <v>9738.0</v>
      </c>
      <c r="B4884" s="9" t="str">
        <f>HYPERLINK("https://www.lazada.vn/products/vang-do-le-prieur-augustins_750ml-i2646017584.html", "https://www.lazada.vn/products/vang-do-le-prieur-augustins_750ml-i2646017584.html")</f>
        <v>https://www.lazada.vn/products/vang-do-le-prieur-augustins_750ml-i2646017584.html</v>
      </c>
      <c r="C4884" s="10" t="s">
        <v>4884</v>
      </c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8">
        <v>9739.0</v>
      </c>
      <c r="B4885" s="9" t="str">
        <f>HYPERLINK("https://www.lazada.vn/products/kho-ca-keo-ca-mau-khong-qua-kho-mem-deo-dac-san-tu-suong-i1942002878.html", "https://www.lazada.vn/products/kho-ca-keo-ca-mau-khong-qua-kho-mem-deo-dac-san-tu-suong-i1942002878.html")</f>
        <v>https://www.lazada.vn/products/kho-ca-keo-ca-mau-khong-qua-kho-mem-deo-dac-san-tu-suong-i1942002878.html</v>
      </c>
      <c r="C4885" s="10" t="s">
        <v>4885</v>
      </c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8">
        <v>9740.0</v>
      </c>
      <c r="B4886" s="9" t="str">
        <f>HYPERLINK("https://www.lazada.vn/products/keo-caramel-muoi-bien-dai-mem-sea-salt-caramels-khong-duong-no-sugar-keto-non-gmo-gluten-free-100g-35-oz-i2736681115.html", "https://www.lazada.vn/products/keo-caramel-muoi-bien-dai-mem-sea-salt-caramels-khong-duong-no-sugar-keto-non-gmo-gluten-free-100g-35-oz-i2736681115.html")</f>
        <v>https://www.lazada.vn/products/keo-caramel-muoi-bien-dai-mem-sea-salt-caramels-khong-duong-no-sugar-keto-non-gmo-gluten-free-100g-35-oz-i2736681115.html</v>
      </c>
      <c r="C4886" s="10" t="s">
        <v>4886</v>
      </c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8">
        <v>9741.0</v>
      </c>
      <c r="B4887" s="9" t="str">
        <f>HYPERLINK("https://www.lazada.vn/products/hop-24-goi-snack-mi-tom-enaak-tre-em-vi-ga-truyen-thong-30g-m04-sieu-thi-beegin-i2529334604.html", "https://www.lazada.vn/products/hop-24-goi-snack-mi-tom-enaak-tre-em-vi-ga-truyen-thong-30g-m04-sieu-thi-beegin-i2529334604.html")</f>
        <v>https://www.lazada.vn/products/hop-24-goi-snack-mi-tom-enaak-tre-em-vi-ga-truyen-thong-30g-m04-sieu-thi-beegin-i2529334604.html</v>
      </c>
      <c r="C4887" s="10" t="s">
        <v>4887</v>
      </c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8">
        <v>9742.0</v>
      </c>
      <c r="B4888" s="9" t="str">
        <f>HYPERLINK("https://www.lazada.vn/products/vien-surimi-nam-duyen-hai-nhan-trung-ca-pho-mai-mayonnaies-500gr-giao-tphcm-i1625456659.html", "https://www.lazada.vn/products/vien-surimi-nam-duyen-hai-nhan-trung-ca-pho-mai-mayonnaies-500gr-giao-tphcm-i1625456659.html")</f>
        <v>https://www.lazada.vn/products/vien-surimi-nam-duyen-hai-nhan-trung-ca-pho-mai-mayonnaies-500gr-giao-tphcm-i1625456659.html</v>
      </c>
      <c r="C4888" s="10" t="s">
        <v>4888</v>
      </c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8">
        <v>9743.0</v>
      </c>
      <c r="B4889" s="9" t="str">
        <f>HYPERLINK("https://www.lazada.vn/products/combo-pha-4-ly-tra-sua-tran-chau-hoang-kim-hillway-chuan-bi-dai-loan-hop-280g-mau-moi-i2675760450.html", "https://www.lazada.vn/products/combo-pha-4-ly-tra-sua-tran-chau-hoang-kim-hillway-chuan-bi-dai-loan-hop-280g-mau-moi-i2675760450.html")</f>
        <v>https://www.lazada.vn/products/combo-pha-4-ly-tra-sua-tran-chau-hoang-kim-hillway-chuan-bi-dai-loan-hop-280g-mau-moi-i2675760450.html</v>
      </c>
      <c r="C4889" s="10" t="s">
        <v>4889</v>
      </c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8">
        <v>9744.0</v>
      </c>
      <c r="B4890" s="9" t="str">
        <f>HYPERLINK("https://www.lazada.vn/products/bia-dry-asahi-beer-asahi-dry-500ml-i1567831896.html", "https://www.lazada.vn/products/bia-dry-asahi-beer-asahi-dry-500ml-i1567831896.html")</f>
        <v>https://www.lazada.vn/products/bia-dry-asahi-beer-asahi-dry-500ml-i1567831896.html</v>
      </c>
      <c r="C4890" s="10" t="s">
        <v>4890</v>
      </c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8">
        <v>9745.0</v>
      </c>
      <c r="B4891" s="9" t="str">
        <f>HYPERLINK("https://www.lazada.vn/products/tulip-heo-hop-lon-340g-thit-heo-hop-dan-mach-pork-lucheon-meat-i3036283426.html", "https://www.lazada.vn/products/tulip-heo-hop-lon-340g-thit-heo-hop-dan-mach-pork-lucheon-meat-i3036283426.html")</f>
        <v>https://www.lazada.vn/products/tulip-heo-hop-lon-340g-thit-heo-hop-dan-mach-pork-lucheon-meat-i3036283426.html</v>
      </c>
      <c r="C4891" s="10" t="s">
        <v>4891</v>
      </c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8">
        <v>9746.0</v>
      </c>
      <c r="B4892" s="9" t="str">
        <f>HYPERLINK("https://www.lazada.vn/products/rich-junmaishu-mizutaka-300ml-hang-noi-dia-nhat-100-i2556734063.html", "https://www.lazada.vn/products/rich-junmaishu-mizutaka-300ml-hang-noi-dia-nhat-100-i2556734063.html")</f>
        <v>https://www.lazada.vn/products/rich-junmaishu-mizutaka-300ml-hang-noi-dia-nhat-100-i2556734063.html</v>
      </c>
      <c r="C4892" s="10" t="s">
        <v>4892</v>
      </c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8">
        <v>9747.0</v>
      </c>
      <c r="B4893" s="9" t="str">
        <f>HYPERLINK("https://www.lazada.vn/products/chinesefoodchai-bong-ngo-sieu-to-khong-lo-255g-i1738063093.html", "https://www.lazada.vn/products/chinesefoodchai-bong-ngo-sieu-to-khong-lo-255g-i1738063093.html")</f>
        <v>https://www.lazada.vn/products/chinesefoodchai-bong-ngo-sieu-to-khong-lo-255g-i1738063093.html</v>
      </c>
      <c r="C4893" s="10" t="s">
        <v>4893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8">
        <v>9748.0</v>
      </c>
      <c r="B4894" s="9" t="str">
        <f>HYPERLINK("https://www.lazada.vn/products/6-lon-nuoc-tang-luc-lipovitan-mat-ong-250ml-i2483870087.html", "https://www.lazada.vn/products/6-lon-nuoc-tang-luc-lipovitan-mat-ong-250ml-i2483870087.html")</f>
        <v>https://www.lazada.vn/products/6-lon-nuoc-tang-luc-lipovitan-mat-ong-250ml-i2483870087.html</v>
      </c>
      <c r="C4894" s="10" t="s">
        <v>4894</v>
      </c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8">
        <v>9749.0</v>
      </c>
      <c r="B4895" s="9" t="str">
        <f>HYPERLINK("https://www.lazada.vn/products/sinh-to-osterberg-kiwi-1l-nguyen-lieu-pha-che-cloudmart-i2784857653.html", "https://www.lazada.vn/products/sinh-to-osterberg-kiwi-1l-nguyen-lieu-pha-che-cloudmart-i2784857653.html")</f>
        <v>https://www.lazada.vn/products/sinh-to-osterberg-kiwi-1l-nguyen-lieu-pha-che-cloudmart-i2784857653.html</v>
      </c>
      <c r="C4895" s="10" t="s">
        <v>4895</v>
      </c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8">
        <v>9750.0</v>
      </c>
      <c r="B4896" s="9" t="str">
        <f>HYPERLINK("https://www.lazada.vn/products/wildside-vodka-soda-chanh-sa-lemongrass-lemon-330ml-do-con-39-i2798636567.html", "https://www.lazada.vn/products/wildside-vodka-soda-chanh-sa-lemongrass-lemon-330ml-do-con-39-i2798636567.html")</f>
        <v>https://www.lazada.vn/products/wildside-vodka-soda-chanh-sa-lemongrass-lemon-330ml-do-con-39-i2798636567.html</v>
      </c>
      <c r="C4896" s="10" t="s">
        <v>4896</v>
      </c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8">
        <v>9751.0</v>
      </c>
      <c r="B4897" s="9" t="str">
        <f>HYPERLINK("https://www.lazada.vn/products/date-t112024loc-4-hop-thuc-uong-lua-mach-milo-active-go-180ml-co-duong-date-moi-i2116173647.html", "https://www.lazada.vn/products/date-t112024loc-4-hop-thuc-uong-lua-mach-milo-active-go-180ml-co-duong-date-moi-i2116173647.html")</f>
        <v>https://www.lazada.vn/products/date-t112024loc-4-hop-thuc-uong-lua-mach-milo-active-go-180ml-co-duong-date-moi-i2116173647.html</v>
      </c>
      <c r="C4897" s="10" t="s">
        <v>4897</v>
      </c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8">
        <v>9752.0</v>
      </c>
      <c r="B4898" s="9" t="str">
        <f>HYPERLINK("https://www.lazada.vn/products/goi-snack-que-nhan-akiko-du-vi-140g-shop-thu-quan-i2732589475.html", "https://www.lazada.vn/products/goi-snack-que-nhan-akiko-du-vi-140g-shop-thu-quan-i2732589475.html")</f>
        <v>https://www.lazada.vn/products/goi-snack-que-nhan-akiko-du-vi-140g-shop-thu-quan-i2732589475.html</v>
      </c>
      <c r="C4898" s="10" t="s">
        <v>4898</v>
      </c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8">
        <v>9753.0</v>
      </c>
      <c r="B4899" s="9" t="str">
        <f>HYPERLINK("https://www.lazada.vn/products/coop-online-mi-xao-indomie-vi-bo-cay-goi-91g-i2860135940.html", "https://www.lazada.vn/products/coop-online-mi-xao-indomie-vi-bo-cay-goi-91g-i2860135940.html")</f>
        <v>https://www.lazada.vn/products/coop-online-mi-xao-indomie-vi-bo-cay-goi-91g-i2860135940.html</v>
      </c>
      <c r="C4899" s="10" t="s">
        <v>4899</v>
      </c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8">
        <v>9754.0</v>
      </c>
      <c r="B4900" s="9" t="str">
        <f>HYPERLINK("https://www.lazada.vn/products/banh-quy-soda-half-ball-milk-salt-thin-crispy-sesame-flavor-breakfast-snack-for-elderly-and-pregnant-women-sugar-free-biscuit-i2896561994.html", "https://www.lazada.vn/products/banh-quy-soda-half-ball-milk-salt-thin-crispy-sesame-flavor-breakfast-snack-for-elderly-and-pregnant-women-sugar-free-biscuit-i2896561994.html")</f>
        <v>https://www.lazada.vn/products/banh-quy-soda-half-ball-milk-salt-thin-crispy-sesame-flavor-breakfast-snack-for-elderly-and-pregnant-women-sugar-free-biscuit-i2896561994.html</v>
      </c>
      <c r="C4900" s="10" t="s">
        <v>4900</v>
      </c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8">
        <v>9755.0</v>
      </c>
      <c r="B4901" s="9" t="str">
        <f>HYPERLINK("https://www.lazada.vn/products/nuoc-ngot-mirinda-xaxi-chai-1500ml-dam-da-thom-ngon-dung-vi-xaxi-la-nuoc-giai-khac-ho-tro-tot-cho-duong-tieu-hoa-uong-lanh-ngon-tuyet-dinh-han-su-dung-luon-moi-i2456487873.html", "https://www.lazada.vn/products/nuoc-ngot-mirinda-xaxi-chai-1500ml-dam-da-thom-ngon-dung-vi-xaxi-la-nuoc-giai-khac-ho-tro-tot-cho-duong-tieu-hoa-uong-lanh-ngon-tuyet-dinh-han-su-dung-luon-moi-i2456487873.html")</f>
        <v>https://www.lazada.vn/products/nuoc-ngot-mirinda-xaxi-chai-1500ml-dam-da-thom-ngon-dung-vi-xaxi-la-nuoc-giai-khac-ho-tro-tot-cho-duong-tieu-hoa-uong-lanh-ngon-tuyet-dinh-han-su-dung-luon-moi-i2456487873.html</v>
      </c>
      <c r="C4901" s="10" t="s">
        <v>4901</v>
      </c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8">
        <v>9756.0</v>
      </c>
      <c r="B4902" s="9" t="str">
        <f>HYPERLINK("https://www.lazada.vn/products/fiamma-lon-xduong-400g-ca-chua-lot-vo-ngam-nuoc-ep-ca-chua-y-whole-peeled-tomatoes-halal-i3036281418.html", "https://www.lazada.vn/products/fiamma-lon-xduong-400g-ca-chua-lot-vo-ngam-nuoc-ep-ca-chua-y-whole-peeled-tomatoes-halal-i3036281418.html")</f>
        <v>https://www.lazada.vn/products/fiamma-lon-xduong-400g-ca-chua-lot-vo-ngam-nuoc-ep-ca-chua-y-whole-peeled-tomatoes-halal-i3036281418.html</v>
      </c>
      <c r="C4902" s="10" t="s">
        <v>4902</v>
      </c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8">
        <v>9757.0</v>
      </c>
      <c r="B4903" s="9" t="str">
        <f>HYPERLINK("https://www.lazada.vn/products/bia-lager-i1550430099.html", "https://www.lazada.vn/products/bia-lager-i1550430099.html")</f>
        <v>https://www.lazada.vn/products/bia-lager-i1550430099.html</v>
      </c>
      <c r="C4903" s="10" t="s">
        <v>4903</v>
      </c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8">
        <v>9758.0</v>
      </c>
      <c r="B4904" s="9" t="str">
        <f>HYPERLINK("https://www.lazada.vn/products/100g-bot-khoai-mon-dung-de-pha-tra-sua-i2675545012.html", "https://www.lazada.vn/products/100g-bot-khoai-mon-dung-de-pha-tra-sua-i2675545012.html")</f>
        <v>https://www.lazada.vn/products/100g-bot-khoai-mon-dung-de-pha-tra-sua-i2675545012.html</v>
      </c>
      <c r="C4904" s="10" t="s">
        <v>4904</v>
      </c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8">
        <v>9759.0</v>
      </c>
      <c r="B4905" s="9" t="str">
        <f>HYPERLINK("https://www.lazada.vn/products/banh-trang-que-aforex-an-vat-trang-mieng-i2525151655.html", "https://www.lazada.vn/products/banh-trang-que-aforex-an-vat-trang-mieng-i2525151655.html")</f>
        <v>https://www.lazada.vn/products/banh-trang-que-aforex-an-vat-trang-mieng-i2525151655.html</v>
      </c>
      <c r="C4905" s="10" t="s">
        <v>4905</v>
      </c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8">
        <v>9760.0</v>
      </c>
      <c r="B4906" s="9" t="str">
        <f>HYPERLINK("https://www.lazada.vn/products/vang-y-eagle-bald-primitivo-salento-igp-hao-hang-i2645997527.html", "https://www.lazada.vn/products/vang-y-eagle-bald-primitivo-salento-igp-hao-hang-i2645997527.html")</f>
        <v>https://www.lazada.vn/products/vang-y-eagle-bald-primitivo-salento-igp-hao-hang-i2645997527.html</v>
      </c>
      <c r="C4906" s="10" t="s">
        <v>4906</v>
      </c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8">
        <v>9761.0</v>
      </c>
      <c r="B4907" s="9" t="str">
        <f>HYPERLINK("https://www.lazada.vn/products/sake-nhat-ban-koshihikarijunmai-sinjo-muroka-genshu-720ml-i2506262392.html", "https://www.lazada.vn/products/sake-nhat-ban-koshihikarijunmai-sinjo-muroka-genshu-720ml-i2506262392.html")</f>
        <v>https://www.lazada.vn/products/sake-nhat-ban-koshihikarijunmai-sinjo-muroka-genshu-720ml-i2506262392.html</v>
      </c>
      <c r="C4907" s="10" t="s">
        <v>4907</v>
      </c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8">
        <v>9762.0</v>
      </c>
      <c r="B4908" s="9" t="str">
        <f>HYPERLINK("https://www.lazada.vn/products/keo-ngam-thao-duoc-thong-co-ryukakusan-i2736432564.html", "https://www.lazada.vn/products/keo-ngam-thao-duoc-thong-co-ryukakusan-i2736432564.html")</f>
        <v>https://www.lazada.vn/products/keo-ngam-thao-duoc-thong-co-ryukakusan-i2736432564.html</v>
      </c>
      <c r="C4908" s="10" t="s">
        <v>4908</v>
      </c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8">
        <v>9763.0</v>
      </c>
      <c r="B4909" s="9" t="str">
        <f>HYPERLINK("https://www.lazada.vn/products/banh-quy-tron-ritz-i1618905994.html", "https://www.lazada.vn/products/banh-quy-tron-ritz-i1618905994.html")</f>
        <v>https://www.lazada.vn/products/banh-quy-tron-ritz-i1618905994.html</v>
      </c>
      <c r="C4909" s="10" t="s">
        <v>4909</v>
      </c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8">
        <v>9764.0</v>
      </c>
      <c r="B4910" s="9" t="str">
        <f>HYPERLINK("https://www.lazada.vn/products/canh-dinh-duong-i1940271142.html", "https://www.lazada.vn/products/canh-dinh-duong-i1940271142.html")</f>
        <v>https://www.lazada.vn/products/canh-dinh-duong-i1940271142.html</v>
      </c>
      <c r="C4910" s="10" t="s">
        <v>4910</v>
      </c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8">
        <v>9765.0</v>
      </c>
      <c r="B4911" s="9" t="str">
        <f>HYPERLINK("https://www.lazada.vn/products/ruou-sake-nhat-ban-hang-cong-ty-i2480916651.html", "https://www.lazada.vn/products/ruou-sake-nhat-ban-hang-cong-ty-i2480916651.html")</f>
        <v>https://www.lazada.vn/products/ruou-sake-nhat-ban-hang-cong-ty-i2480916651.html</v>
      </c>
      <c r="C4911" s="10" t="s">
        <v>4911</v>
      </c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8">
        <v>9766.0</v>
      </c>
      <c r="B4912" s="9" t="str">
        <f>HYPERLINK("https://www.lazada.vn/products/3-bong-mai-hop-150g-pate-gan-vissan-pork-liver-paste-i3036277550.html", "https://www.lazada.vn/products/3-bong-mai-hop-150g-pate-gan-vissan-pork-liver-paste-i3036277550.html")</f>
        <v>https://www.lazada.vn/products/3-bong-mai-hop-150g-pate-gan-vissan-pork-liver-paste-i3036277550.html</v>
      </c>
      <c r="C4912" s="10" t="s">
        <v>4912</v>
      </c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8">
        <v>9767.0</v>
      </c>
      <c r="B4913" s="9" t="str">
        <f>HYPERLINK("https://www.lazada.vn/products/vang-ngot-do-chile-passion-sweet-11-750ml-i2645175148.html", "https://www.lazada.vn/products/vang-ngot-do-chile-passion-sweet-11-750ml-i2645175148.html")</f>
        <v>https://www.lazada.vn/products/vang-ngot-do-chile-passion-sweet-11-750ml-i2645175148.html</v>
      </c>
      <c r="C4913" s="10" t="s">
        <v>4913</v>
      </c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8">
        <v>9768.0</v>
      </c>
      <c r="B4914" s="9" t="str">
        <f>HYPERLINK("https://www.lazada.vn/products/keo-sap-nhan-trai-cay-thom-ngon-nhieu-vi-bat-mat-i2736278869.html", "https://www.lazada.vn/products/keo-sap-nhan-trai-cay-thom-ngon-nhieu-vi-bat-mat-i2736278869.html")</f>
        <v>https://www.lazada.vn/products/keo-sap-nhan-trai-cay-thom-ngon-nhieu-vi-bat-mat-i2736278869.html</v>
      </c>
      <c r="C4914" s="10" t="s">
        <v>4914</v>
      </c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8">
        <v>9769.0</v>
      </c>
      <c r="B4915" s="9" t="str">
        <f>HYPERLINK("https://www.lazada.vn/products/chinesefoodma-1911fmcgsale-giam-8-don-500k-mien-lanh-chua-cay-trung-khanh-i1738051229.html", "https://www.lazada.vn/products/chinesefoodma-1911fmcgsale-giam-8-don-500k-mien-lanh-chua-cay-trung-khanh-i1738051229.html")</f>
        <v>https://www.lazada.vn/products/chinesefoodma-1911fmcgsale-giam-8-don-500k-mien-lanh-chua-cay-trung-khanh-i1738051229.html</v>
      </c>
      <c r="C4915" s="10" t="s">
        <v>4915</v>
      </c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8">
        <v>9770.0</v>
      </c>
      <c r="B4916" s="9" t="str">
        <f>HYPERLINK("https://www.lazada.vn/products/combo-12-lon-330ml-bia-dai-viet-black-bia-den-bia-lon-san-xuat-theo-luat-bia-tinh-dong-cua-bia-duc-khong-hoa-chat-bia-viet-danh-cho-nguoi-viet-co-gu-i1533311728.html", "https://www.lazada.vn/products/combo-12-lon-330ml-bia-dai-viet-black-bia-den-bia-lon-san-xuat-theo-luat-bia-tinh-dong-cua-bia-duc-khong-hoa-chat-bia-viet-danh-cho-nguoi-viet-co-gu-i1533311728.html")</f>
        <v>https://www.lazada.vn/products/combo-12-lon-330ml-bia-dai-viet-black-bia-den-bia-lon-san-xuat-theo-luat-bia-tinh-dong-cua-bia-duc-khong-hoa-chat-bia-viet-danh-cho-nguoi-viet-co-gu-i1533311728.html</v>
      </c>
      <c r="C4916" s="10" t="s">
        <v>4916</v>
      </c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8">
        <v>9771.0</v>
      </c>
      <c r="B4917" s="9" t="str">
        <f>HYPERLINK("https://www.lazada.vn/products/hang-chuan-thai-lan-thung-24-lon-nuoc-tang-luc-redbull-bo-huc-thai-lon-250ml-i2477474043.html", "https://www.lazada.vn/products/hang-chuan-thai-lan-thung-24-lon-nuoc-tang-luc-redbull-bo-huc-thai-lon-250ml-i2477474043.html")</f>
        <v>https://www.lazada.vn/products/hang-chuan-thai-lan-thung-24-lon-nuoc-tang-luc-redbull-bo-huc-thai-lon-250ml-i2477474043.html</v>
      </c>
      <c r="C4917" s="10" t="s">
        <v>4917</v>
      </c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8">
        <v>9772.0</v>
      </c>
      <c r="B4918" s="9" t="str">
        <f>HYPERLINK("https://www.lazada.vn/products/banh-trang-deo-phoi-suong-banh-trang-thang-long-cuon-hanh-phi-sieu-ngon-1-tui-5-cuon-banh-trang-tay-ninh-i2523750022.html", "https://www.lazada.vn/products/banh-trang-deo-phoi-suong-banh-trang-thang-long-cuon-hanh-phi-sieu-ngon-1-tui-5-cuon-banh-trang-tay-ninh-i2523750022.html")</f>
        <v>https://www.lazada.vn/products/banh-trang-deo-phoi-suong-banh-trang-thang-long-cuon-hanh-phi-sieu-ngon-1-tui-5-cuon-banh-trang-tay-ninh-i2523750022.html</v>
      </c>
      <c r="C4918" s="10" t="s">
        <v>4918</v>
      </c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8">
        <v>9773.0</v>
      </c>
      <c r="B4919" s="9" t="str">
        <f>HYPERLINK("https://www.lazada.vn/products/si-thung-mi-30-goi-3-mien-chua-cay-i2859654463.html", "https://www.lazada.vn/products/si-thung-mi-30-goi-3-mien-chua-cay-i2859654463.html")</f>
        <v>https://www.lazada.vn/products/si-thung-mi-30-goi-3-mien-chua-cay-i2859654463.html</v>
      </c>
      <c r="C4919" s="10" t="s">
        <v>4919</v>
      </c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8">
        <v>9774.0</v>
      </c>
      <c r="B4920" s="9" t="str">
        <f>HYPERLINK("https://www.lazada.vn/products/sale-dam-hop-285g-bot-cacao-nestle-milo-lua-mach-nguyen-chat-date-moi-12-thang-i2116013588.html", "https://www.lazada.vn/products/sale-dam-hop-285g-bot-cacao-nestle-milo-lua-mach-nguyen-chat-date-moi-12-thang-i2116013588.html")</f>
        <v>https://www.lazada.vn/products/sale-dam-hop-285g-bot-cacao-nestle-milo-lua-mach-nguyen-chat-date-moi-12-thang-i2116013588.html</v>
      </c>
      <c r="C4920" s="10" t="s">
        <v>4920</v>
      </c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8">
        <v>9775.0</v>
      </c>
      <c r="B4921" s="9" t="str">
        <f>HYPERLINK("https://www.lazada.vn/products/vodka-nhan-sam-sheriff-star-korea-baby-ginseng-30-565ml-i2744001089.html", "https://www.lazada.vn/products/vodka-nhan-sam-sheriff-star-korea-baby-ginseng-30-565ml-i2744001089.html")</f>
        <v>https://www.lazada.vn/products/vodka-nhan-sam-sheriff-star-korea-baby-ginseng-30-565ml-i2744001089.html</v>
      </c>
      <c r="C4921" s="10" t="s">
        <v>4921</v>
      </c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8">
        <v>9776.0</v>
      </c>
      <c r="B4922" s="9" t="str">
        <f>HYPERLINK("https://www.lazada.vn/products/chao-yen-mach-tam-minh-goi-50g-chao-duong-sinh-chao-cho-be-an-da-i1938159488.html", "https://www.lazada.vn/products/chao-yen-mach-tam-minh-goi-50g-chao-duong-sinh-chao-cho-be-an-da-i1938159488.html")</f>
        <v>https://www.lazada.vn/products/chao-yen-mach-tam-minh-goi-50g-chao-duong-sinh-chao-cho-be-an-da-i1938159488.html</v>
      </c>
      <c r="C4922" s="10" t="s">
        <v>4922</v>
      </c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8">
        <v>9777.0</v>
      </c>
      <c r="B4923" s="9" t="str">
        <f>HYPERLINK("https://www.lazada.vn/products/dr-trung-banh-matcha-dong-trung-hat-dieu-banh-cookie-cao-cap-banh-xop-mem-thom-bui-bot-mi-nguyen-cam-duong-phen-ngot-thanh-nhe-i1618859426.html", "https://www.lazada.vn/products/dr-trung-banh-matcha-dong-trung-hat-dieu-banh-cookie-cao-cap-banh-xop-mem-thom-bui-bot-mi-nguyen-cam-duong-phen-ngot-thanh-nhe-i1618859426.html")</f>
        <v>https://www.lazada.vn/products/dr-trung-banh-matcha-dong-trung-hat-dieu-banh-cookie-cao-cap-banh-xop-mem-thom-bui-bot-mi-nguyen-cam-duong-phen-ngot-thanh-nhe-i1618859426.html</v>
      </c>
      <c r="C4923" s="10" t="s">
        <v>4923</v>
      </c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8">
        <v>9778.0</v>
      </c>
      <c r="B4924" s="9" t="str">
        <f>HYPERLINK("https://www.lazada.vn/products/1-kg-banh-khoai-tay-cong-pho-mai-i2731875613.html", "https://www.lazada.vn/products/1-kg-banh-khoai-tay-cong-pho-mai-i2731875613.html")</f>
        <v>https://www.lazada.vn/products/1-kg-banh-khoai-tay-cong-pho-mai-i2731875613.html</v>
      </c>
      <c r="C4924" s="10" t="s">
        <v>4924</v>
      </c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8">
        <v>9779.0</v>
      </c>
      <c r="B4925" s="9" t="str">
        <f>HYPERLINK("https://www.lazada.vn/products/ruou-mo-vay-vang-kikkoman-500ml-noi-dia-nhat-i2419648260.html", "https://www.lazada.vn/products/ruou-mo-vay-vang-kikkoman-500ml-noi-dia-nhat-i2419648260.html")</f>
        <v>https://www.lazada.vn/products/ruou-mo-vay-vang-kikkoman-500ml-noi-dia-nhat-i2419648260.html</v>
      </c>
      <c r="C4925" s="10" t="s">
        <v>4925</v>
      </c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8">
        <v>9780.0</v>
      </c>
      <c r="B4926" s="9" t="str">
        <f>HYPERLINK("https://www.lazada.vn/products/goi-300g-banh-quy-an-kieng-cracker-yen-mach-vi-tra-xanhvi-oc-chovi-sua-chuavi-me-den-i2894725386.html", "https://www.lazada.vn/products/goi-300g-banh-quy-an-kieng-cracker-yen-mach-vi-tra-xanhvi-oc-chovi-sua-chuavi-me-den-i2894725386.html")</f>
        <v>https://www.lazada.vn/products/goi-300g-banh-quy-an-kieng-cracker-yen-mach-vi-tra-xanhvi-oc-chovi-sua-chuavi-me-den-i2894725386.html</v>
      </c>
      <c r="C4926" s="10" t="s">
        <v>4926</v>
      </c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8">
        <v>9781.0</v>
      </c>
      <c r="B4927" s="9" t="str">
        <f>HYPERLINK("https://www.lazada.vn/products/nuoc-giai-khat-mirinda-xaxi-lon-cao-thung-24x320ml-i2456358508.html", "https://www.lazada.vn/products/nuoc-giai-khat-mirinda-xaxi-lon-cao-thung-24x320ml-i2456358508.html")</f>
        <v>https://www.lazada.vn/products/nuoc-giai-khat-mirinda-xaxi-lon-cao-thung-24x320ml-i2456358508.html</v>
      </c>
      <c r="C4927" s="10" t="s">
        <v>4927</v>
      </c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8">
        <v>9782.0</v>
      </c>
      <c r="B4928" s="9" t="str">
        <f>HYPERLINK("https://www.lazada.vn/products/thung-24-chai-nuoc-trai-cay-th-true-juice-tao-tu-nhien-350-ml-350-ml-x-24-i2783395918.html", "https://www.lazada.vn/products/thung-24-chai-nuoc-trai-cay-th-true-juice-tao-tu-nhien-350-ml-350-ml-x-24-i2783395918.html")</f>
        <v>https://www.lazada.vn/products/thung-24-chai-nuoc-trai-cay-th-true-juice-tao-tu-nhien-350-ml-350-ml-x-24-i2783395918.html</v>
      </c>
      <c r="C4928" s="10" t="s">
        <v>4928</v>
      </c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8">
        <v>9783.0</v>
      </c>
      <c r="B4929" s="9" t="str">
        <f>HYPERLINK("https://www.lazada.vn/products/keo-socola-kinh-do-thap-cam-tui-330g-hop-230g-chocolate-candy-i2921720806.html", "https://www.lazada.vn/products/keo-socola-kinh-do-thap-cam-tui-330g-hop-230g-chocolate-candy-i2921720806.html")</f>
        <v>https://www.lazada.vn/products/keo-socola-kinh-do-thap-cam-tui-330g-hop-230g-chocolate-candy-i2921720806.html</v>
      </c>
      <c r="C4929" s="10" t="s">
        <v>4929</v>
      </c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8">
        <v>9784.0</v>
      </c>
      <c r="B4930" s="9" t="str">
        <f>HYPERLINK("https://www.lazada.vn/products/banh-bao-tao-hinh-nhan-socola-mau-meo-cong-chua-set-12-nho-1-lon-i2646165287.html", "https://www.lazada.vn/products/banh-bao-tao-hinh-nhan-socola-mau-meo-cong-chua-set-12-nho-1-lon-i2646165287.html")</f>
        <v>https://www.lazada.vn/products/banh-bao-tao-hinh-nhan-socola-mau-meo-cong-chua-set-12-nho-1-lon-i2646165287.html</v>
      </c>
      <c r="C4930" s="10" t="s">
        <v>4930</v>
      </c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8">
        <v>9785.0</v>
      </c>
      <c r="B4931" s="9" t="str">
        <f>HYPERLINK("https://www.lazada.vn/products/banh-tam-giac-mix-5-vi-khoai-mon-pho-mai-red-velvet-lua-mach-socola-banh-noi-dia-trung-ngay-in-tren-banh-la-nsx-hsd-180-ngay-ke-tu-ngay-san-xuat-cake-food-thuc-an-i3040117130.html", "https://www.lazada.vn/products/banh-tam-giac-mix-5-vi-khoai-mon-pho-mai-red-velvet-lua-mach-socola-banh-noi-dia-trung-ngay-in-tren-banh-la-nsx-hsd-180-ngay-ke-tu-ngay-san-xuat-cake-food-thuc-an-i3040117130.html")</f>
        <v>https://www.lazada.vn/products/banh-tam-giac-mix-5-vi-khoai-mon-pho-mai-red-velvet-lua-mach-socola-banh-noi-dia-trung-ngay-in-tren-banh-la-nsx-hsd-180-ngay-ke-tu-ngay-san-xuat-cake-food-thuc-an-i3040117130.html</v>
      </c>
      <c r="C4931" s="10" t="s">
        <v>4931</v>
      </c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8">
        <v>9786.0</v>
      </c>
      <c r="B4932" s="9" t="str">
        <f>HYPERLINK("https://www.lazada.vn/products/1-kg-ca-phe-chon-thuong-hang-goi-500g-date-112025-ca-phe-phin-i2932444496.html", "https://www.lazada.vn/products/1-kg-ca-phe-chon-thuong-hang-goi-500g-date-112025-ca-phe-phin-i2932444496.html")</f>
        <v>https://www.lazada.vn/products/1-kg-ca-phe-chon-thuong-hang-goi-500g-date-112025-ca-phe-phin-i2932444496.html</v>
      </c>
      <c r="C4932" s="10" t="s">
        <v>4932</v>
      </c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8">
        <v>9787.0</v>
      </c>
      <c r="B4933" s="9" t="str">
        <f>HYPERLINK("https://www.lazada.vn/products/bia-la-trappe-dubbel-7-nhap-khau-ha-lan-1-thung-24-chai-330ml-i2952634486.html", "https://www.lazada.vn/products/bia-la-trappe-dubbel-7-nhap-khau-ha-lan-1-thung-24-chai-330ml-i2952634486.html")</f>
        <v>https://www.lazada.vn/products/bia-la-trappe-dubbel-7-nhap-khau-ha-lan-1-thung-24-chai-330ml-i2952634486.html</v>
      </c>
      <c r="C4933" s="10" t="s">
        <v>4933</v>
      </c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8">
        <v>9788.0</v>
      </c>
      <c r="B4934" s="9" t="str">
        <f>HYPERLINK("https://www.lazada.vn/products/strawberry-crisp-dried-frozen-snack-non-fried-fruit-dry-snowflake-caramel-sugar-raw-materials-freshly-picked-strawberries-i2923831236.html", "https://www.lazada.vn/products/strawberry-crisp-dried-frozen-snack-non-fried-fruit-dry-snowflake-caramel-sugar-raw-materials-freshly-picked-strawberries-i2923831236.html")</f>
        <v>https://www.lazada.vn/products/strawberry-crisp-dried-frozen-snack-non-fried-fruit-dry-snowflake-caramel-sugar-raw-materials-freshly-picked-strawberries-i2923831236.html</v>
      </c>
      <c r="C4934" s="10" t="s">
        <v>4934</v>
      </c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8">
        <v>9789.0</v>
      </c>
      <c r="B4935" s="9" t="str">
        <f>HYPERLINK("https://www.lazada.vn/products/golden-farm-hu-tt-450g-mut-trai-thom-mut-dua-pineapple-preserves-i3036274381.html", "https://www.lazada.vn/products/golden-farm-hu-tt-450g-mut-trai-thom-mut-dua-pineapple-preserves-i3036274381.html")</f>
        <v>https://www.lazada.vn/products/golden-farm-hu-tt-450g-mut-trai-thom-mut-dua-pineapple-preserves-i3036274381.html</v>
      </c>
      <c r="C4935" s="10" t="s">
        <v>4935</v>
      </c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8">
        <v>9790.0</v>
      </c>
      <c r="B4936" s="9" t="str">
        <f>HYPERLINK("https://www.lazada.vn/products/keo-mut-hinh-unicorn-kokos-dip-n-lik-unicorn-nhap-khau-my-i2736049360.html", "https://www.lazada.vn/products/keo-mut-hinh-unicorn-kokos-dip-n-lik-unicorn-nhap-khau-my-i2736049360.html")</f>
        <v>https://www.lazada.vn/products/keo-mut-hinh-unicorn-kokos-dip-n-lik-unicorn-nhap-khau-my-i2736049360.html</v>
      </c>
      <c r="C4936" s="10" t="s">
        <v>4936</v>
      </c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8">
        <v>9791.0</v>
      </c>
      <c r="B4937" s="9" t="str">
        <f>HYPERLINK("https://www.lazada.vn/products/vang-do-chile-passion-135-750ml-merlot-i2645055643.html", "https://www.lazada.vn/products/vang-do-chile-passion-135-750ml-merlot-i2645055643.html")</f>
        <v>https://www.lazada.vn/products/vang-do-chile-passion-135-750ml-merlot-i2645055643.html</v>
      </c>
      <c r="C4937" s="10" t="s">
        <v>4937</v>
      </c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8">
        <v>9792.0</v>
      </c>
      <c r="B4938" s="9" t="str">
        <f>HYPERLINK("https://www.lazada.vn/products/mango-dried-jelly-30g-snack-sweet-dry-fruit-office-nuts-special-products-dried-fruit-dried-milk-block-mixed-dried-fruit-i2923823290.html", "https://www.lazada.vn/products/mango-dried-jelly-30g-snack-sweet-dry-fruit-office-nuts-special-products-dried-fruit-dried-milk-block-mixed-dried-fruit-i2923823290.html")</f>
        <v>https://www.lazada.vn/products/mango-dried-jelly-30g-snack-sweet-dry-fruit-office-nuts-special-products-dried-fruit-dried-milk-block-mixed-dried-fruit-i2923823290.html</v>
      </c>
      <c r="C4938" s="10" t="s">
        <v>4938</v>
      </c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8">
        <v>9793.0</v>
      </c>
      <c r="B4939" s="9" t="str">
        <f>HYPERLINK("https://www.lazada.vn/products/bia-la-trappe-isidor-75-nhap-khau-ha-lan-1-thung-24-chai-330ml-i2952606317.html", "https://www.lazada.vn/products/bia-la-trappe-isidor-75-nhap-khau-ha-lan-1-thung-24-chai-330ml-i2952606317.html")</f>
        <v>https://www.lazada.vn/products/bia-la-trappe-isidor-75-nhap-khau-ha-lan-1-thung-24-chai-330ml-i2952606317.html</v>
      </c>
      <c r="C4939" s="10" t="s">
        <v>4939</v>
      </c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8">
        <v>9794.0</v>
      </c>
      <c r="B4940" s="9" t="str">
        <f>HYPERLINK("https://www.lazada.vn/products/10-chai-ruou-nep-khoang-35-chai-450ml-i2397193257.html", "https://www.lazada.vn/products/10-chai-ruou-nep-khoang-35-chai-450ml-i2397193257.html")</f>
        <v>https://www.lazada.vn/products/10-chai-ruou-nep-khoang-35-chai-450ml-i2397193257.html</v>
      </c>
      <c r="C4940" s="10" t="s">
        <v>4940</v>
      </c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8">
        <v>9795.0</v>
      </c>
      <c r="B4941" s="9" t="str">
        <f>HYPERLINK("https://www.lazada.vn/products/ca-bong-chay-ca-chay-do-an-chay-chay-ngon-chat-luong-thuc-pham-chay-dung-duoc-ngay-i3036271195.html", "https://www.lazada.vn/products/ca-bong-chay-ca-chay-do-an-chay-chay-ngon-chat-luong-thuc-pham-chay-dung-duoc-ngay-i3036271195.html")</f>
        <v>https://www.lazada.vn/products/ca-bong-chay-ca-chay-do-an-chay-chay-ngon-chat-luong-thuc-pham-chay-dung-duoc-ngay-i3036271195.html</v>
      </c>
      <c r="C4941" s="10" t="s">
        <v>4941</v>
      </c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8">
        <v>9796.0</v>
      </c>
      <c r="B4942" s="9" t="str">
        <f>HYPERLINK("https://www.lazada.vn/products/banh-quy-franzzi-cookie-chocolate-kep-kem-hop-58g-5-chiec-an-vat-co-nuong-beo-i1610041008.html", "https://www.lazada.vn/products/banh-quy-franzzi-cookie-chocolate-kep-kem-hop-58g-5-chiec-an-vat-co-nuong-beo-i1610041008.html")</f>
        <v>https://www.lazada.vn/products/banh-quy-franzzi-cookie-chocolate-kep-kem-hop-58g-5-chiec-an-vat-co-nuong-beo-i1610041008.html</v>
      </c>
      <c r="C4942" s="10" t="s">
        <v>4942</v>
      </c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8">
        <v>9797.0</v>
      </c>
      <c r="B4943" s="9" t="str">
        <f>HYPERLINK("https://www.lazada.vn/products/tui-6-chiec-banh-trung-tuoi-cha-bong-karo-richy-26g-soi-thit-ga-5-chiec-i2645132061.html", "https://www.lazada.vn/products/tui-6-chiec-banh-trung-tuoi-cha-bong-karo-richy-26g-soi-thit-ga-5-chiec-i2645132061.html")</f>
        <v>https://www.lazada.vn/products/tui-6-chiec-banh-trung-tuoi-cha-bong-karo-richy-26g-soi-thit-ga-5-chiec-i2645132061.html</v>
      </c>
      <c r="C4943" s="10" t="s">
        <v>4943</v>
      </c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8">
        <v>9798.0</v>
      </c>
      <c r="B4944" s="9" t="str">
        <f>HYPERLINK("https://www.lazada.vn/products/ca-phe-trang-coffee-tree-penang-white-coffee-malaysia-kopi-putih-vi-truyen-thong-i2915350587.html", "https://www.lazada.vn/products/ca-phe-trang-coffee-tree-penang-white-coffee-malaysia-kopi-putih-vi-truyen-thong-i2915350587.html")</f>
        <v>https://www.lazada.vn/products/ca-phe-trang-coffee-tree-penang-white-coffee-malaysia-kopi-putih-vi-truyen-thong-i2915350587.html</v>
      </c>
      <c r="C4944" s="10" t="s">
        <v>4944</v>
      </c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8">
        <v>9799.0</v>
      </c>
      <c r="B4945" s="9" t="str">
        <f>HYPERLINK("https://www.lazada.vn/products/banh-trang-cuon-tom-hanh-thap-cam-tay-ninh-nhieu-topping-i2523747054.html", "https://www.lazada.vn/products/banh-trang-cuon-tom-hanh-thap-cam-tay-ninh-nhieu-topping-i2523747054.html")</f>
        <v>https://www.lazada.vn/products/banh-trang-cuon-tom-hanh-thap-cam-tay-ninh-nhieu-topping-i2523747054.html</v>
      </c>
      <c r="C4945" s="10" t="s">
        <v>4945</v>
      </c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8">
        <v>9800.0</v>
      </c>
      <c r="B4946" s="9" t="str">
        <f>HYPERLINK("https://www.lazada.vn/products/hcm-hoa-bia-simcoe-i1516275203.html", "https://www.lazada.vn/products/hcm-hoa-bia-simcoe-i1516275203.html")</f>
        <v>https://www.lazada.vn/products/hcm-hoa-bia-simcoe-i1516275203.html</v>
      </c>
      <c r="C4946" s="10" t="s">
        <v>4946</v>
      </c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8">
        <v>9801.0</v>
      </c>
      <c r="B4947" s="9" t="str">
        <f>HYPERLINK("https://www.lazada.vn/products/keo-socola-trai-tim-decor-gio-qua-tet-socola-nhan-sua-hanh-nhan-hop-84g-8-vien-i2921332994.html", "https://www.lazada.vn/products/keo-socola-trai-tim-decor-gio-qua-tet-socola-nhan-sua-hanh-nhan-hop-84g-8-vien-i2921332994.html")</f>
        <v>https://www.lazada.vn/products/keo-socola-trai-tim-decor-gio-qua-tet-socola-nhan-sua-hanh-nhan-hop-84g-8-vien-i2921332994.html</v>
      </c>
      <c r="C4947" s="10" t="s">
        <v>4947</v>
      </c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8">
        <v>9802.0</v>
      </c>
      <c r="B4948" s="9" t="str">
        <f>HYPERLINK("https://www.lazada.vn/products/thung-30-goi-pho-cung-dinh-vi-boga-68ggoi-i2858505215.html", "https://www.lazada.vn/products/thung-30-goi-pho-cung-dinh-vi-boga-68ggoi-i2858505215.html")</f>
        <v>https://www.lazada.vn/products/thung-30-goi-pho-cung-dinh-vi-boga-68ggoi-i2858505215.html</v>
      </c>
      <c r="C4948" s="10" t="s">
        <v>4948</v>
      </c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8">
        <v>9803.0</v>
      </c>
      <c r="B4949" s="9" t="str">
        <f>HYPERLINK("https://www.lazada.vn/products/checksau-500ec-400ml-i2475844436.html", "https://www.lazada.vn/products/checksau-500ec-400ml-i2475844436.html")</f>
        <v>https://www.lazada.vn/products/checksau-500ec-400ml-i2475844436.html</v>
      </c>
      <c r="C4949" s="10" t="s">
        <v>4949</v>
      </c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8">
        <v>9804.0</v>
      </c>
      <c r="B4950" s="9" t="str">
        <f>HYPERLINK("https://www.lazada.vn/products/bot-cacao-nguyen-chat-ka-cacao-khong-duong-huong-vi-socola-tu-nhien-dam-da-khong-huong-lieu-phu-gia-i2114635916.html", "https://www.lazada.vn/products/bot-cacao-nguyen-chat-ka-cacao-khong-duong-huong-vi-socola-tu-nhien-dam-da-khong-huong-lieu-phu-gia-i2114635916.html")</f>
        <v>https://www.lazada.vn/products/bot-cacao-nguyen-chat-ka-cacao-khong-duong-huong-vi-socola-tu-nhien-dam-da-khong-huong-lieu-phu-gia-i2114635916.html</v>
      </c>
      <c r="C4950" s="10" t="s">
        <v>4950</v>
      </c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8">
        <v>9805.0</v>
      </c>
      <c r="B4951" s="9" t="str">
        <f>HYPERLINK("https://www.lazada.vn/products/vodka-sheriff-star-platinum-30-565ml-i2743868294.html", "https://www.lazada.vn/products/vodka-sheriff-star-platinum-30-565ml-i2743868294.html")</f>
        <v>https://www.lazada.vn/products/vodka-sheriff-star-platinum-30-565ml-i2743868294.html</v>
      </c>
      <c r="C4951" s="10" t="s">
        <v>4951</v>
      </c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8">
        <v>9806.0</v>
      </c>
      <c r="B4952" s="9" t="str">
        <f>HYPERLINK("https://www.lazada.vn/products/thung-28lon-nuoc-ngot-siting-huong-dau-320ml-han-su-dung-luon-moi-i2452898094.html", "https://www.lazada.vn/products/thung-28lon-nuoc-ngot-siting-huong-dau-320ml-han-su-dung-luon-moi-i2452898094.html")</f>
        <v>https://www.lazada.vn/products/thung-28lon-nuoc-ngot-siting-huong-dau-320ml-han-su-dung-luon-moi-i2452898094.html</v>
      </c>
      <c r="C4952" s="10" t="s">
        <v>4952</v>
      </c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8">
        <v>9807.0</v>
      </c>
      <c r="B4953" s="9" t="str">
        <f>HYPERLINK("https://www.lazada.vn/products/thuc-an-hat-zoi-cat-cho-meo-1kg-i2730175412.html", "https://www.lazada.vn/products/thuc-an-hat-zoi-cat-cho-meo-1kg-i2730175412.html")</f>
        <v>https://www.lazada.vn/products/thuc-an-hat-zoi-cat-cho-meo-1kg-i2730175412.html</v>
      </c>
      <c r="C4953" s="10" t="s">
        <v>4953</v>
      </c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8">
        <v>9808.0</v>
      </c>
      <c r="B4954" s="9" t="str">
        <f>HYPERLINK("https://www.lazada.vn/products/sinh-to-osterberg-du-mui-chai-1l-i2773985852.html", "https://www.lazada.vn/products/sinh-to-osterberg-du-mui-chai-1l-i2773985852.html")</f>
        <v>https://www.lazada.vn/products/sinh-to-osterberg-du-mui-chai-1l-i2773985852.html</v>
      </c>
      <c r="C4954" s="10" t="s">
        <v>4954</v>
      </c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8">
        <v>9809.0</v>
      </c>
      <c r="B4955" s="9" t="str">
        <f>HYPERLINK("https://www.lazada.vn/products/banh-gao-nuong-oishi-vi-dua-say-gion-i2894651287.html", "https://www.lazada.vn/products/banh-gao-nuong-oishi-vi-dua-say-gion-i2894651287.html")</f>
        <v>https://www.lazada.vn/products/banh-gao-nuong-oishi-vi-dua-say-gion-i2894651287.html</v>
      </c>
      <c r="C4955" s="10" t="s">
        <v>4955</v>
      </c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8">
        <v>9810.0</v>
      </c>
      <c r="B4956" s="9" t="str">
        <f>HYPERLINK("https://www.lazada.vn/products/chinesefoodma-1911fmcgsale-giam-8-don-500k-sieu-pham-xuc-xich-sun-ga-day-4-cai-re-hat-shoee-i1738040330.html", "https://www.lazada.vn/products/chinesefoodma-1911fmcgsale-giam-8-don-500k-sieu-pham-xuc-xich-sun-ga-day-4-cai-re-hat-shoee-i1738040330.html")</f>
        <v>https://www.lazada.vn/products/chinesefoodma-1911fmcgsale-giam-8-don-500k-sieu-pham-xuc-xich-sun-ga-day-4-cai-re-hat-shoee-i1738040330.html</v>
      </c>
      <c r="C4956" s="10" t="s">
        <v>4956</v>
      </c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8">
        <v>9811.0</v>
      </c>
      <c r="B4957" s="9" t="str">
        <f>HYPERLINK("https://www.lazada.vn/products/banh-quy-bo-danisa-hop-908g-i1608342331.html", "https://www.lazada.vn/products/banh-quy-bo-danisa-hop-908g-i1608342331.html")</f>
        <v>https://www.lazada.vn/products/banh-quy-bo-danisa-hop-908g-i1608342331.html</v>
      </c>
      <c r="C4957" s="10" t="s">
        <v>4957</v>
      </c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8">
        <v>9812.0</v>
      </c>
      <c r="B4958" s="9" t="str">
        <f>HYPERLINK("https://www.lazada.vn/products/vang-do-chile-passion-135-750ml-cabernet-sauvignon-i2645042583.html", "https://www.lazada.vn/products/vang-do-chile-passion-135-750ml-cabernet-sauvignon-i2645042583.html")</f>
        <v>https://www.lazada.vn/products/vang-do-chile-passion-135-750ml-cabernet-sauvignon-i2645042583.html</v>
      </c>
      <c r="C4958" s="10" t="s">
        <v>4958</v>
      </c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8">
        <v>9813.0</v>
      </c>
      <c r="B4959" s="9" t="str">
        <f>HYPERLINK("https://www.lazada.vn/products/1kg2-tui-keo-chuoi-khom-dau-phong-do-an-vat-ben-tre-food-i2733753309.html", "https://www.lazada.vn/products/1kg2-tui-keo-chuoi-khom-dau-phong-do-an-vat-ben-tre-food-i2733753309.html")</f>
        <v>https://www.lazada.vn/products/1kg2-tui-keo-chuoi-khom-dau-phong-do-an-vat-ben-tre-food-i2733753309.html</v>
      </c>
      <c r="C4959" s="10" t="s">
        <v>4959</v>
      </c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8">
        <v>9814.0</v>
      </c>
      <c r="B4960" s="9" t="str">
        <f>HYPERLINK("https://www.lazada.vn/products/bia-la-trappe-witte-trappist-nhap-khau-ha-lan-1-chai-330ml-i1477401009.html", "https://www.lazada.vn/products/bia-la-trappe-witte-trappist-nhap-khau-ha-lan-1-chai-330ml-i1477401009.html")</f>
        <v>https://www.lazada.vn/products/bia-la-trappe-witte-trappist-nhap-khau-ha-lan-1-chai-330ml-i1477401009.html</v>
      </c>
      <c r="C4960" s="10" t="s">
        <v>4960</v>
      </c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8">
        <v>9815.0</v>
      </c>
      <c r="B4961" s="9" t="str">
        <f>HYPERLINK("https://www.lazada.vn/products/combo-10-goi-bimbim-tam-que-cay-do-va-den-i2523707184.html", "https://www.lazada.vn/products/combo-10-goi-bimbim-tam-que-cay-do-va-den-i2523707184.html")</f>
        <v>https://www.lazada.vn/products/combo-10-goi-bimbim-tam-que-cay-do-va-den-i2523707184.html</v>
      </c>
      <c r="C4961" s="10" t="s">
        <v>4961</v>
      </c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8">
        <v>9816.0</v>
      </c>
      <c r="B4962" s="9" t="str">
        <f>HYPERLINK("https://www.lazada.vn/products/bia-la-trappe-isidor-75-nhap-khau-ha-lan-1-thung-24-chai-330ml-i2952583604.html", "https://www.lazada.vn/products/bia-la-trappe-isidor-75-nhap-khau-ha-lan-1-thung-24-chai-330ml-i2952583604.html")</f>
        <v>https://www.lazada.vn/products/bia-la-trappe-isidor-75-nhap-khau-ha-lan-1-thung-24-chai-330ml-i2952583604.html</v>
      </c>
      <c r="C4962" s="10" t="s">
        <v>4962</v>
      </c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8">
        <v>9817.0</v>
      </c>
      <c r="B4963" s="9" t="str">
        <f>HYPERLINK("https://www.lazada.vn/products/my-tom-tron-spaghety-kool-cung-dinh-thung-30-goi-x-105g-i1455912722.html", "https://www.lazada.vn/products/my-tom-tron-spaghety-kool-cung-dinh-thung-30-goi-x-105g-i1455912722.html")</f>
        <v>https://www.lazada.vn/products/my-tom-tron-spaghety-kool-cung-dinh-thung-30-goi-x-105g-i1455912722.html</v>
      </c>
      <c r="C4963" s="10" t="s">
        <v>4963</v>
      </c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8">
        <v>9818.0</v>
      </c>
      <c r="B4964" s="9" t="str">
        <f>HYPERLINK("https://www.lazada.vn/products/6-chai-ruou-nep-trang-khoang-35-chai-450ml-i2397144397.html", "https://www.lazada.vn/products/6-chai-ruou-nep-trang-khoang-35-chai-450ml-i2397144397.html")</f>
        <v>https://www.lazada.vn/products/6-chai-ruou-nep-trang-khoang-35-chai-450ml-i2397144397.html</v>
      </c>
      <c r="C4964" s="10" t="s">
        <v>4964</v>
      </c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8">
        <v>9819.0</v>
      </c>
      <c r="B4965" s="9" t="str">
        <f>HYPERLINK("https://www.lazada.vn/products/dragon-fruit-dried-red-heart-baking-decor-breakfast-oats-partner-meal-replacement-fruit-and-vegetable-fragments-commercial-snack-i2923601808.html", "https://www.lazada.vn/products/dragon-fruit-dried-red-heart-baking-decor-breakfast-oats-partner-meal-replacement-fruit-and-vegetable-fragments-commercial-snack-i2923601808.html")</f>
        <v>https://www.lazada.vn/products/dragon-fruit-dried-red-heart-baking-decor-breakfast-oats-partner-meal-replacement-fruit-and-vegetable-fragments-commercial-snack-i2923601808.html</v>
      </c>
      <c r="C4965" s="10" t="s">
        <v>4965</v>
      </c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8">
        <v>9820.0</v>
      </c>
      <c r="B4966" s="9" t="str">
        <f>HYPERLINK("https://www.lazada.vn/products/ong-cha-va-hop-xanh-200g-thit-nguoi-dau-nanh-chay-vi-nguyen-ban-plant-based-soybean-luncheon-vegan-meat-i3036269348.html", "https://www.lazada.vn/products/ong-cha-va-hop-xanh-200g-thit-nguoi-dau-nanh-chay-vi-nguyen-ban-plant-based-soybean-luncheon-vegan-meat-i3036269348.html")</f>
        <v>https://www.lazada.vn/products/ong-cha-va-hop-xanh-200g-thit-nguoi-dau-nanh-chay-vi-nguyen-ban-plant-based-soybean-luncheon-vegan-meat-i3036269348.html</v>
      </c>
      <c r="C4966" s="10" t="s">
        <v>4966</v>
      </c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8">
        <v>9821.0</v>
      </c>
      <c r="B4967" s="9" t="str">
        <f>HYPERLINK("https://www.lazada.vn/products/mua-3-tang-1-ca-phe-sua-hoa-tan-k-delight-3in1-612g-17g-x-36-goi-thuong-hieu-k-coffee-i2825791210.html", "https://www.lazada.vn/products/mua-3-tang-1-ca-phe-sua-hoa-tan-k-delight-3in1-612g-17g-x-36-goi-thuong-hieu-k-coffee-i2825791210.html")</f>
        <v>https://www.lazada.vn/products/mua-3-tang-1-ca-phe-sua-hoa-tan-k-delight-3in1-612g-17g-x-36-goi-thuong-hieu-k-coffee-i2825791210.html</v>
      </c>
      <c r="C4967" s="10" t="s">
        <v>4967</v>
      </c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8">
        <v>9822.0</v>
      </c>
      <c r="B4968" s="9" t="str">
        <f>HYPERLINK("https://www.lazada.vn/products/tong-hop-keo-socola-kisses-hersheys-cac-loai-size-300g-hang-my-i2920780353.html", "https://www.lazada.vn/products/tong-hop-keo-socola-kisses-hersheys-cac-loai-size-300g-hang-my-i2920780353.html")</f>
        <v>https://www.lazada.vn/products/tong-hop-keo-socola-kisses-hersheys-cac-loai-size-300g-hang-my-i2920780353.html</v>
      </c>
      <c r="C4968" s="10" t="s">
        <v>4968</v>
      </c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8">
        <v>9823.0</v>
      </c>
      <c r="B4969" s="9" t="str">
        <f>HYPERLINK("https://www.lazada.vn/products/mau-moicacao-tang-can-choco-himiko-hop-20-goi-i2113156427.html", "https://www.lazada.vn/products/mau-moicacao-tang-can-choco-himiko-hop-20-goi-i2113156427.html")</f>
        <v>https://www.lazada.vn/products/mau-moicacao-tang-can-choco-himiko-hop-20-goi-i2113156427.html</v>
      </c>
      <c r="C4969" s="10" t="s">
        <v>4969</v>
      </c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8">
        <v>9824.0</v>
      </c>
      <c r="B4970" s="9" t="str">
        <f>HYPERLINK("https://www.lazada.vn/products/combo-20-chan-ga-te-cay-an-cung-ba-tuyet-i2857483672.html", "https://www.lazada.vn/products/combo-20-chan-ga-te-cay-an-cung-ba-tuyet-i2857483672.html")</f>
        <v>https://www.lazada.vn/products/combo-20-chan-ga-te-cay-an-cung-ba-tuyet-i2857483672.html</v>
      </c>
      <c r="C4970" s="10" t="s">
        <v>4970</v>
      </c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8">
        <v>9825.0</v>
      </c>
      <c r="B4971" s="9" t="str">
        <f>HYPERLINK("https://www.lazada.vn/products/banh-dua-nuong-bao-linh-dac-san-truyen-thong-quang-nam-thom-ngon-gion-beo-it-ngot-hop-250g-i2894590437.html", "https://www.lazada.vn/products/banh-dua-nuong-bao-linh-dac-san-truyen-thong-quang-nam-thom-ngon-gion-beo-it-ngot-hop-250g-i2894590437.html")</f>
        <v>https://www.lazada.vn/products/banh-dua-nuong-bao-linh-dac-san-truyen-thong-quang-nam-thom-ngon-gion-beo-it-ngot-hop-250g-i2894590437.html</v>
      </c>
      <c r="C4971" s="10" t="s">
        <v>4971</v>
      </c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8">
        <v>9826.0</v>
      </c>
      <c r="B4972" s="9" t="str">
        <f>HYPERLINK("https://www.lazada.vn/products/loc-6lon-nuoc-ngot-7up-soda-chanh-390ml-han-su-dung-luon-moi-i2452687402.html", "https://www.lazada.vn/products/loc-6lon-nuoc-ngot-7up-soda-chanh-390ml-han-su-dung-luon-moi-i2452687402.html")</f>
        <v>https://www.lazada.vn/products/loc-6lon-nuoc-ngot-7up-soda-chanh-390ml-han-su-dung-luon-moi-i2452687402.html</v>
      </c>
      <c r="C4972" s="10" t="s">
        <v>4972</v>
      </c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8">
        <v>9827.0</v>
      </c>
      <c r="B4973" s="9" t="str">
        <f>HYPERLINK("https://www.lazada.vn/products/vodka-sheriff-star-30-565ml-i2743842314.html", "https://www.lazada.vn/products/vodka-sheriff-star-30-565ml-i2743842314.html")</f>
        <v>https://www.lazada.vn/products/vodka-sheriff-star-30-565ml-i2743842314.html</v>
      </c>
      <c r="C4973" s="10" t="s">
        <v>4973</v>
      </c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8">
        <v>9828.0</v>
      </c>
      <c r="B4974" s="9" t="str">
        <f>HYPERLINK("https://www.lazada.vn/products/thung-24-goi-mi-snack-enaak-huong-ga-30g-i2728180065.html", "https://www.lazada.vn/products/thung-24-goi-mi-snack-enaak-huong-ga-30g-i2728180065.html")</f>
        <v>https://www.lazada.vn/products/thung-24-goi-mi-snack-enaak-huong-ga-30g-i2728180065.html</v>
      </c>
      <c r="C4974" s="10" t="s">
        <v>4974</v>
      </c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8">
        <v>9829.0</v>
      </c>
      <c r="B4975" s="9" t="str">
        <f>HYPERLINK("https://www.lazada.vn/products/chinesefoodchan-ga-cay-tu-xuyen-loai-dac-biet-thom-ngon-35g-i1738036321.html", "https://www.lazada.vn/products/chinesefoodchan-ga-cay-tu-xuyen-loai-dac-biet-thom-ngon-35g-i1738036321.html")</f>
        <v>https://www.lazada.vn/products/chinesefoodchan-ga-cay-tu-xuyen-loai-dac-biet-thom-ngon-35g-i1738036321.html</v>
      </c>
      <c r="C4975" s="10" t="s">
        <v>4975</v>
      </c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8">
        <v>9830.0</v>
      </c>
      <c r="B4976" s="9" t="str">
        <f>HYPERLINK("https://www.lazada.vn/products/1-loc-6-chai-c2-huong-chanhtao-355ml-shop_japangood-i2772632214.html", "https://www.lazada.vn/products/1-loc-6-chai-c2-huong-chanhtao-355ml-shop_japangood-i2772632214.html")</f>
        <v>https://www.lazada.vn/products/1-loc-6-chai-c2-huong-chanhtao-355ml-shop_japangood-i2772632214.html</v>
      </c>
      <c r="C4976" s="10" t="s">
        <v>4976</v>
      </c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8">
        <v>9831.0</v>
      </c>
      <c r="B4977" s="9" t="str">
        <f>HYPERLINK("https://www.lazada.vn/products/banh-que-pocky-i1608277631.html", "https://www.lazada.vn/products/banh-que-pocky-i1608277631.html")</f>
        <v>https://www.lazada.vn/products/banh-que-pocky-i1608277631.html</v>
      </c>
      <c r="C4977" s="10" t="s">
        <v>4977</v>
      </c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8">
        <v>9832.0</v>
      </c>
      <c r="B4978" s="9" t="str">
        <f>HYPERLINK("https://www.lazada.vn/products/vang-do-chile-viesta-12-750ml-i2645038665.html", "https://www.lazada.vn/products/vang-do-chile-viesta-12-750ml-i2645038665.html")</f>
        <v>https://www.lazada.vn/products/vang-do-chile-viesta-12-750ml-i2645038665.html</v>
      </c>
      <c r="C4978" s="10" t="s">
        <v>4978</v>
      </c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8">
        <v>9833.0</v>
      </c>
      <c r="B4979" s="9" t="str">
        <f>HYPERLINK("https://www.lazada.vn/products/combo-1kg-keo-chuoi-khom-sieu-dau-ben-tre-keodo-an-vat-i2733230237.html", "https://www.lazada.vn/products/combo-1kg-keo-chuoi-khom-sieu-dau-ben-tre-keodo-an-vat-i2733230237.html")</f>
        <v>https://www.lazada.vn/products/combo-1kg-keo-chuoi-khom-sieu-dau-ben-tre-keodo-an-vat-i2733230237.html</v>
      </c>
      <c r="C4979" s="10" t="s">
        <v>4979</v>
      </c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8">
        <v>9834.0</v>
      </c>
      <c r="B4980" s="9" t="str">
        <f>HYPERLINK("https://www.lazada.vn/products/loc-6-lon-nuoc-tang-luc-redbull-bo-huc-viet-lon-250ml-i2472501164.html", "https://www.lazada.vn/products/loc-6-lon-nuoc-tang-luc-redbull-bo-huc-viet-lon-250ml-i2472501164.html")</f>
        <v>https://www.lazada.vn/products/loc-6-lon-nuoc-tang-luc-redbull-bo-huc-viet-lon-250ml-i2472501164.html</v>
      </c>
      <c r="C4980" s="10" t="s">
        <v>4980</v>
      </c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8">
        <v>9835.0</v>
      </c>
      <c r="B4981" s="9" t="str">
        <f>HYPERLINK("https://www.lazada.vn/products/combo-5-banh-ruoc-que-like-banh-bong-lan-cha-bong-b104-i2643388070.html", "https://www.lazada.vn/products/combo-5-banh-ruoc-que-like-banh-bong-lan-cha-bong-b104-i2643388070.html")</f>
        <v>https://www.lazada.vn/products/combo-5-banh-ruoc-que-like-banh-bong-lan-cha-bong-b104-i2643388070.html</v>
      </c>
      <c r="C4981" s="10" t="s">
        <v>4981</v>
      </c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8">
        <v>9836.0</v>
      </c>
      <c r="B4982" s="9" t="str">
        <f>HYPERLINK("https://www.lazada.vn/products/banh-trang-deo-gung-tay-ninh-400g-do-an-vat-i2519190089.html", "https://www.lazada.vn/products/banh-trang-deo-gung-tay-ninh-400g-do-an-vat-i2519190089.html")</f>
        <v>https://www.lazada.vn/products/banh-trang-deo-gung-tay-ninh-400g-do-an-vat-i2519190089.html</v>
      </c>
      <c r="C4982" s="10" t="s">
        <v>4982</v>
      </c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8">
        <v>9837.0</v>
      </c>
      <c r="B4983" s="9" t="str">
        <f>HYPERLINK("https://www.lazada.vn/products/keo-deo-hinh-banh-cup-cake-playmore-48g-i2733112274.html", "https://www.lazada.vn/products/keo-deo-hinh-banh-cup-cake-playmore-48g-i2733112274.html")</f>
        <v>https://www.lazada.vn/products/keo-deo-hinh-banh-cup-cake-playmore-48g-i2733112274.html</v>
      </c>
      <c r="C4983" s="10" t="s">
        <v>4983</v>
      </c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8">
        <v>9838.0</v>
      </c>
      <c r="B4984" s="9" t="str">
        <f>HYPERLINK("https://www.lazada.vn/products/socola-tuoi-nama-thom-ngon-hao-hang-hop-408g-an-vat-denfood-i2920609187.html", "https://www.lazada.vn/products/socola-tuoi-nama-thom-ngon-hao-hang-hop-408g-an-vat-denfood-i2920609187.html")</f>
        <v>https://www.lazada.vn/products/socola-tuoi-nama-thom-ngon-hao-hang-hop-408g-an-vat-denfood-i2920609187.html</v>
      </c>
      <c r="C4984" s="10" t="s">
        <v>4984</v>
      </c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8">
        <v>9839.0</v>
      </c>
      <c r="B4985" s="9" t="str">
        <f>HYPERLINK("https://www.lazada.vn/products/bia-la-trappe-trappist-tripel-nhap-khau-ha-lan-1-chai-330ml-i1477372189.html", "https://www.lazada.vn/products/bia-la-trappe-trappist-tripel-nhap-khau-ha-lan-1-chai-330ml-i1477372189.html")</f>
        <v>https://www.lazada.vn/products/bia-la-trappe-trappist-tripel-nhap-khau-ha-lan-1-chai-330ml-i1477372189.html</v>
      </c>
      <c r="C4985" s="10" t="s">
        <v>4985</v>
      </c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8">
        <v>9840.0</v>
      </c>
      <c r="B4986" s="9" t="str">
        <f>HYPERLINK("https://www.lazada.vn/products/banh-mi-dia-ngan-lop-bo-pho-mai-ong-gia-b106-chuyen-si-tpnk-i2643326989.html", "https://www.lazada.vn/products/banh-mi-dia-ngan-lop-bo-pho-mai-ong-gia-b106-chuyen-si-tpnk-i2643326989.html")</f>
        <v>https://www.lazada.vn/products/banh-mi-dia-ngan-lop-bo-pho-mai-ong-gia-b106-chuyen-si-tpnk-i2643326989.html</v>
      </c>
      <c r="C4986" s="10" t="s">
        <v>4986</v>
      </c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8">
        <v>9841.0</v>
      </c>
      <c r="B4987" s="9" t="str">
        <f>HYPERLINK("https://www.lazada.vn/products/vang-chile-passion-750ml-i2645009734.html", "https://www.lazada.vn/products/vang-chile-passion-750ml-i2645009734.html")</f>
        <v>https://www.lazada.vn/products/vang-chile-passion-750ml-i2645009734.html</v>
      </c>
      <c r="C4987" s="10" t="s">
        <v>4987</v>
      </c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8">
        <v>9842.0</v>
      </c>
      <c r="B4988" s="9" t="str">
        <f>HYPERLINK("https://www.lazada.vn/products/4-chai-ruou-nep-khoang-35-chai-450ml-i2397064399.html", "https://www.lazada.vn/products/4-chai-ruou-nep-khoang-35-chai-450ml-i2397064399.html")</f>
        <v>https://www.lazada.vn/products/4-chai-ruou-nep-khoang-35-chai-450ml-i2397064399.html</v>
      </c>
      <c r="C4988" s="10" t="s">
        <v>4988</v>
      </c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8">
        <v>9843.0</v>
      </c>
      <c r="B4989" s="9" t="str">
        <f>HYPERLINK("https://www.lazada.vn/products/banh-cay-lang-nguyen-dac-san-thai-binh-thom-ngon-chia-goi-de-dung-hop-400g-i2862143115.html", "https://www.lazada.vn/products/banh-cay-lang-nguyen-dac-san-thai-binh-thom-ngon-chia-goi-de-dung-hop-400g-i2862143115.html")</f>
        <v>https://www.lazada.vn/products/banh-cay-lang-nguyen-dac-san-thai-binh-thom-ngon-chia-goi-de-dung-hop-400g-i2862143115.html</v>
      </c>
      <c r="C4989" s="10" t="s">
        <v>4989</v>
      </c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8">
        <v>9844.0</v>
      </c>
      <c r="B4990" s="9" t="str">
        <f>HYPERLINK("https://www.lazada.vn/products/banh-trang-cuon-hanh-phi-cuon-chay-chinh-goc-tay-ninh-i2519061941.html", "https://www.lazada.vn/products/banh-trang-cuon-hanh-phi-cuon-chay-chinh-goc-tay-ninh-i2519061941.html")</f>
        <v>https://www.lazada.vn/products/banh-trang-cuon-hanh-phi-cuon-chay-chinh-goc-tay-ninh-i2519061941.html</v>
      </c>
      <c r="C4990" s="10" t="s">
        <v>4990</v>
      </c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8">
        <v>9845.0</v>
      </c>
      <c r="B4991" s="9" t="str">
        <f>HYPERLINK("https://www.lazada.vn/products/keo-xo-huong-tra-chanh-110g-shop-thu-quan-i2732669333.html", "https://www.lazada.vn/products/keo-xo-huong-tra-chanh-110g-shop-thu-quan-i2732669333.html")</f>
        <v>https://www.lazada.vn/products/keo-xo-huong-tra-chanh-110g-shop-thu-quan-i2732669333.html</v>
      </c>
      <c r="C4991" s="10" t="s">
        <v>4991</v>
      </c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8">
        <v>9846.0</v>
      </c>
      <c r="B4992" s="9" t="str">
        <f>HYPERLINK("https://www.lazada.vn/products/ca-phe-trung-nguyen-i-goi-500g-i2792373269.html", "https://www.lazada.vn/products/ca-phe-trung-nguyen-i-goi-500g-i2792373269.html")</f>
        <v>https://www.lazada.vn/products/ca-phe-trung-nguyen-i-goi-500g-i2792373269.html</v>
      </c>
      <c r="C4992" s="10" t="s">
        <v>4992</v>
      </c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8">
        <v>9847.0</v>
      </c>
      <c r="B4993" s="9" t="str">
        <f>HYPERLINK("https://www.lazada.vn/products/socola-qua-tet-2025-gio-qua-dep-y-nghia-keo-so-co-la-den-barrfula-i2920309833.html", "https://www.lazada.vn/products/socola-qua-tet-2025-gio-qua-dep-y-nghia-keo-so-co-la-den-barrfula-i2920309833.html")</f>
        <v>https://www.lazada.vn/products/socola-qua-tet-2025-gio-qua-dep-y-nghia-keo-so-co-la-den-barrfula-i2920309833.html</v>
      </c>
      <c r="C4993" s="10" t="s">
        <v>4993</v>
      </c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8">
        <v>9848.0</v>
      </c>
      <c r="B4994" s="9" t="str">
        <f>HYPERLINK("https://www.lazada.vn/products/thung-banh-mix-du-vi-nhieu-trong-luong-cho-khach-lua-chon-500g-1kg-2kg-dac-biet-la-khong-can-thung-nha-khach-iu-shop-tu-mix-shop-haimy-i2643316698.html", "https://www.lazada.vn/products/thung-banh-mix-du-vi-nhieu-trong-luong-cho-khach-lua-chon-500g-1kg-2kg-dac-biet-la-khong-can-thung-nha-khach-iu-shop-tu-mix-shop-haimy-i2643316698.html")</f>
        <v>https://www.lazada.vn/products/thung-banh-mix-du-vi-nhieu-trong-luong-cho-khach-lua-chon-500g-1kg-2kg-dac-biet-la-khong-can-thung-nha-khach-iu-shop-tu-mix-shop-haimy-i2643316698.html</v>
      </c>
      <c r="C4994" s="10" t="s">
        <v>4994</v>
      </c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8">
        <v>9849.0</v>
      </c>
      <c r="B4995" s="9" t="str">
        <f>HYPERLINK("https://www.lazada.vn/products/bia-la-trappe-trappist-quadrupel-nhap-khau-ha-lan-1-chai-330ml-i1477319484.html", "https://www.lazada.vn/products/bia-la-trappe-trappist-quadrupel-nhap-khau-ha-lan-1-chai-330ml-i1477319484.html")</f>
        <v>https://www.lazada.vn/products/bia-la-trappe-trappist-quadrupel-nhap-khau-ha-lan-1-chai-330ml-i1477319484.html</v>
      </c>
      <c r="C4995" s="10" t="s">
        <v>4995</v>
      </c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8">
        <v>9850.0</v>
      </c>
      <c r="B4996" s="9" t="str">
        <f>HYPERLINK("https://www.lazada.vn/products/ruou-sake-nhat-hokushika-hanaakita-i2392706010.html", "https://www.lazada.vn/products/ruou-sake-nhat-hokushika-hanaakita-i2392706010.html")</f>
        <v>https://www.lazada.vn/products/ruou-sake-nhat-hokushika-hanaakita-i2392706010.html</v>
      </c>
      <c r="C4996" s="10" t="s">
        <v>4996</v>
      </c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8">
        <v>9851.0</v>
      </c>
      <c r="B4997" s="9" t="str">
        <f>HYPERLINK("https://www.lazada.vn/products/vang-da-lat-do-memory-145-750ml-i2644997447.html", "https://www.lazada.vn/products/vang-da-lat-do-memory-145-750ml-i2644997447.html")</f>
        <v>https://www.lazada.vn/products/vang-da-lat-do-memory-145-750ml-i2644997447.html</v>
      </c>
      <c r="C4997" s="10" t="s">
        <v>4997</v>
      </c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8">
        <v>9852.0</v>
      </c>
      <c r="B4998" s="9" t="str">
        <f>HYPERLINK("https://www.lazada.vn/products/banh-duong-thom-ngon-beo-ngay-banh-con-sau-sua-con-duong-dua-sua-thom-beo-do-an-vat-i2519016385.html", "https://www.lazada.vn/products/banh-duong-thom-ngon-beo-ngay-banh-con-sau-sua-con-duong-dua-sua-thom-beo-do-an-vat-i2519016385.html")</f>
        <v>https://www.lazada.vn/products/banh-duong-thom-ngon-beo-ngay-banh-con-sau-sua-con-duong-dua-sua-thom-beo-do-an-vat-i2519016385.html</v>
      </c>
      <c r="C4998" s="10" t="s">
        <v>4998</v>
      </c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8">
        <v>9853.0</v>
      </c>
      <c r="B4999" s="9" t="str">
        <f>HYPERLINK("https://www.lazada.vn/products/banh-trung-thu-mochi-trung-ruoc-noi-dia-trung-hop-500g-i2836356534.html", "https://www.lazada.vn/products/banh-trung-thu-mochi-trung-ruoc-noi-dia-trung-hop-500g-i2836356534.html")</f>
        <v>https://www.lazada.vn/products/banh-trung-thu-mochi-trung-ruoc-noi-dia-trung-hop-500g-i2836356534.html</v>
      </c>
      <c r="C4999" s="10" t="s">
        <v>4999</v>
      </c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8">
        <v>9854.0</v>
      </c>
      <c r="B5000" s="9" t="str">
        <f>HYPERLINK("https://www.lazada.vn/products/keo-tang-luc-redbull-styng-320g-thai-lan-thom-ngon-vi-chua-ngot-hinohouse-i2732606631.html", "https://www.lazada.vn/products/keo-tang-luc-redbull-styng-320g-thai-lan-thom-ngon-vi-chua-ngot-hinohouse-i2732606631.html")</f>
        <v>https://www.lazada.vn/products/keo-tang-luc-redbull-styng-320g-thai-lan-thom-ngon-vi-chua-ngot-hinohouse-i2732606631.html</v>
      </c>
      <c r="C5000" s="10" t="s">
        <v>5000</v>
      </c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8">
        <v>9855.0</v>
      </c>
      <c r="B5001" s="9" t="str">
        <f>HYPERLINK("https://www.lazada.vn/products/ca-phe-sua-g7-3-in-1-goi-16gr-tui-20-goi-50-goi-100-goi-73084-i2768400655.html", "https://www.lazada.vn/products/ca-phe-sua-g7-3-in-1-goi-16gr-tui-20-goi-50-goi-100-goi-73084-i2768400655.html")</f>
        <v>https://www.lazada.vn/products/ca-phe-sua-g7-3-in-1-goi-16gr-tui-20-goi-50-goi-100-goi-73084-i2768400655.html</v>
      </c>
      <c r="C5001" s="10" t="s">
        <v>5001</v>
      </c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8">
        <v>9856.0</v>
      </c>
      <c r="B5002" s="9" t="str">
        <f>HYPERLINK("https://www.lazada.vn/products/keo-trung-socola-ntfood-hop-sun-khiahop-bat-giac-nhat-tin-food-i2920024896.html", "https://www.lazada.vn/products/keo-trung-socola-ntfood-hop-sun-khiahop-bat-giac-nhat-tin-food-i2920024896.html")</f>
        <v>https://www.lazada.vn/products/keo-trung-socola-ntfood-hop-sun-khiahop-bat-giac-nhat-tin-food-i2920024896.html</v>
      </c>
      <c r="C5002" s="10" t="s">
        <v>5002</v>
      </c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8">
        <v>9857.0</v>
      </c>
      <c r="B5003" s="9" t="str">
        <f>HYPERLINK("https://www.lazada.vn/products/combo-3-banh-sandwich-tam-giac-lua-mach-cha-bong-khoai-mon-phomai-bo-b103-chuyen-si-tpnk-i2643283412.html", "https://www.lazada.vn/products/combo-3-banh-sandwich-tam-giac-lua-mach-cha-bong-khoai-mon-phomai-bo-b103-chuyen-si-tpnk-i2643283412.html")</f>
        <v>https://www.lazada.vn/products/combo-3-banh-sandwich-tam-giac-lua-mach-cha-bong-khoai-mon-phomai-bo-b103-chuyen-si-tpnk-i2643283412.html</v>
      </c>
      <c r="C5003" s="10" t="s">
        <v>5003</v>
      </c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>
      <c r="A5004" s="8">
        <v>9858.0</v>
      </c>
      <c r="B5004" s="9" t="str">
        <f>HYPERLINK("https://www.lazada.vn/products/loc-6-lon-cocacola-nguyen-vi-i2772436816.html", "https://www.lazada.vn/products/loc-6-lon-cocacola-nguyen-vi-i2772436816.html")</f>
        <v>https://www.lazada.vn/products/loc-6-lon-cocacola-nguyen-vi-i2772436816.html</v>
      </c>
      <c r="C5004" s="10" t="s">
        <v>5004</v>
      </c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>
      <c r="A5005" s="8">
        <v>9859.0</v>
      </c>
      <c r="B5005" s="9" t="str">
        <f>HYPERLINK("https://www.lazada.vn/products/hcmmen-bia-fermentis-safale-k-97-i1442374376.html", "https://www.lazada.vn/products/hcmmen-bia-fermentis-safale-k-97-i1442374376.html")</f>
        <v>https://www.lazada.vn/products/hcmmen-bia-fermentis-safale-k-97-i1442374376.html</v>
      </c>
      <c r="C5005" s="10" t="s">
        <v>5005</v>
      </c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>
      <c r="A5006" s="8">
        <v>9860.0</v>
      </c>
      <c r="B5006" s="9" t="str">
        <f>HYPERLINK("https://www.lazada.vn/products/3-goi-banh-dua-nuong-bao-linh-dac-san-quang-nam-thom-ngon-gion-beo-it-ngot-3-vi-nguyen-ban-gao-lut-me-gao-lut-dau-xanh-i2894540826.html", "https://www.lazada.vn/products/3-goi-banh-dua-nuong-bao-linh-dac-san-quang-nam-thom-ngon-gion-beo-it-ngot-3-vi-nguyen-ban-gao-lut-me-gao-lut-dau-xanh-i2894540826.html")</f>
        <v>https://www.lazada.vn/products/3-goi-banh-dua-nuong-bao-linh-dac-san-quang-nam-thom-ngon-gion-beo-it-ngot-3-vi-nguyen-ban-gao-lut-me-gao-lut-dau-xanh-i2894540826.html</v>
      </c>
      <c r="C5006" s="10" t="s">
        <v>5006</v>
      </c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>
      <c r="A5007" s="8">
        <v>9861.0</v>
      </c>
      <c r="B5007" s="9" t="str">
        <f>HYPERLINK("https://www.lazada.vn/products/bich-10-goi-bimbim-snack-ostar-khoai-tay-vi-tao-bienkim-chi-han-swing-goi-36gr-i2726910377.html", "https://www.lazada.vn/products/bich-10-goi-bimbim-snack-ostar-khoai-tay-vi-tao-bienkim-chi-han-swing-goi-36gr-i2726910377.html")</f>
        <v>https://www.lazada.vn/products/bich-10-goi-bimbim-snack-ostar-khoai-tay-vi-tao-bienkim-chi-han-swing-goi-36gr-i2726910377.html</v>
      </c>
      <c r="C5007" s="10" t="s">
        <v>5007</v>
      </c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>
      <c r="A5008" s="8">
        <v>9862.0</v>
      </c>
      <c r="B5008" s="9" t="str">
        <f>HYPERLINK("https://www.lazada.vn/products/nuoc-ngot-7up-lon-soda-chanh-390ml-han-su-dung-luon-moi-i2452651538.html", "https://www.lazada.vn/products/nuoc-ngot-7up-lon-soda-chanh-390ml-han-su-dung-luon-moi-i2452651538.html")</f>
        <v>https://www.lazada.vn/products/nuoc-ngot-7up-lon-soda-chanh-390ml-han-su-dung-luon-moi-i2452651538.html</v>
      </c>
      <c r="C5008" s="10" t="s">
        <v>5008</v>
      </c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>
      <c r="A5009" s="8">
        <v>9863.0</v>
      </c>
      <c r="B5009" s="9" t="str">
        <f>HYPERLINK("https://www.lazada.vn/products/vodka-gold-vay-vang-sheriff-star-30-565ml-i2743837330.html", "https://www.lazada.vn/products/vodka-gold-vay-vang-sheriff-star-30-565ml-i2743837330.html")</f>
        <v>https://www.lazada.vn/products/vodka-gold-vay-vang-sheriff-star-30-565ml-i2743837330.html</v>
      </c>
      <c r="C5009" s="10" t="s">
        <v>5009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>
      <c r="A5010" s="8">
        <v>9864.0</v>
      </c>
      <c r="B5010" s="9" t="str">
        <f>HYPERLINK("https://www.lazada.vn/products/bot-cacao-starbuck-hot-cocoa-850g-my-i2094457812.html", "https://www.lazada.vn/products/bot-cacao-starbuck-hot-cocoa-850g-my-i2094457812.html")</f>
        <v>https://www.lazada.vn/products/bot-cacao-starbuck-hot-cocoa-850g-my-i2094457812.html</v>
      </c>
      <c r="C5010" s="10" t="s">
        <v>5010</v>
      </c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>
      <c r="A5011" s="8">
        <v>9865.0</v>
      </c>
      <c r="B5011" s="9" t="str">
        <f>HYPERLINK("https://www.lazada.vn/products/ruoc-nam-huong-mon-chay-ngon-tot-cho-suc-khoe-500gr-i2857254538.html", "https://www.lazada.vn/products/ruoc-nam-huong-mon-chay-ngon-tot-cho-suc-khoe-500gr-i2857254538.html")</f>
        <v>https://www.lazada.vn/products/ruoc-nam-huong-mon-chay-ngon-tot-cho-suc-khoe-500gr-i2857254538.html</v>
      </c>
      <c r="C5011" s="10" t="s">
        <v>5011</v>
      </c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>
      <c r="A5012" s="8">
        <v>9866.0</v>
      </c>
      <c r="B5012" s="9" t="str">
        <f>HYPERLINK("https://www.lazada.vn/products/thung-24chai-nuoc-ngot-tang-luc-number-one-vang-320ml-dam-da-thom-ngon-dung-vi-la-nuoc-giai-khac-bat-tung-nang-luong-cho-mot-ngay-moi-tran-nang-luong-trong-cong-viec-han-su-dung-luon-moi-i2458681784.html", "https://www.lazada.vn/products/thung-24chai-nuoc-ngot-tang-luc-number-one-vang-320ml-dam-da-thom-ngon-dung-vi-la-nuoc-giai-khac-bat-tung-nang-luong-cho-mot-ngay-moi-tran-nang-luong-trong-cong-viec-han-su-dung-luon-moi-i2458681784.html")</f>
        <v>https://www.lazada.vn/products/thung-24chai-nuoc-ngot-tang-luc-number-one-vang-320ml-dam-da-thom-ngon-dung-vi-la-nuoc-giai-khac-bat-tung-nang-luong-cho-mot-ngay-moi-tran-nang-luong-trong-cong-viec-han-su-dung-luon-moi-i2458681784.html</v>
      </c>
      <c r="C5012" s="10" t="s">
        <v>5012</v>
      </c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>
      <c r="A5013" s="8">
        <v>9867.0</v>
      </c>
      <c r="B5013" s="9" t="str">
        <f>HYPERLINK("https://www.lazada.vn/products/vang-y-viamare-i2633537120.html", "https://www.lazada.vn/products/vang-y-viamare-i2633537120.html")</f>
        <v>https://www.lazada.vn/products/vang-y-viamare-i2633537120.html</v>
      </c>
      <c r="C5013" s="10" t="s">
        <v>5013</v>
      </c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>
      <c r="A5014" s="8">
        <v>9868.0</v>
      </c>
      <c r="B5014" s="9" t="str">
        <f>HYPERLINK("https://www.lazada.vn/products/tui-1-kg-banh-phong-tom-rau-cu-thom-ngon-i2518349369.html", "https://www.lazada.vn/products/tui-1-kg-banh-phong-tom-rau-cu-thom-ngon-i2518349369.html")</f>
        <v>https://www.lazada.vn/products/tui-1-kg-banh-phong-tom-rau-cu-thom-ngon-i2518349369.html</v>
      </c>
      <c r="C5014" s="10" t="s">
        <v>5014</v>
      </c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>
      <c r="A5015" s="8">
        <v>9869.0</v>
      </c>
      <c r="B5015" s="9" t="str">
        <f>HYPERLINK("https://www.lazada.vn/products/my-tom-ga-nam-thung-30-goi-x70g-noodle-chichken-i1455860934.html", "https://www.lazada.vn/products/my-tom-ga-nam-thung-30-goi-x70g-noodle-chichken-i1455860934.html")</f>
        <v>https://www.lazada.vn/products/my-tom-ga-nam-thung-30-goi-x70g-noodle-chichken-i1455860934.html</v>
      </c>
      <c r="C5015" s="10" t="s">
        <v>5015</v>
      </c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>
      <c r="A5016" s="8">
        <v>9870.0</v>
      </c>
      <c r="B5016" s="9" t="str">
        <f>HYPERLINK("https://www.lazada.vn/products/thung-1224-lon-bia-heineken-00-do-con-330mllon-i2951981475.html", "https://www.lazada.vn/products/thung-1224-lon-bia-heineken-00-do-con-330mllon-i2951981475.html")</f>
        <v>https://www.lazada.vn/products/thung-1224-lon-bia-heineken-00-do-con-330mllon-i2951981475.html</v>
      </c>
      <c r="C5016" s="10" t="s">
        <v>5016</v>
      </c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>
      <c r="A5017" s="8">
        <v>9871.0</v>
      </c>
      <c r="B5017" s="9" t="str">
        <f>HYPERLINK("https://www.lazada.vn/products/strawberry-dried-frozen-38g-non-fried-nutritious-healthy-crispy-snack-small-bag-portable-dried-fruit-snacks-from-anh-tuan-i2923601797.html", "https://www.lazada.vn/products/strawberry-dried-frozen-38g-non-fried-nutritious-healthy-crispy-snack-small-bag-portable-dried-fruit-snacks-from-anh-tuan-i2923601797.html")</f>
        <v>https://www.lazada.vn/products/strawberry-dried-frozen-38g-non-fried-nutritious-healthy-crispy-snack-small-bag-portable-dried-fruit-snacks-from-anh-tuan-i2923601797.html</v>
      </c>
      <c r="C5017" s="10" t="s">
        <v>5017</v>
      </c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>
      <c r="A5018" s="8">
        <v>9872.0</v>
      </c>
      <c r="B5018" s="9" t="str">
        <f>HYPERLINK("https://www.lazada.vn/products/thach-rau-cau-3d-douxian-hu-25kg-i2536424759.html", "https://www.lazada.vn/products/thach-rau-cau-3d-douxian-hu-25kg-i2536424759.html")</f>
        <v>https://www.lazada.vn/products/thach-rau-cau-3d-douxian-hu-25kg-i2536424759.html</v>
      </c>
      <c r="C5018" s="10" t="s">
        <v>5018</v>
      </c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>
      <c r="A5019" s="8">
        <v>9873.0</v>
      </c>
      <c r="B5019" s="9" t="str">
        <f>HYPERLINK("https://www.lazada.vn/products/thach-long-hai-huong-vi-trai-cay-416g-i2732511546.html", "https://www.lazada.vn/products/thach-long-hai-huong-vi-trai-cay-416g-i2732511546.html")</f>
        <v>https://www.lazada.vn/products/thach-long-hai-huong-vi-trai-cay-416g-i2732511546.html</v>
      </c>
      <c r="C5019" s="10" t="s">
        <v>5019</v>
      </c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>
      <c r="A5020" s="8">
        <v>9874.0</v>
      </c>
      <c r="B5020" s="9" t="str">
        <f>HYPERLINK("https://www.lazada.vn/products/thach-zai-zai-tui-350g-duc-hanh-i2414120049.html", "https://www.lazada.vn/products/thach-zai-zai-tui-350g-duc-hanh-i2414120049.html")</f>
        <v>https://www.lazada.vn/products/thach-zai-zai-tui-350g-duc-hanh-i2414120049.html</v>
      </c>
      <c r="C5020" s="10" t="s">
        <v>5020</v>
      </c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>
      <c r="A5021" s="8">
        <v>9875.0</v>
      </c>
      <c r="B5021" s="9" t="str">
        <f>HYPERLINK("https://www.lazada.vn/products/vang-do-france-maison-bich-3-lit-i2633520052.html", "https://www.lazada.vn/products/vang-do-france-maison-bich-3-lit-i2633520052.html")</f>
        <v>https://www.lazada.vn/products/vang-do-france-maison-bich-3-lit-i2633520052.html</v>
      </c>
      <c r="C5021" s="10" t="s">
        <v>5021</v>
      </c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>
      <c r="A5022" s="8">
        <v>9876.0</v>
      </c>
      <c r="B5022" s="9" t="str">
        <f>HYPERLINK("https://www.lazada.vn/products/vien-keo-ngam-bac-ha-sua-kasugai-milk-mint-71g-va-soda-assort-63g-i2731863576.html", "https://www.lazada.vn/products/vien-keo-ngam-bac-ha-sua-kasugai-milk-mint-71g-va-soda-assort-63g-i2731863576.html")</f>
        <v>https://www.lazada.vn/products/vien-keo-ngam-bac-ha-sua-kasugai-milk-mint-71g-va-soda-assort-63g-i2731863576.html</v>
      </c>
      <c r="C5022" s="10" t="s">
        <v>5022</v>
      </c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>
      <c r="A5023" s="8">
        <v>9877.0</v>
      </c>
      <c r="B5023" s="9" t="str">
        <f>HYPERLINK("https://www.lazada.vn/products/banh-trang-muoi-vo-tri-nha-hyhy-49k-5-bich-banh-trang-muoi-vo-tri-toi-phi-hanh-phi-an-cay-chon-them-sa-te-tom-54k-do-an-vat-snacks-food-thuc-an-i2510267017.html", "https://www.lazada.vn/products/banh-trang-muoi-vo-tri-nha-hyhy-49k-5-bich-banh-trang-muoi-vo-tri-toi-phi-hanh-phi-an-cay-chon-them-sa-te-tom-54k-do-an-vat-snacks-food-thuc-an-i2510267017.html")</f>
        <v>https://www.lazada.vn/products/banh-trang-muoi-vo-tri-nha-hyhy-49k-5-bich-banh-trang-muoi-vo-tri-toi-phi-hanh-phi-an-cay-chon-them-sa-te-tom-54k-do-an-vat-snacks-food-thuc-an-i2510267017.html</v>
      </c>
      <c r="C5023" s="10" t="s">
        <v>5023</v>
      </c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>
      <c r="A5024" s="8">
        <v>9878.0</v>
      </c>
      <c r="B5024" s="9" t="str">
        <f>HYPERLINK("https://www.lazada.vn/products/siro-douxian-binh-tron-25kg-nhieu-huong-vi-i2536125499.html", "https://www.lazada.vn/products/siro-douxian-binh-tron-25kg-nhieu-huong-vi-i2536125499.html")</f>
        <v>https://www.lazada.vn/products/siro-douxian-binh-tron-25kg-nhieu-huong-vi-i2536125499.html</v>
      </c>
      <c r="C5024" s="10" t="s">
        <v>5024</v>
      </c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>
      <c r="A5025" s="8">
        <v>9879.0</v>
      </c>
      <c r="B5025" s="9" t="str">
        <f>HYPERLINK("https://www.lazada.vn/products/ca-phe-colombia-supremo-huila-ca-phe-espresso-i2741859056.html", "https://www.lazada.vn/products/ca-phe-colombia-supremo-huila-ca-phe-espresso-i2741859056.html")</f>
        <v>https://www.lazada.vn/products/ca-phe-colombia-supremo-huila-ca-phe-espresso-i2741859056.html</v>
      </c>
      <c r="C5025" s="10" t="s">
        <v>5025</v>
      </c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>
      <c r="A5026" s="8">
        <v>9880.0</v>
      </c>
      <c r="B5026" s="9" t="str">
        <f>HYPERLINK("https://www.lazada.vn/products/hcmmen-bia-fermentis-saflager-w3470-i1442355645.html", "https://www.lazada.vn/products/hcmmen-bia-fermentis-saflager-w3470-i1442355645.html")</f>
        <v>https://www.lazada.vn/products/hcmmen-bia-fermentis-saflager-w3470-i1442355645.html</v>
      </c>
      <c r="C5026" s="10" t="s">
        <v>5026</v>
      </c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>
      <c r="A5027" s="8">
        <v>9881.0</v>
      </c>
      <c r="B5027" s="9" t="str">
        <f>HYPERLINK("https://www.lazada.vn/products/chocolate-almond-paste-dubai-flavor-bread-thread-thousand-thread-crisp-sweet-snack-handmade-chocolate-products-70g-gift-box-i2919762077.html", "https://www.lazada.vn/products/chocolate-almond-paste-dubai-flavor-bread-thread-thousand-thread-crisp-sweet-snack-handmade-chocolate-products-70g-gift-box-i2919762077.html")</f>
        <v>https://www.lazada.vn/products/chocolate-almond-paste-dubai-flavor-bread-thread-thousand-thread-crisp-sweet-snack-handmade-chocolate-products-70g-gift-box-i2919762077.html</v>
      </c>
      <c r="C5027" s="10" t="s">
        <v>5027</v>
      </c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>
      <c r="A5028" s="8">
        <v>9882.0</v>
      </c>
      <c r="B5028" s="9" t="str">
        <f>HYPERLINK("https://www.lazada.vn/products/thung-1kg-khoang-14-15c-banh-mi-nhan-kem-chay-vi-socola-sua-chua-yogurt-hang-aidebao-b153-chuyen-si-tpnk-i2643282094.html", "https://www.lazada.vn/products/thung-1kg-khoang-14-15c-banh-mi-nhan-kem-chay-vi-socola-sua-chua-yogurt-hang-aidebao-b153-chuyen-si-tpnk-i2643282094.html")</f>
        <v>https://www.lazada.vn/products/thung-1kg-khoang-14-15c-banh-mi-nhan-kem-chay-vi-socola-sua-chua-yogurt-hang-aidebao-b153-chuyen-si-tpnk-i2643282094.html</v>
      </c>
      <c r="C5028" s="10" t="s">
        <v>5028</v>
      </c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>
      <c r="A5029" s="8">
        <v>9883.0</v>
      </c>
      <c r="B5029" s="9" t="str">
        <f>HYPERLINK("https://www.lazada.vn/products/ruou-vang-y-organic-ruou-vang-nhap-khau-tavernello-organico-co-4-loai-vang-do-va-vang-trang-tang-kem-hop-go-khi-mua-6-chai-i2633489113.html", "https://www.lazada.vn/products/ruou-vang-y-organic-ruou-vang-nhap-khau-tavernello-organico-co-4-loai-vang-do-va-vang-trang-tang-kem-hop-go-khi-mua-6-chai-i2633489113.html")</f>
        <v>https://www.lazada.vn/products/ruou-vang-y-organic-ruou-vang-nhap-khau-tavernello-organico-co-4-loai-vang-do-va-vang-trang-tang-kem-hop-go-khi-mua-6-chai-i2633489113.html</v>
      </c>
      <c r="C5029" s="10" t="s">
        <v>5029</v>
      </c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>
      <c r="A5030" s="8">
        <v>9884.0</v>
      </c>
      <c r="B5030" s="9" t="str">
        <f>HYPERLINK("https://www.lazada.vn/products/banh-pia-dau-xanh-sau-rieng-tuoi-8-trung_-hop-550g-i2775660397.html", "https://www.lazada.vn/products/banh-pia-dau-xanh-sau-rieng-tuoi-8-trung_-hop-550g-i2775660397.html")</f>
        <v>https://www.lazada.vn/products/banh-pia-dau-xanh-sau-rieng-tuoi-8-trung_-hop-550g-i2775660397.html</v>
      </c>
      <c r="C5030" s="10" t="s">
        <v>5030</v>
      </c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>
      <c r="A5031" s="8">
        <v>9885.0</v>
      </c>
      <c r="B5031" s="9" t="str">
        <f>HYPERLINK("https://www.lazada.vn/products/10-goi-hu-tieu-kho-nam-vang-i1449967173.html", "https://www.lazada.vn/products/10-goi-hu-tieu-kho-nam-vang-i1449967173.html")</f>
        <v>https://www.lazada.vn/products/10-goi-hu-tieu-kho-nam-vang-i1449967173.html</v>
      </c>
      <c r="C5031" s="10" t="s">
        <v>5031</v>
      </c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>
      <c r="A5032" s="8">
        <v>9886.0</v>
      </c>
      <c r="B5032" s="9" t="str">
        <f>HYPERLINK("https://www.lazada.vn/products/siro-duong-den-han-quoc-tcp-binh-1kg2kg-i2535942262.html", "https://www.lazada.vn/products/siro-duong-den-han-quoc-tcp-binh-1kg2kg-i2535942262.html")</f>
        <v>https://www.lazada.vn/products/siro-duong-den-han-quoc-tcp-binh-1kg2kg-i2535942262.html</v>
      </c>
      <c r="C5032" s="10" t="s">
        <v>5032</v>
      </c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>
      <c r="A5033" s="8">
        <v>9887.0</v>
      </c>
      <c r="B5033" s="9" t="str">
        <f>HYPERLINK("https://www.lazada.vn/products/banh-mi-dia-ngan-lop-bo-pho-mai-ong-gia-b106-tknk-beegin-i2643254846.html", "https://www.lazada.vn/products/banh-mi-dia-ngan-lop-bo-pho-mai-ong-gia-b106-tknk-beegin-i2643254846.html")</f>
        <v>https://www.lazada.vn/products/banh-mi-dia-ngan-lop-bo-pho-mai-ong-gia-b106-tknk-beegin-i2643254846.html</v>
      </c>
      <c r="C5033" s="10" t="s">
        <v>5033</v>
      </c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>
      <c r="A5034" s="8">
        <v>9888.0</v>
      </c>
      <c r="B5034" s="9" t="str">
        <f>HYPERLINK("https://www.lazada.vn/products/socola-barrfula-mau-trai-tim-3-vien-chocolate-hop-30gr-goi-qua-tet-2025-i2919387368.html", "https://www.lazada.vn/products/socola-barrfula-mau-trai-tim-3-vien-chocolate-hop-30gr-goi-qua-tet-2025-i2919387368.html")</f>
        <v>https://www.lazada.vn/products/socola-barrfula-mau-trai-tim-3-vien-chocolate-hop-30gr-goi-qua-tet-2025-i2919387368.html</v>
      </c>
      <c r="C5034" s="10" t="s">
        <v>5034</v>
      </c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>
      <c r="A5035" s="8">
        <v>9889.0</v>
      </c>
      <c r="B5035" s="9" t="str">
        <f>HYPERLINK("https://www.lazada.vn/products/bia-hoegaarden-white-thung-24-chai-330ml-bia-lua-my-bi-ship-hoa-toc-hn-i1437108442.html", "https://www.lazada.vn/products/bia-hoegaarden-white-thung-24-chai-330ml-bia-lua-my-bi-ship-hoa-toc-hn-i1437108442.html")</f>
        <v>https://www.lazada.vn/products/bia-hoegaarden-white-thung-24-chai-330ml-bia-lua-my-bi-ship-hoa-toc-hn-i1437108442.html</v>
      </c>
      <c r="C5035" s="10" t="s">
        <v>5035</v>
      </c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>
      <c r="A5036" s="8">
        <v>9890.0</v>
      </c>
      <c r="B5036" s="9" t="str">
        <f>HYPERLINK("https://www.lazada.vn/products/cafe-g7-3-in-1-legend-bich-50-goi-17g-cua-trung-nguyen-i2729257713.html", "https://www.lazada.vn/products/cafe-g7-3-in-1-legend-bich-50-goi-17g-cua-trung-nguyen-i2729257713.html")</f>
        <v>https://www.lazada.vn/products/cafe-g7-3-in-1-legend-bich-50-goi-17g-cua-trung-nguyen-i2729257713.html</v>
      </c>
      <c r="C5036" s="10" t="s">
        <v>5036</v>
      </c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>
      <c r="A5037" s="8">
        <v>9891.0</v>
      </c>
      <c r="B5037" s="9" t="str">
        <f>HYPERLINK("https://www.lazada.vn/products/loc-6-lon-bia-heineken-00-do-con-330mllon-i2951893961.html", "https://www.lazada.vn/products/loc-6-lon-bia-heineken-00-do-con-330mllon-i2951893961.html")</f>
        <v>https://www.lazada.vn/products/loc-6-lon-bia-heineken-00-do-con-330mllon-i2951893961.html</v>
      </c>
      <c r="C5037" s="10" t="s">
        <v>5037</v>
      </c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>
      <c r="A5038" s="8">
        <v>9892.0</v>
      </c>
      <c r="B5038" s="9" t="str">
        <f>HYPERLINK("https://www.lazada.vn/products/vang-chile-passion-classic-i2633234872.html", "https://www.lazada.vn/products/vang-chile-passion-classic-i2633234872.html")</f>
        <v>https://www.lazada.vn/products/vang-chile-passion-classic-i2633234872.html</v>
      </c>
      <c r="C5038" s="10" t="s">
        <v>5038</v>
      </c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>
      <c r="A5039" s="8">
        <v>9893.0</v>
      </c>
      <c r="B5039" s="9" t="str">
        <f>HYPERLINK("https://www.lazada.vn/products/bia-red-tiger-thung-24-lon-i2951442710.html", "https://www.lazada.vn/products/bia-red-tiger-thung-24-lon-i2951442710.html")</f>
        <v>https://www.lazada.vn/products/bia-red-tiger-thung-24-lon-i2951442710.html</v>
      </c>
      <c r="C5039" s="10" t="s">
        <v>5039</v>
      </c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>
      <c r="A5040" s="8">
        <v>9894.0</v>
      </c>
      <c r="B5040" s="9" t="str">
        <f>HYPERLINK("https://www.lazada.vn/products/kho-lanh-1kg-dau-tay-dong-kho-hat-dau-tay-nho-so-co-la-ngot-ngao-nguyen-lieu-lam-banh-kem-tra-sua-thuong-mai-i2923598687.html", "https://www.lazada.vn/products/kho-lanh-1kg-dau-tay-dong-kho-hat-dau-tay-nho-so-co-la-ngot-ngao-nguyen-lieu-lam-banh-kem-tra-sua-thuong-mai-i2923598687.html")</f>
        <v>https://www.lazada.vn/products/kho-lanh-1kg-dau-tay-dong-kho-hat-dau-tay-nho-so-co-la-ngot-ngao-nguyen-lieu-lam-banh-kem-tra-sua-thuong-mai-i2923598687.html</v>
      </c>
      <c r="C5040" s="10" t="s">
        <v>5040</v>
      </c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>
      <c r="A5041" s="8">
        <v>9895.0</v>
      </c>
      <c r="B5041" s="9" t="str">
        <f>HYPERLINK("https://www.lazada.vn/products/thach-pudding-trai-cay-gau-dau-i2413790223.html", "https://www.lazada.vn/products/thach-pudding-trai-cay-gau-dau-i2413790223.html")</f>
        <v>https://www.lazada.vn/products/thach-pudding-trai-cay-gau-dau-i2413790223.html</v>
      </c>
      <c r="C5041" s="10" t="s">
        <v>5041</v>
      </c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>
      <c r="A5042" s="8">
        <v>9896.0</v>
      </c>
      <c r="B5042" s="9" t="str">
        <f>HYPERLINK("https://www.lazada.vn/products/combo-6-banh-sandwich-tam-giac-lua-mach-cha-bong-khoai-mon-phomai-bo-b103-chuyen-si-tpnk-i2643172593.html", "https://www.lazada.vn/products/combo-6-banh-sandwich-tam-giac-lua-mach-cha-bong-khoai-mon-phomai-bo-b103-chuyen-si-tpnk-i2643172593.html")</f>
        <v>https://www.lazada.vn/products/combo-6-banh-sandwich-tam-giac-lua-mach-cha-bong-khoai-mon-phomai-bo-b103-chuyen-si-tpnk-i2643172593.html</v>
      </c>
      <c r="C5042" s="10" t="s">
        <v>5042</v>
      </c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>
      <c r="A5043" s="8">
        <v>9897.0</v>
      </c>
      <c r="B5043" s="9" t="str">
        <f>HYPERLINK("https://www.lazada.vn/products/hsd-1225-socola-kisses-sua-hersheys-kisses-milk-chocolate-306g-u-bac-i2918661174.html", "https://www.lazada.vn/products/hsd-1225-socola-kisses-sua-hersheys-kisses-milk-chocolate-306g-u-bac-i2918661174.html")</f>
        <v>https://www.lazada.vn/products/hsd-1225-socola-kisses-sua-hersheys-kisses-milk-chocolate-306g-u-bac-i2918661174.html</v>
      </c>
      <c r="C5043" s="10" t="s">
        <v>5043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>
      <c r="A5044" s="8">
        <v>9898.0</v>
      </c>
      <c r="B5044" s="9" t="str">
        <f>HYPERLINK("https://www.lazada.vn/products/hcmthung-40-goi-mi-xao-kho-an-lien-vi-bo-cay-abcvi-chua-cay-vi-mi-truyen-thong-soi-mi-dai-ngon-gia-vi-dam-da-cay-bung-no-nhap-khau-indonesia-i1445424190.html", "https://www.lazada.vn/products/hcmthung-40-goi-mi-xao-kho-an-lien-vi-bo-cay-abcvi-chua-cay-vi-mi-truyen-thong-soi-mi-dai-ngon-gia-vi-dam-da-cay-bung-no-nhap-khau-indonesia-i1445424190.html")</f>
        <v>https://www.lazada.vn/products/hcmthung-40-goi-mi-xao-kho-an-lien-vi-bo-cay-abcvi-chua-cay-vi-mi-truyen-thong-soi-mi-dai-ngon-gia-vi-dam-da-cay-bung-no-nhap-khau-indonesia-i1445424190.html</v>
      </c>
      <c r="C5044" s="10" t="s">
        <v>5044</v>
      </c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>
      <c r="A5045" s="8">
        <v>9899.0</v>
      </c>
      <c r="B5045" s="9" t="str">
        <f>HYPERLINK("https://www.lazada.vn/products/siro-a-douxian-chai-nhua-500ml-i2535847257.html", "https://www.lazada.vn/products/siro-a-douxian-chai-nhua-500ml-i2535847257.html")</f>
        <v>https://www.lazada.vn/products/siro-a-douxian-chai-nhua-500ml-i2535847257.html</v>
      </c>
      <c r="C5045" s="10" t="s">
        <v>5045</v>
      </c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>
      <c r="A5046" s="8">
        <v>9900.0</v>
      </c>
      <c r="B5046" s="9" t="str">
        <f>HYPERLINK("https://www.lazada.vn/products/ca-phe-sua-g7-3in1-bich-800g-50-goi-x-16g-i2689566276.html", "https://www.lazada.vn/products/ca-phe-sua-g7-3in1-bich-800g-50-goi-x-16g-i2689566276.html")</f>
        <v>https://www.lazada.vn/products/ca-phe-sua-g7-3in1-bich-800g-50-goi-x-16g-i2689566276.html</v>
      </c>
      <c r="C5046" s="10" t="s">
        <v>5046</v>
      </c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>
      <c r="A5047" s="8">
        <v>9901.0</v>
      </c>
      <c r="B5047" s="9" t="str">
        <f>HYPERLINK("https://www.lazada.vn/products/banh-bao-tao-hinh-nhan-socola-mau-banh-rong-vip-set-12-banh-nho-1-lon-i2722478859.html", "https://www.lazada.vn/products/banh-bao-tao-hinh-nhan-socola-mau-banh-rong-vip-set-12-banh-nho-1-lon-i2722478859.html")</f>
        <v>https://www.lazada.vn/products/banh-bao-tao-hinh-nhan-socola-mau-banh-rong-vip-set-12-banh-nho-1-lon-i2722478859.html</v>
      </c>
      <c r="C5047" s="10" t="s">
        <v>5047</v>
      </c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>
      <c r="A5048" s="8">
        <v>9902.0</v>
      </c>
      <c r="B5048" s="9" t="str">
        <f>HYPERLINK("https://www.lazada.vn/products/mi-konjac-com-konjac-konjac-kuey-teow-udon-big-kuey-teow-keto-frendly-konjac-food-i2856829454.html", "https://www.lazada.vn/products/mi-konjac-com-konjac-konjac-kuey-teow-udon-big-kuey-teow-keto-frendly-konjac-food-i2856829454.html")</f>
        <v>https://www.lazada.vn/products/mi-konjac-com-konjac-konjac-kuey-teow-udon-big-kuey-teow-keto-frendly-konjac-food-i2856829454.html</v>
      </c>
      <c r="C5048" s="10" t="s">
        <v>5048</v>
      </c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>
      <c r="A5049" s="8">
        <v>9903.0</v>
      </c>
      <c r="B5049" s="9" t="str">
        <f>HYPERLINK("https://www.lazada.vn/products/thung-24lon-nuoc-tang-luc-siting-thai-330ml-i2457787854.html", "https://www.lazada.vn/products/thung-24lon-nuoc-tang-luc-siting-thai-330ml-i2457787854.html")</f>
        <v>https://www.lazada.vn/products/thung-24lon-nuoc-tang-luc-siting-thai-330ml-i2457787854.html</v>
      </c>
      <c r="C5049" s="10" t="s">
        <v>5049</v>
      </c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>
      <c r="A5050" s="8">
        <v>9904.0</v>
      </c>
      <c r="B5050" s="9" t="str">
        <f>HYPERLINK("https://www.lazada.vn/products/1-thung-nuoc-dua-nha-dam-zezo68-loai-to-500ml-date-new-i2771082715.html", "https://www.lazada.vn/products/1-thung-nuoc-dua-nha-dam-zezo68-loai-to-500ml-date-new-i2771082715.html")</f>
        <v>https://www.lazada.vn/products/1-thung-nuoc-dua-nha-dam-zezo68-loai-to-500ml-date-new-i2771082715.html</v>
      </c>
      <c r="C5050" s="10" t="s">
        <v>5050</v>
      </c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>
      <c r="A5051" s="8">
        <v>9905.0</v>
      </c>
      <c r="B5051" s="9" t="str">
        <f>HYPERLINK("https://www.lazada.vn/products/bich-10-goi-bim-bim-khoai-tay-bim-bim-lays-du-vi-54g-i2726854847.html", "https://www.lazada.vn/products/bich-10-goi-bim-bim-khoai-tay-bim-bim-lays-du-vi-54g-i2726854847.html")</f>
        <v>https://www.lazada.vn/products/bich-10-goi-bim-bim-khoai-tay-bim-bim-lays-du-vi-54g-i2726854847.html</v>
      </c>
      <c r="C5051" s="10" t="s">
        <v>5051</v>
      </c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>
      <c r="A5052" s="8">
        <v>9906.0</v>
      </c>
      <c r="B5052" s="9" t="str">
        <f>HYPERLINK("https://www.lazada.vn/products/thung-24chai-nuoc-ngot-siting-huong-dau-390ml-han-su-dung-luon-moi-i2452639641.html", "https://www.lazada.vn/products/thung-24chai-nuoc-ngot-siting-huong-dau-390ml-han-su-dung-luon-moi-i2452639641.html")</f>
        <v>https://www.lazada.vn/products/thung-24chai-nuoc-ngot-siting-huong-dau-390ml-han-su-dung-luon-moi-i2452639641.html</v>
      </c>
      <c r="C5052" s="10" t="s">
        <v>5052</v>
      </c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>
      <c r="A5053" s="8">
        <v>9907.0</v>
      </c>
      <c r="B5053" s="9" t="str">
        <f>HYPERLINK("https://www.lazada.vn/products/absolut-vodka-40-700ml-i2737249139.html", "https://www.lazada.vn/products/absolut-vodka-40-700ml-i2737249139.html")</f>
        <v>https://www.lazada.vn/products/absolut-vodka-40-700ml-i2737249139.html</v>
      </c>
      <c r="C5053" s="10" t="s">
        <v>5053</v>
      </c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>
      <c r="A5054" s="8">
        <v>9908.0</v>
      </c>
      <c r="B5054" s="9" t="str">
        <f>HYPERLINK("https://www.lazada.vn/products/bot-cacao-thuan-chay-dam-da-ca-cao-nguyen-chat-vi-ca-phe-sua-dua-socola-thuc-uong-ho-tro-tim-mach-tri-nho-i2079178712.html", "https://www.lazada.vn/products/bot-cacao-thuan-chay-dam-da-ca-cao-nguyen-chat-vi-ca-phe-sua-dua-socola-thuc-uong-ho-tro-tim-mach-tri-nho-i2079178712.html")</f>
        <v>https://www.lazada.vn/products/bot-cacao-thuan-chay-dam-da-ca-cao-nguyen-chat-vi-ca-phe-sua-dua-socola-thuc-uong-ho-tro-tim-mach-tri-nho-i2079178712.html</v>
      </c>
      <c r="C5054" s="10" t="s">
        <v>5054</v>
      </c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>
      <c r="A5055" s="8">
        <v>9909.0</v>
      </c>
      <c r="B5055" s="9" t="str">
        <f>HYPERLINK("https://www.lazada.vn/products/healthy-dried-strawberries-crisp-gourd-fruit-snacks-frozen-dry-fruit-striped-candy-speciality-store-popular-internet-red-preserves-i2923598516.html", "https://www.lazada.vn/products/healthy-dried-strawberries-crisp-gourd-fruit-snacks-frozen-dry-fruit-striped-candy-speciality-store-popular-internet-red-preserves-i2923598516.html")</f>
        <v>https://www.lazada.vn/products/healthy-dried-strawberries-crisp-gourd-fruit-snacks-frozen-dry-fruit-striped-candy-speciality-store-popular-internet-red-preserves-i2923598516.html</v>
      </c>
      <c r="C5055" s="10" t="s">
        <v>5055</v>
      </c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>
      <c r="A5056" s="8">
        <v>9910.0</v>
      </c>
      <c r="B5056" s="9" t="str">
        <f>HYPERLINK("https://www.lazada.vn/products/loc-6-lon-bia-tuyet-edelweiss-330ml-i2951060970.html", "https://www.lazada.vn/products/loc-6-lon-bia-tuyet-edelweiss-330ml-i2951060970.html")</f>
        <v>https://www.lazada.vn/products/loc-6-lon-bia-tuyet-edelweiss-330ml-i2951060970.html</v>
      </c>
      <c r="C5056" s="10" t="s">
        <v>5056</v>
      </c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>
      <c r="A5057" s="8">
        <v>9911.0</v>
      </c>
      <c r="B5057" s="9" t="str">
        <f>HYPERLINK("https://www.lazada.vn/products/thung-1kg-hon-30-banh-banh-ruoc-que-like-banh-bong-lan-cha-bong-b104-chuyen-si-tpnk-i2643158896.html", "https://www.lazada.vn/products/thung-1kg-hon-30-banh-banh-ruoc-que-like-banh-bong-lan-cha-bong-b104-chuyen-si-tpnk-i2643158896.html")</f>
        <v>https://www.lazada.vn/products/thung-1kg-hon-30-banh-banh-ruoc-que-like-banh-bong-lan-cha-bong-b104-chuyen-si-tpnk-i2643158896.html</v>
      </c>
      <c r="C5057" s="10" t="s">
        <v>5057</v>
      </c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>
      <c r="A5058" s="8">
        <v>9912.0</v>
      </c>
      <c r="B5058" s="9" t="str">
        <f>HYPERLINK("https://www.lazada.vn/products/bot-matcha-novia-tui-100g-i2928425229.html", "https://www.lazada.vn/products/bot-matcha-novia-tui-100g-i2928425229.html")</f>
        <v>https://www.lazada.vn/products/bot-matcha-novia-tui-100g-i2928425229.html</v>
      </c>
      <c r="C5058" s="10" t="s">
        <v>5058</v>
      </c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>
      <c r="A5059" s="8">
        <v>9913.0</v>
      </c>
      <c r="B5059" s="9" t="str">
        <f>HYPERLINK("https://www.lazada.vn/products/combo-10-coc-ly-my-tom-an-lien-hao-hao-i1443908506.html", "https://www.lazada.vn/products/combo-10-coc-ly-my-tom-an-lien-hao-hao-i1443908506.html")</f>
        <v>https://www.lazada.vn/products/combo-10-coc-ly-my-tom-an-lien-hao-hao-i1443908506.html</v>
      </c>
      <c r="C5059" s="10" t="s">
        <v>5059</v>
      </c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>
      <c r="A5060" s="8">
        <v>9914.0</v>
      </c>
      <c r="B5060" s="9" t="str">
        <f>HYPERLINK("https://www.lazada.vn/products/meiji-chocolate-41g-46g-nhieu-loai-i2918603675.html", "https://www.lazada.vn/products/meiji-chocolate-41g-46g-nhieu-loai-i2918603675.html")</f>
        <v>https://www.lazada.vn/products/meiji-chocolate-41g-46g-nhieu-loai-i2918603675.html</v>
      </c>
      <c r="C5060" s="10" t="s">
        <v>5060</v>
      </c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>
      <c r="A5061" s="8">
        <v>9915.0</v>
      </c>
      <c r="B5061" s="9" t="str">
        <f>HYPERLINK("https://www.lazada.vn/products/ca-phe-sua-da-maccoffee-cafe-pho-day-10-goi-24g-i2689565425.html", "https://www.lazada.vn/products/ca-phe-sua-da-maccoffee-cafe-pho-day-10-goi-24g-i2689565425.html")</f>
        <v>https://www.lazada.vn/products/ca-phe-sua-da-maccoffee-cafe-pho-day-10-goi-24g-i2689565425.html</v>
      </c>
      <c r="C5061" s="10" t="s">
        <v>5061</v>
      </c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>
      <c r="A5062" s="8">
        <v>9916.0</v>
      </c>
      <c r="B5062" s="9" t="str">
        <f>HYPERLINK("https://www.lazada.vn/products/siro-mama-rosa-chai-nhua-700ml-i2535663750.html", "https://www.lazada.vn/products/siro-mama-rosa-chai-nhua-700ml-i2535663750.html")</f>
        <v>https://www.lazada.vn/products/siro-mama-rosa-chai-nhua-700ml-i2535663750.html</v>
      </c>
      <c r="C5062" s="10" t="s">
        <v>5062</v>
      </c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>
      <c r="A5063" s="8">
        <v>9917.0</v>
      </c>
      <c r="B5063" s="9" t="str">
        <f>HYPERLINK("https://www.lazada.vn/products/5-goi-qua-le-kho-freshly-frozen-qua-le-va-dau-tay-kho-dung-de-tron-sua-chua-va-oats-bua-sang-qua-le-kho-snack-i2923597438.html", "https://www.lazada.vn/products/5-goi-qua-le-kho-freshly-frozen-qua-le-va-dau-tay-kho-dung-de-tron-sua-chua-va-oats-bua-sang-qua-le-kho-snack-i2923597438.html")</f>
        <v>https://www.lazada.vn/products/5-goi-qua-le-kho-freshly-frozen-qua-le-va-dau-tay-kho-dung-de-tron-sua-chua-va-oats-bua-sang-qua-le-kho-snack-i2923597438.html</v>
      </c>
      <c r="C5063" s="10" t="s">
        <v>5063</v>
      </c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>
      <c r="A5064" s="8">
        <v>9918.0</v>
      </c>
      <c r="B5064" s="9" t="str">
        <f>HYPERLINK("https://www.lazada.vn/products/thung-24-lon-x-250ml-nuoc-tang-luc-red-bull-bo-huc-chuan-thai-lan-i2457769791.html", "https://www.lazada.vn/products/thung-24-lon-x-250ml-nuoc-tang-luc-red-bull-bo-huc-chuan-thai-lan-i2457769791.html")</f>
        <v>https://www.lazada.vn/products/thung-24-lon-x-250ml-nuoc-tang-luc-red-bull-bo-huc-chuan-thai-lan-i2457769791.html</v>
      </c>
      <c r="C5064" s="10" t="s">
        <v>5064</v>
      </c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>
      <c r="A5065" s="8">
        <v>9919.0</v>
      </c>
      <c r="B5065" s="9" t="str">
        <f>HYPERLINK("https://www.lazada.vn/products/mi-thit-xao-a-one-30-goi-i2856386953.html", "https://www.lazada.vn/products/mi-thit-xao-a-one-30-goi-i2856386953.html")</f>
        <v>https://www.lazada.vn/products/mi-thit-xao-a-one-30-goi-i2856386953.html</v>
      </c>
      <c r="C5065" s="10" t="s">
        <v>5065</v>
      </c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>
      <c r="A5066" s="8">
        <v>9920.0</v>
      </c>
      <c r="B5066" s="9" t="str">
        <f>HYPERLINK("https://www.lazada.vn/products/ruou-vodka-ha-noi-94-lo-duc-500ml-i2737200084.html", "https://www.lazada.vn/products/ruou-vodka-ha-noi-94-lo-duc-500ml-i2737200084.html")</f>
        <v>https://www.lazada.vn/products/ruou-vodka-ha-noi-94-lo-duc-500ml-i2737200084.html</v>
      </c>
      <c r="C5066" s="10" t="s">
        <v>5066</v>
      </c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>
      <c r="A5067" s="8">
        <v>9921.0</v>
      </c>
      <c r="B5067" s="9" t="str">
        <f>HYPERLINK("https://www.lazada.vn/products/loc-6lon-nuoc-ngot-siting-huong-dau-320ml-i2452620677.html", "https://www.lazada.vn/products/loc-6lon-nuoc-ngot-siting-huong-dau-320ml-i2452620677.html")</f>
        <v>https://www.lazada.vn/products/loc-6lon-nuoc-ngot-siting-huong-dau-320ml-i2452620677.html</v>
      </c>
      <c r="C5067" s="10" t="s">
        <v>5067</v>
      </c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>
      <c r="A5068" s="8">
        <v>9922.0</v>
      </c>
      <c r="B5068" s="9" t="str">
        <f>HYPERLINK("https://www.lazada.vn/products/bot-cacao-nguyen-chat-dak-lak-loai-1-hop-500gr-i2075548554.html", "https://www.lazada.vn/products/bot-cacao-nguyen-chat-dak-lak-loai-1-hop-500gr-i2075548554.html")</f>
        <v>https://www.lazada.vn/products/bot-cacao-nguyen-chat-dak-lak-loai-1-hop-500gr-i2075548554.html</v>
      </c>
      <c r="C5068" s="10" t="s">
        <v>5068</v>
      </c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>
      <c r="A5069" s="8">
        <v>9923.0</v>
      </c>
      <c r="B5069" s="9" t="str">
        <f>HYPERLINK("https://www.lazada.vn/products/bich-10-goi-bim-bim-khoai-tay-lays-cac-vi-30gr-i2726830921.html", "https://www.lazada.vn/products/bich-10-goi-bim-bim-khoai-tay-lays-cac-vi-30gr-i2726830921.html")</f>
        <v>https://www.lazada.vn/products/bich-10-goi-bim-bim-khoai-tay-lays-cac-vi-30gr-i2726830921.html</v>
      </c>
      <c r="C5069" s="10" t="s">
        <v>5069</v>
      </c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>
      <c r="A5070" s="8">
        <v>9924.0</v>
      </c>
      <c r="B5070" s="9" t="str">
        <f>HYPERLINK("https://www.lazada.vn/products/ruou-hoa-tieu-co-nguyet-ruou-thieu-hung-shaoxing-wine-500ml-an-vat-492-i2770680603.html", "https://www.lazada.vn/products/ruou-hoa-tieu-co-nguyet-ruou-thieu-hung-shaoxing-wine-500ml-an-vat-492-i2770680603.html")</f>
        <v>https://www.lazada.vn/products/ruou-hoa-tieu-co-nguyet-ruou-thieu-hung-shaoxing-wine-500ml-an-vat-492-i2770680603.html</v>
      </c>
      <c r="C5070" s="10" t="s">
        <v>5070</v>
      </c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>
      <c r="A5071" s="8">
        <v>9925.0</v>
      </c>
      <c r="B5071" s="9" t="str">
        <f>HYPERLINK("https://www.lazada.vn/products/thach-rau-cau-trai-cay-gau-dau-i2413789199.html", "https://www.lazada.vn/products/thach-rau-cau-trai-cay-gau-dau-i2413789199.html")</f>
        <v>https://www.lazada.vn/products/thach-rau-cau-trai-cay-gau-dau-i2413789199.html</v>
      </c>
      <c r="C5071" s="10" t="s">
        <v>5071</v>
      </c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>
      <c r="A5072" s="8">
        <v>9926.0</v>
      </c>
      <c r="B5072" s="9" t="str">
        <f>HYPERLINK("https://www.lazada.vn/products/vanh-dai-bia-thu-tu-cua-july-my-yeu-nuoc-bia-qua-tang-cho-nam-gioi-6-goi-cach-nhiet-bia-chu-moi-la-usa-bia-soda-co-the-bao-da-phu-kien-bia-cho-trang-vo-i2949871531.html", "https://www.lazada.vn/products/vanh-dai-bia-thu-tu-cua-july-my-yeu-nuoc-bia-qua-tang-cho-nam-gioi-6-goi-cach-nhiet-bia-chu-moi-la-usa-bia-soda-co-the-bao-da-phu-kien-bia-cho-trang-vo-i2949871531.html")</f>
        <v>https://www.lazada.vn/products/vanh-dai-bia-thu-tu-cua-july-my-yeu-nuoc-bia-qua-tang-cho-nam-gioi-6-goi-cach-nhiet-bia-chu-moi-la-usa-bia-soda-co-the-bao-da-phu-kien-bia-cho-trang-vo-i2949871531.html</v>
      </c>
      <c r="C5072" s="10" t="s">
        <v>5072</v>
      </c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>
      <c r="A5073" s="8">
        <v>9927.0</v>
      </c>
      <c r="B5073" s="9" t="str">
        <f>HYPERLINK("https://www.lazada.vn/products/ruou-sake-nhat-yumenokanade-junmai-daiginjo-720ml-i2392674010.html", "https://www.lazada.vn/products/ruou-sake-nhat-yumenokanade-junmai-daiginjo-720ml-i2392674010.html")</f>
        <v>https://www.lazada.vn/products/ruou-sake-nhat-yumenokanade-junmai-daiginjo-720ml-i2392674010.html</v>
      </c>
      <c r="C5073" s="10" t="s">
        <v>5073</v>
      </c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>
      <c r="A5074" s="8">
        <v>9928.0</v>
      </c>
      <c r="B5074" s="9" t="str">
        <f>HYPERLINK("https://www.lazada.vn/products/buon-si-recombo-3-banh-in-nguyet-nhan-dua-non-_dau-xanh-mem-deo-ngon-re-i2715662122.html", "https://www.lazada.vn/products/buon-si-recombo-3-banh-in-nguyet-nhan-dua-non-_dau-xanh-mem-deo-ngon-re-i2715662122.html")</f>
        <v>https://www.lazada.vn/products/buon-si-recombo-3-banh-in-nguyet-nhan-dua-non-_dau-xanh-mem-deo-ngon-re-i2715662122.html</v>
      </c>
      <c r="C5074" s="10" t="s">
        <v>5074</v>
      </c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>
      <c r="A5075" s="8">
        <v>9929.0</v>
      </c>
      <c r="B5075" s="9" t="str">
        <f>HYPERLINK("https://www.lazada.vn/products/buon-si-re-banh-pia-mini-ngon-re-bich-5-cai-i2715568941.html", "https://www.lazada.vn/products/buon-si-re-banh-pia-mini-ngon-re-bich-5-cai-i2715568941.html")</f>
        <v>https://www.lazada.vn/products/buon-si-re-banh-pia-mini-ngon-re-bich-5-cai-i2715568941.html</v>
      </c>
      <c r="C5075" s="10" t="s">
        <v>5075</v>
      </c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>
      <c r="A5076" s="8">
        <v>9930.0</v>
      </c>
      <c r="B5076" s="9" t="str">
        <f>HYPERLINK("https://www.lazada.vn/products/20-cai-banh-pia-mini-dau-xanh-khong-trung-sieu-ngon-banh-keo-do-an-vat-dac-san-soc-trang-i2715217432.html", "https://www.lazada.vn/products/20-cai-banh-pia-mini-dau-xanh-khong-trung-sieu-ngon-banh-keo-do-an-vat-dac-san-soc-trang-i2715217432.html")</f>
        <v>https://www.lazada.vn/products/20-cai-banh-pia-mini-dau-xanh-khong-trung-sieu-ngon-banh-keo-do-an-vat-dac-san-soc-trang-i2715217432.html</v>
      </c>
      <c r="C5076" s="10" t="s">
        <v>5076</v>
      </c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>
      <c r="A5077" s="8">
        <v>9931.0</v>
      </c>
      <c r="B5077" s="9" t="str">
        <f>HYPERLINK("https://www.lazada.vn/products/banh-pia-mini-hop-10-cai-banh-keo-do-an-vat-dac-san-soc-trang-i2715214379.html", "https://www.lazada.vn/products/banh-pia-mini-hop-10-cai-banh-keo-do-an-vat-dac-san-soc-trang-i2715214379.html")</f>
        <v>https://www.lazada.vn/products/banh-pia-mini-hop-10-cai-banh-keo-do-an-vat-dac-san-soc-trang-i2715214379.html</v>
      </c>
      <c r="C5077" s="10" t="s">
        <v>5077</v>
      </c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>
      <c r="A5078" s="8">
        <v>9932.0</v>
      </c>
      <c r="B5078" s="9" t="str">
        <f>HYPERLINK("https://www.lazada.vn/products/banh-mochi-kem-sua-vi-bo-sua-sau-rieng-khoai-mon-banh-mochi-kem-lanh-phu-dua-beo-u-i2708950010.html", "https://www.lazada.vn/products/banh-mochi-kem-sua-vi-bo-sua-sau-rieng-khoai-mon-banh-mochi-kem-lanh-phu-dua-beo-u-i2708950010.html")</f>
        <v>https://www.lazada.vn/products/banh-mochi-kem-sua-vi-bo-sua-sau-rieng-khoai-mon-banh-mochi-kem-lanh-phu-dua-beo-u-i2708950010.html</v>
      </c>
      <c r="C5078" s="10" t="s">
        <v>5078</v>
      </c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>
      <c r="A5079" s="8">
        <v>9933.0</v>
      </c>
      <c r="B5079" s="9" t="str">
        <f>HYPERLINK("https://www.lazada.vn/products/bia-blanc-1664-thung-24-lon-i2949415278.html", "https://www.lazada.vn/products/bia-blanc-1664-thung-24-lon-i2949415278.html")</f>
        <v>https://www.lazada.vn/products/bia-blanc-1664-thung-24-lon-i2949415278.html</v>
      </c>
      <c r="C5079" s="10" t="s">
        <v>5079</v>
      </c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>
      <c r="A5080" s="8">
        <v>9934.0</v>
      </c>
      <c r="B5080" s="9" t="str">
        <f>HYPERLINK("https://www.lazada.vn/products/sabava-dried-frozen-strawberries-mangoes-peaches-snacks-healthy-dry-fruits-treats-dried-fruit-bag-38g-made-in-china-i2923594541.html", "https://www.lazada.vn/products/sabava-dried-frozen-strawberries-mangoes-peaches-snacks-healthy-dry-fruits-treats-dried-fruit-bag-38g-made-in-china-i2923594541.html")</f>
        <v>https://www.lazada.vn/products/sabava-dried-frozen-strawberries-mangoes-peaches-snacks-healthy-dry-fruits-treats-dried-fruit-bag-38g-made-in-china-i2923594541.html</v>
      </c>
      <c r="C5080" s="10" t="s">
        <v>5080</v>
      </c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>
      <c r="A5081" s="8">
        <v>9935.0</v>
      </c>
      <c r="B5081" s="9" t="str">
        <f>HYPERLINK("https://www.lazada.vn/products/tran-chau-gia-uy-2kg-ca-phe-i2413576139.html", "https://www.lazada.vn/products/tran-chau-gia-uy-2kg-ca-phe-i2413576139.html")</f>
        <v>https://www.lazada.vn/products/tran-chau-gia-uy-2kg-ca-phe-i2413576139.html</v>
      </c>
      <c r="C5081" s="10" t="s">
        <v>5081</v>
      </c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>
      <c r="A5082" s="8">
        <v>9936.0</v>
      </c>
      <c r="B5082" s="9" t="str">
        <f>HYPERLINK("https://www.lazada.vn/products/combo-12-coc-ly-my-tom-an-lien-hao-hao-handy-i1441490076.html", "https://www.lazada.vn/products/combo-12-coc-ly-my-tom-an-lien-hao-hao-handy-i1441490076.html")</f>
        <v>https://www.lazada.vn/products/combo-12-coc-ly-my-tom-an-lien-hao-hao-handy-i1441490076.html</v>
      </c>
      <c r="C5082" s="10" t="s">
        <v>5082</v>
      </c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>
      <c r="A5083" s="8">
        <v>9937.0</v>
      </c>
      <c r="B5083" s="9" t="str">
        <f>HYPERLINK("https://www.lazada.vn/products/hoa-toc-thung-24-lon-bia-kaiserin-special-cong-nghe-duc-i2948635276.html", "https://www.lazada.vn/products/hoa-toc-thung-24-lon-bia-kaiserin-special-cong-nghe-duc-i2948635276.html")</f>
        <v>https://www.lazada.vn/products/hoa-toc-thung-24-lon-bia-kaiserin-special-cong-nghe-duc-i2948635276.html</v>
      </c>
      <c r="C5083" s="10" t="s">
        <v>5083</v>
      </c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>
      <c r="A5084" s="8">
        <v>9938.0</v>
      </c>
      <c r="B5084" s="9" t="str">
        <f>HYPERLINK("https://www.lazada.vn/products/do-an-nhe-nhang-dried-strawberry-crumble-toppings-baking-snack-commercial-milk-tea-snow-cap-decorations-biscuit-cookies-snowflake-snacks-i2923592686.html", "https://www.lazada.vn/products/do-an-nhe-nhang-dried-strawberry-crumble-toppings-baking-snack-commercial-milk-tea-snow-cap-decorations-biscuit-cookies-snowflake-snacks-i2923592686.html")</f>
        <v>https://www.lazada.vn/products/do-an-nhe-nhang-dried-strawberry-crumble-toppings-baking-snack-commercial-milk-tea-snow-cap-decorations-biscuit-cookies-snowflake-snacks-i2923592686.html</v>
      </c>
      <c r="C5084" s="10" t="s">
        <v>5084</v>
      </c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>
      <c r="A5085" s="8">
        <v>9939.0</v>
      </c>
      <c r="B5085" s="9" t="str">
        <f>HYPERLINK("https://www.lazada.vn/products/tra-viet-quat-acai-berry-powder-tra-mam-xoi-thanh-loc-co-the-giup-giai-doc-giam-mo-mau-duy-tri-can-nang-mang-lai-dang-voc-can-doi-khoe-manh-i3037461738.html", "https://www.lazada.vn/products/tra-viet-quat-acai-berry-powder-tra-mam-xoi-thanh-loc-co-the-giup-giai-doc-giam-mo-mau-duy-tri-can-nang-mang-lai-dang-voc-can-doi-khoe-manh-i3037461738.html")</f>
        <v>https://www.lazada.vn/products/tra-viet-quat-acai-berry-powder-tra-mam-xoi-thanh-loc-co-the-giup-giai-doc-giam-mo-mau-duy-tri-can-nang-mang-lai-dang-voc-can-doi-khoe-manh-i3037461738.html</v>
      </c>
      <c r="C5085" s="10" t="s">
        <v>5085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>
      <c r="A5086" s="8">
        <v>9940.0</v>
      </c>
      <c r="B5086" s="9" t="str">
        <f>HYPERLINK("https://www.lazada.vn/products/coc-ly-my-tom-an-lien-hao-hao-coc-i1441426567.html", "https://www.lazada.vn/products/coc-ly-my-tom-an-lien-hao-hao-coc-i1441426567.html")</f>
        <v>https://www.lazada.vn/products/coc-ly-my-tom-an-lien-hao-hao-coc-i1441426567.html</v>
      </c>
      <c r="C5086" s="10" t="s">
        <v>5086</v>
      </c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>
      <c r="A5087" s="8">
        <v>9941.0</v>
      </c>
      <c r="B5087" s="9" t="str">
        <f>HYPERLINK("https://www.lazada.vn/products/ruou-nep-than-combo-mua-10-chai-tang-1-chai-gia-550k-i2948491291.html", "https://www.lazada.vn/products/ruou-nep-than-combo-mua-10-chai-tang-1-chai-gia-550k-i2948491291.html")</f>
        <v>https://www.lazada.vn/products/ruou-nep-than-combo-mua-10-chai-tang-1-chai-gia-550k-i2948491291.html</v>
      </c>
      <c r="C5087" s="10" t="s">
        <v>5087</v>
      </c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>
      <c r="A5088" s="8">
        <v>9942.0</v>
      </c>
      <c r="B5088" s="9" t="str">
        <f>HYPERLINK("https://www.lazada.vn/products/dragon-fruit-dried-red-heart-baking-coffee-frozen-dry-fruit-snack-nutritional-supplement-energy-bar-dried-fruit-bits-i2923591938.html", "https://www.lazada.vn/products/dragon-fruit-dried-red-heart-baking-coffee-frozen-dry-fruit-snack-nutritional-supplement-energy-bar-dried-fruit-bits-i2923591938.html")</f>
        <v>https://www.lazada.vn/products/dragon-fruit-dried-red-heart-baking-coffee-frozen-dry-fruit-snack-nutritional-supplement-energy-bar-dried-fruit-bits-i2923591938.html</v>
      </c>
      <c r="C5088" s="10" t="s">
        <v>5088</v>
      </c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>
      <c r="A5089" s="8">
        <v>9943.0</v>
      </c>
      <c r="B5089" s="9" t="str">
        <f>HYPERLINK("https://www.lazada.vn/products/dau-pho-mai-kho-five-zero-group-tumushuke-mua-dong-bao-bi-dried-fruit-snack-nuts-special-products-honey-dried-fruit-mix-i2923591579.html", "https://www.lazada.vn/products/dau-pho-mai-kho-five-zero-group-tumushuke-mua-dong-bao-bi-dried-fruit-snack-nuts-special-products-honey-dried-fruit-mix-i2923591579.html")</f>
        <v>https://www.lazada.vn/products/dau-pho-mai-kho-five-zero-group-tumushuke-mua-dong-bao-bi-dried-fruit-snack-nuts-special-products-honey-dried-fruit-mix-i2923591579.html</v>
      </c>
      <c r="C5089" s="10" t="s">
        <v>5089</v>
      </c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>
      <c r="A5090" s="8">
        <v>9944.0</v>
      </c>
      <c r="B5090" s="9" t="str">
        <f>HYPERLINK("https://www.lazada.vn/products/my-tom-siu-cay-moi-ra-hai-san-128g-le-goi-i1441361953.html", "https://www.lazada.vn/products/my-tom-siu-cay-moi-ra-hai-san-128g-le-goi-i1441361953.html")</f>
        <v>https://www.lazada.vn/products/my-tom-siu-cay-moi-ra-hai-san-128g-le-goi-i1441361953.html</v>
      </c>
      <c r="C5090" s="10" t="s">
        <v>5090</v>
      </c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>
      <c r="A5091" s="8">
        <v>9945.0</v>
      </c>
      <c r="B5091" s="9" t="str">
        <f>HYPERLINK("https://www.lazada.vn/products/bia-nguyen-chat-oettinger-bavarian-helles-500ml-i2945295289.html", "https://www.lazada.vn/products/bia-nguyen-chat-oettinger-bavarian-helles-500ml-i2945295289.html")</f>
        <v>https://www.lazada.vn/products/bia-nguyen-chat-oettinger-bavarian-helles-500ml-i2945295289.html</v>
      </c>
      <c r="C5091" s="10" t="s">
        <v>5091</v>
      </c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>
      <c r="A5092" s="8">
        <v>9946.0</v>
      </c>
      <c r="B5092" s="9" t="str">
        <f>HYPERLINK("https://www.lazada.vn/products/trehleone-village-yogurt-blocks-dried-fruit-flavored-solid-freeze-dried-childrens-fruit-snacks-strawberry-blueberry-yellow-peach-i2923590777.html", "https://www.lazada.vn/products/trehleone-village-yogurt-blocks-dried-fruit-flavored-solid-freeze-dried-childrens-fruit-snacks-strawberry-blueberry-yellow-peach-i2923590777.html")</f>
        <v>https://www.lazada.vn/products/trehleone-village-yogurt-blocks-dried-fruit-flavored-solid-freeze-dried-childrens-fruit-snacks-strawberry-blueberry-yellow-peach-i2923590777.html</v>
      </c>
      <c r="C5092" s="10" t="s">
        <v>5092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>
      <c r="A5093" s="8">
        <v>9947.0</v>
      </c>
      <c r="B5093" s="9" t="str">
        <f>HYPERLINK("https://www.lazada.vn/products/siro-vina-chai-nhua-750ml-nhieu-huong-vi-i2535495251.html", "https://www.lazada.vn/products/siro-vina-chai-nhua-750ml-nhieu-huong-vi-i2535495251.html")</f>
        <v>https://www.lazada.vn/products/siro-vina-chai-nhua-750ml-nhieu-huong-vi-i2535495251.html</v>
      </c>
      <c r="C5093" s="10" t="s">
        <v>5093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>
      <c r="A5094" s="8">
        <v>9948.0</v>
      </c>
      <c r="B5094" s="9" t="str">
        <f>HYPERLINK("https://www.lazada.vn/products/combo-5-banh-mi-nhan-kem-chay-vi-socola-sua-chua-yogurt-hang-aidebao-b153-chuyen-si-tpnk-i2643118955.html", "https://www.lazada.vn/products/combo-5-banh-mi-nhan-kem-chay-vi-socola-sua-chua-yogurt-hang-aidebao-b153-chuyen-si-tpnk-i2643118955.html")</f>
        <v>https://www.lazada.vn/products/combo-5-banh-mi-nhan-kem-chay-vi-socola-sua-chua-yogurt-hang-aidebao-b153-chuyen-si-tpnk-i2643118955.html</v>
      </c>
      <c r="C5094" s="10" t="s">
        <v>5094</v>
      </c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>
      <c r="A5095" s="8">
        <v>9949.0</v>
      </c>
      <c r="B5095" s="9" t="str">
        <f>HYPERLINK("https://www.lazada.vn/products/mo-ban-tra-la-nam-10-vi-giam-can-giam-mo-thua-mo-mau-mo-gan-15-am-dung-30-ngay-i3026936574.html", "https://www.lazada.vn/products/mo-ban-tra-la-nam-10-vi-giam-can-giam-mo-thua-mo-mau-mo-gan-15-am-dung-30-ngay-i3026936574.html")</f>
        <v>https://www.lazada.vn/products/mo-ban-tra-la-nam-10-vi-giam-can-giam-mo-thua-mo-mau-mo-gan-15-am-dung-30-ngay-i3026936574.html</v>
      </c>
      <c r="C5095" s="10" t="s">
        <v>5095</v>
      </c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>
      <c r="A5096" s="8">
        <v>9950.0</v>
      </c>
      <c r="B5096" s="9" t="str">
        <f>HYPERLINK("https://www.lazada.vn/products/tran-chau-douxian-goi-1kg-den-25-i2413559178.html", "https://www.lazada.vn/products/tran-chau-douxian-goi-1kg-den-25-i2413559178.html")</f>
        <v>https://www.lazada.vn/products/tran-chau-douxian-goi-1kg-den-25-i2413559178.html</v>
      </c>
      <c r="C5096" s="10" t="s">
        <v>5096</v>
      </c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>
      <c r="A5097" s="8">
        <v>9951.0</v>
      </c>
      <c r="B5097" s="9" t="str">
        <f>HYPERLINK("https://www.lazada.vn/products/bot-cacao-nguyen-chat-huu-co-dragon-superfoods-organic-cacao-powder-200gr-i2067961275.html", "https://www.lazada.vn/products/bot-cacao-nguyen-chat-huu-co-dragon-superfoods-organic-cacao-powder-200gr-i2067961275.html")</f>
        <v>https://www.lazada.vn/products/bot-cacao-nguyen-chat-huu-co-dragon-superfoods-organic-cacao-powder-200gr-i2067961275.html</v>
      </c>
      <c r="C5097" s="10" t="s">
        <v>5097</v>
      </c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>
      <c r="A5098" s="8">
        <v>9952.0</v>
      </c>
      <c r="B5098" s="9" t="str">
        <f>HYPERLINK("https://www.lazada.vn/products/banh-khoai-tay-2-huong-vi-sieu-gion-mong-jessica-cracker-potato-goi-238g-i2726466828.html", "https://www.lazada.vn/products/banh-khoai-tay-2-huong-vi-sieu-gion-mong-jessica-cracker-potato-goi-238g-i2726466828.html")</f>
        <v>https://www.lazada.vn/products/banh-khoai-tay-2-huong-vi-sieu-gion-mong-jessica-cracker-potato-goi-238g-i2726466828.html</v>
      </c>
      <c r="C5098" s="10" t="s">
        <v>5098</v>
      </c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>
      <c r="A5099" s="8">
        <v>9953.0</v>
      </c>
      <c r="B5099" s="9" t="str">
        <f>HYPERLINK("https://www.lazada.vn/products/loc-6chai-nuoc-ngot-siting-huong-dau-390ml-han-su-dung-luon-moi-i2452616711.html", "https://www.lazada.vn/products/loc-6chai-nuoc-ngot-siting-huong-dau-390ml-han-su-dung-luon-moi-i2452616711.html")</f>
        <v>https://www.lazada.vn/products/loc-6chai-nuoc-ngot-siting-huong-dau-390ml-han-su-dung-luon-moi-i2452616711.html</v>
      </c>
      <c r="C5099" s="10" t="s">
        <v>5099</v>
      </c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>
      <c r="A5100" s="8">
        <v>9954.0</v>
      </c>
      <c r="B5100" s="9" t="str">
        <f>HYPERLINK("https://www.lazada.vn/products/mi-han-quoc-koreno-jumbo-tui-1kg-10-goi-x-100g-mi-nau-4-phut-cay-7-cap-do-i2855822673.html", "https://www.lazada.vn/products/mi-han-quoc-koreno-jumbo-tui-1kg-10-goi-x-100g-mi-nau-4-phut-cay-7-cap-do-i2855822673.html")</f>
        <v>https://www.lazada.vn/products/mi-han-quoc-koreno-jumbo-tui-1kg-10-goi-x-100g-mi-nau-4-phut-cay-7-cap-do-i2855822673.html</v>
      </c>
      <c r="C5100" s="10" t="s">
        <v>5100</v>
      </c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>
      <c r="A5101" s="8">
        <v>9955.0</v>
      </c>
      <c r="B5101" s="9" t="str">
        <f>HYPERLINK("https://www.lazada.vn/products/vodka-ha-noi-94-lo-duc-35-500ml-i2737097425.html", "https://www.lazada.vn/products/vodka-ha-noi-94-lo-duc-35-500ml-i2737097425.html")</f>
        <v>https://www.lazada.vn/products/vodka-ha-noi-94-lo-duc-35-500ml-i2737097425.html</v>
      </c>
      <c r="C5101" s="10" t="s">
        <v>5101</v>
      </c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>
      <c r="A5102" s="8">
        <v>9956.0</v>
      </c>
      <c r="B5102" s="9" t="str">
        <f>HYPERLINK("https://www.lazada.vn/products/thung-12-hop-nuoc-vfresh-nho-ep-100-hop-giay-1l-i2768494668.html", "https://www.lazada.vn/products/thung-12-hop-nuoc-vfresh-nho-ep-100-hop-giay-1l-i2768494668.html")</f>
        <v>https://www.lazada.vn/products/thung-12-hop-nuoc-vfresh-nho-ep-100-hop-giay-1l-i2768494668.html</v>
      </c>
      <c r="C5102" s="10" t="s">
        <v>5102</v>
      </c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>
      <c r="A5103" s="8">
        <v>9957.0</v>
      </c>
      <c r="B5103" s="9" t="str">
        <f>HYPERLINK("https://www.lazada.vn/products/loc-6-chai-nuoc-bu-khoang-revive-500ml-i2457587382.html", "https://www.lazada.vn/products/loc-6-chai-nuoc-bu-khoang-revive-500ml-i2457587382.html")</f>
        <v>https://www.lazada.vn/products/loc-6-chai-nuoc-bu-khoang-revive-500ml-i2457587382.html</v>
      </c>
      <c r="C5103" s="10" t="s">
        <v>5103</v>
      </c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>
      <c r="A5104" s="8">
        <v>9958.0</v>
      </c>
      <c r="B5104" s="9" t="str">
        <f>HYPERLINK("https://www.lazada.vn/products/ruou-sake-nhat-tonokomachi-spark-type-h-i2392589199.html", "https://www.lazada.vn/products/ruou-sake-nhat-tonokomachi-spark-type-h-i2392589199.html")</f>
        <v>https://www.lazada.vn/products/ruou-sake-nhat-tonokomachi-spark-type-h-i2392589199.html</v>
      </c>
      <c r="C5104" s="10" t="s">
        <v>5104</v>
      </c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>
      <c r="A5105" s="8">
        <v>9959.0</v>
      </c>
      <c r="B5105" s="9" t="str">
        <f>HYPERLINK("https://www.lazada.vn/products/hang-tang-khong-ban-qua-tang-xin-deal-doc-quyen-viet-thai-organic-thuoc-day-coc-dong-bot-trai-cay-mgg-i2799073440.html", "https://www.lazada.vn/products/hang-tang-khong-ban-qua-tang-xin-deal-doc-quyen-viet-thai-organic-thuoc-day-coc-dong-bot-trai-cay-mgg-i2799073440.html")</f>
        <v>https://www.lazada.vn/products/hang-tang-khong-ban-qua-tang-xin-deal-doc-quyen-viet-thai-organic-thuoc-day-coc-dong-bot-trai-cay-mgg-i2799073440.html</v>
      </c>
      <c r="C5105" s="10" t="s">
        <v>5105</v>
      </c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>
      <c r="A5106" s="8">
        <v>9960.0</v>
      </c>
      <c r="B5106" s="9" t="str">
        <f>HYPERLINK("https://www.lazada.vn/products/ca-phe-sua-g7-3in1-hop-336g-21-goi-x-16g-i2689427140.html", "https://www.lazada.vn/products/ca-phe-sua-g7-3in1-hop-336g-21-goi-x-16g-i2689427140.html")</f>
        <v>https://www.lazada.vn/products/ca-phe-sua-g7-3in1-hop-336g-21-goi-x-16g-i2689427140.html</v>
      </c>
      <c r="C5106" s="10" t="s">
        <v>5106</v>
      </c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>
      <c r="A5107" s="8">
        <v>9961.0</v>
      </c>
      <c r="B5107" s="9" t="str">
        <f>HYPERLINK("https://www.lazada.vn/products/tang-kem-tui-gel-da-lanhcombo-2-thanh-x-35g-socola-frestables-peanut-butter-mr-beast-my-bo-dau-phong-chocolate-mrbeast-i2916308423.html", "https://www.lazada.vn/products/tang-kem-tui-gel-da-lanhcombo-2-thanh-x-35g-socola-frestables-peanut-butter-mr-beast-my-bo-dau-phong-chocolate-mrbeast-i2916308423.html")</f>
        <v>https://www.lazada.vn/products/tang-kem-tui-gel-da-lanhcombo-2-thanh-x-35g-socola-frestables-peanut-butter-mr-beast-my-bo-dau-phong-chocolate-mrbeast-i2916308423.html</v>
      </c>
      <c r="C5107" s="10" t="s">
        <v>5107</v>
      </c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>
      <c r="A5108" s="8">
        <v>9962.0</v>
      </c>
      <c r="B5108" s="9" t="str">
        <f>HYPERLINK("https://www.lazada.vn/products/vang-chile-mendez-cabernet-saivignon-i2633211810.html", "https://www.lazada.vn/products/vang-chile-mendez-cabernet-saivignon-i2633211810.html")</f>
        <v>https://www.lazada.vn/products/vang-chile-mendez-cabernet-saivignon-i2633211810.html</v>
      </c>
      <c r="C5108" s="10" t="s">
        <v>5108</v>
      </c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>
      <c r="A5109" s="8">
        <v>9963.0</v>
      </c>
      <c r="B5109" s="9" t="str">
        <f>HYPERLINK("https://www.lazada.vn/products/banh-trang-phoi-suong-muoi-sac-nha-hyhy-combo-19k5-bich-do-an-vat-snacks-cay-food-thuc-an-i2510075877.html", "https://www.lazada.vn/products/banh-trang-phoi-suong-muoi-sac-nha-hyhy-combo-19k5-bich-do-an-vat-snacks-cay-food-thuc-an-i2510075877.html")</f>
        <v>https://www.lazada.vn/products/banh-trang-phoi-suong-muoi-sac-nha-hyhy-combo-19k5-bich-do-an-vat-snacks-cay-food-thuc-an-i2510075877.html</v>
      </c>
      <c r="C5109" s="10" t="s">
        <v>5109</v>
      </c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>
      <c r="A5110" s="8">
        <v>9964.0</v>
      </c>
      <c r="B5110" s="9" t="str">
        <f>HYPERLINK("https://www.lazada.vn/products/banh-que-pocky-tra-xanh-green-tea-matcha-flavor-hop-35g-xanh-i1608169720.html", "https://www.lazada.vn/products/banh-que-pocky-tra-xanh-green-tea-matcha-flavor-hop-35g-xanh-i1608169720.html")</f>
        <v>https://www.lazada.vn/products/banh-que-pocky-tra-xanh-green-tea-matcha-flavor-hop-35g-xanh-i1608169720.html</v>
      </c>
      <c r="C5110" s="10" t="s">
        <v>5110</v>
      </c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>
      <c r="A5111" s="8">
        <v>9965.0</v>
      </c>
      <c r="B5111" s="9" t="str">
        <f>HYPERLINK("https://www.lazada.vn/products/beer-craft-combo-nguyen-vat-lieu-nau-bia-brewferm-luxe-pils-tiep-i1056262150.html", "https://www.lazada.vn/products/beer-craft-combo-nguyen-vat-lieu-nau-bia-brewferm-luxe-pils-tiep-i1056262150.html")</f>
        <v>https://www.lazada.vn/products/beer-craft-combo-nguyen-vat-lieu-nau-bia-brewferm-luxe-pils-tiep-i1056262150.html</v>
      </c>
      <c r="C5111" s="10" t="s">
        <v>5111</v>
      </c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>
      <c r="A5112" s="8">
        <v>9966.0</v>
      </c>
      <c r="B5112" s="9" t="str">
        <f>HYPERLINK("https://www.lazada.vn/products/chinesefoodcombo-tong-hop-chan-ga-chan-vit-canh-vit-dui-vit-hot-hit-i1738028280.html", "https://www.lazada.vn/products/chinesefoodcombo-tong-hop-chan-ga-chan-vit-canh-vit-dui-vit-hot-hit-i1738028280.html")</f>
        <v>https://www.lazada.vn/products/chinesefoodcombo-tong-hop-chan-ga-chan-vit-canh-vit-dui-vit-hot-hit-i1738028280.html</v>
      </c>
      <c r="C5112" s="10" t="s">
        <v>5112</v>
      </c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>
      <c r="A5113" s="8">
        <v>9967.0</v>
      </c>
      <c r="B5113" s="9" t="str">
        <f>HYPERLINK("https://www.lazada.vn/products/o-mai-ha-noi-omai-mo-chua-man-ngot-200g-o-mai-tien-thinh-i2585498778.html", "https://www.lazada.vn/products/o-mai-ha-noi-omai-mo-chua-man-ngot-200g-o-mai-tien-thinh-i2585498778.html")</f>
        <v>https://www.lazada.vn/products/o-mai-ha-noi-omai-mo-chua-man-ngot-200g-o-mai-tien-thinh-i2585498778.html</v>
      </c>
      <c r="C5113" s="10" t="s">
        <v>5113</v>
      </c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>
      <c r="A5114" s="8">
        <v>9968.0</v>
      </c>
      <c r="B5114" s="9" t="str">
        <f>HYPERLINK("https://www.lazada.vn/products/coop-online-bia-sai-gon-lager-lon-330ml-i2944038699.html", "https://www.lazada.vn/products/coop-online-bia-sai-gon-lager-lon-330ml-i2944038699.html")</f>
        <v>https://www.lazada.vn/products/coop-online-bia-sai-gon-lager-lon-330ml-i2944038699.html</v>
      </c>
      <c r="C5114" s="10" t="s">
        <v>5114</v>
      </c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>
      <c r="A5115" s="8">
        <v>9969.0</v>
      </c>
      <c r="B5115" s="9" t="str">
        <f>HYPERLINK("https://www.lazada.vn/products/combo-10-goi-my-tom-siu-kay-moi-ra-hai-san-128g-co-2-vi-giao-bat-ky-i1441357683.html", "https://www.lazada.vn/products/combo-10-goi-my-tom-siu-kay-moi-ra-hai-san-128g-co-2-vi-giao-bat-ky-i1441357683.html")</f>
        <v>https://www.lazada.vn/products/combo-10-goi-my-tom-siu-kay-moi-ra-hai-san-128g-co-2-vi-giao-bat-ky-i1441357683.html</v>
      </c>
      <c r="C5115" s="10" t="s">
        <v>5115</v>
      </c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>
      <c r="A5116" s="8">
        <v>9970.0</v>
      </c>
      <c r="B5116" s="9" t="str">
        <f>HYPERLINK("https://www.lazada.vn/products/tra-sua-chua-kho-lanh-tianlu-apple-dried-fruit-snack-20gbag-snack-giai-tri-cho-phu-nu-mang-thai-va-tre-em-hop-dung-nhieu-loai-i2923588832.html", "https://www.lazada.vn/products/tra-sua-chua-kho-lanh-tianlu-apple-dried-fruit-snack-20gbag-snack-giai-tri-cho-phu-nu-mang-thai-va-tre-em-hop-dung-nhieu-loai-i2923588832.html")</f>
        <v>https://www.lazada.vn/products/tra-sua-chua-kho-lanh-tianlu-apple-dried-fruit-snack-20gbag-snack-giai-tri-cho-phu-nu-mang-thai-va-tre-em-hop-dung-nhieu-loai-i2923588832.html</v>
      </c>
      <c r="C5116" s="10" t="s">
        <v>5116</v>
      </c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>
      <c r="A5117" s="8">
        <v>9971.0</v>
      </c>
      <c r="B5117" s="9" t="str">
        <f>HYPERLINK("https://www.lazada.vn/products/mam-nem-mien-trung-700gr-i1944079121.html", "https://www.lazada.vn/products/mam-nem-mien-trung-700gr-i1944079121.html")</f>
        <v>https://www.lazada.vn/products/mam-nem-mien-trung-700gr-i1944079121.html</v>
      </c>
      <c r="C5117" s="10" t="s">
        <v>5117</v>
      </c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>
      <c r="A5118" s="8">
        <v>9972.0</v>
      </c>
      <c r="B5118" s="9" t="str">
        <f>HYPERLINK("https://www.lazada.vn/products/my-tom-siu-kay-moi-ra-hai-san-1-thung-24-goi-x128g-i1441286986.html", "https://www.lazada.vn/products/my-tom-siu-kay-moi-ra-hai-san-1-thung-24-goi-x128g-i1441286986.html")</f>
        <v>https://www.lazada.vn/products/my-tom-siu-kay-moi-ra-hai-san-1-thung-24-goi-x128g-i1441286986.html</v>
      </c>
      <c r="C5118" s="10" t="s">
        <v>5118</v>
      </c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>
      <c r="A5119" s="8">
        <v>9973.0</v>
      </c>
      <c r="B5119" s="9" t="str">
        <f>HYPERLINK("https://www.lazada.vn/products/thung-1kg-banh-mi-nhan-kem-chay-vi-socola-sua-chua-yogurt-hang-aidebao-khoang-14-15-banh-b153-store-gia-ngan-i2642201219.html", "https://www.lazada.vn/products/thung-1kg-banh-mi-nhan-kem-chay-vi-socola-sua-chua-yogurt-hang-aidebao-khoang-14-15-banh-b153-store-gia-ngan-i2642201219.html")</f>
        <v>https://www.lazada.vn/products/thung-1kg-banh-mi-nhan-kem-chay-vi-socola-sua-chua-yogurt-hang-aidebao-khoang-14-15-banh-b153-store-gia-ngan-i2642201219.html</v>
      </c>
      <c r="C5119" s="10" t="s">
        <v>5119</v>
      </c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>
      <c r="A5120" s="8">
        <v>9974.0</v>
      </c>
      <c r="B5120" s="9" t="str">
        <f>HYPERLINK("https://www.lazada.vn/products/chinesefoodcombo-10-vien-bo-chay-tam-vien-sieu-ngon-sieu-hot-hang-san-i1738026354.html", "https://www.lazada.vn/products/chinesefoodcombo-10-vien-bo-chay-tam-vien-sieu-ngon-sieu-hot-hang-san-i1738026354.html")</f>
        <v>https://www.lazada.vn/products/chinesefoodcombo-10-vien-bo-chay-tam-vien-sieu-ngon-sieu-hot-hang-san-i1738026354.html</v>
      </c>
      <c r="C5120" s="10" t="s">
        <v>5120</v>
      </c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>
      <c r="A5121" s="8">
        <v>9975.0</v>
      </c>
      <c r="B5121" s="9" t="str">
        <f>HYPERLINK("https://www.lazada.vn/products/ghe-sua-tam-vi-sot-sate-mat-ong-cay-gion-hop-320gr-i1934023367.html", "https://www.lazada.vn/products/ghe-sua-tam-vi-sot-sate-mat-ong-cay-gion-hop-320gr-i1934023367.html")</f>
        <v>https://www.lazada.vn/products/ghe-sua-tam-vi-sot-sate-mat-ong-cay-gion-hop-320gr-i1934023367.html</v>
      </c>
      <c r="C5121" s="10" t="s">
        <v>5121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>
      <c r="A5122" s="8">
        <v>9976.0</v>
      </c>
      <c r="B5122" s="9" t="str">
        <f>HYPERLINK("https://www.lazada.vn/products/pack-6-chai-abbaye-330ml-6-loai-kem-1-ly-i2943064561.html", "https://www.lazada.vn/products/pack-6-chai-abbaye-330ml-6-loai-kem-1-ly-i2943064561.html")</f>
        <v>https://www.lazada.vn/products/pack-6-chai-abbaye-330ml-6-loai-kem-1-ly-i2943064561.html</v>
      </c>
      <c r="C5122" s="10" t="s">
        <v>5122</v>
      </c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>
      <c r="A5123" s="8">
        <v>9977.0</v>
      </c>
      <c r="B5123" s="9" t="str">
        <f>HYPERLINK("https://www.lazada.vn/products/thuan-phat-hu-do-250g-sa-te-tom-ngon-shrimp-satay-i3036266613.html", "https://www.lazada.vn/products/thuan-phat-hu-do-250g-sa-te-tom-ngon-shrimp-satay-i3036266613.html")</f>
        <v>https://www.lazada.vn/products/thuan-phat-hu-do-250g-sa-te-tom-ngon-shrimp-satay-i3036266613.html</v>
      </c>
      <c r="C5123" s="10" t="s">
        <v>5123</v>
      </c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>
      <c r="A5124" s="8">
        <v>9978.0</v>
      </c>
      <c r="B5124" s="9" t="str">
        <f>HYPERLINK("https://www.lazada.vn/products/ruou-vang-nhap-khau-vang-do-ruou-vang-phap-calvet-varietal-merlot-750ml-14-i2633003588.html", "https://www.lazada.vn/products/ruou-vang-nhap-khau-vang-do-ruou-vang-phap-calvet-varietal-merlot-750ml-14-i2633003588.html")</f>
        <v>https://www.lazada.vn/products/ruou-vang-nhap-khau-vang-do-ruou-vang-phap-calvet-varietal-merlot-750ml-14-i2633003588.html</v>
      </c>
      <c r="C5124" s="10" t="s">
        <v>5124</v>
      </c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>
      <c r="A5125" s="8">
        <v>9979.0</v>
      </c>
      <c r="B5125" s="9" t="str">
        <f>HYPERLINK("https://www.lazada.vn/products/thung-1kg-banh-mi-nhan-kem-chay-vi-socola-sua-chua-yogurt-hang-aidebao-khoang-14-15-banh-b153-beegin-food-store-i2641583026.html", "https://www.lazada.vn/products/thung-1kg-banh-mi-nhan-kem-chay-vi-socola-sua-chua-yogurt-hang-aidebao-khoang-14-15-banh-b153-beegin-food-store-i2641583026.html")</f>
        <v>https://www.lazada.vn/products/thung-1kg-banh-mi-nhan-kem-chay-vi-socola-sua-chua-yogurt-hang-aidebao-khoang-14-15-banh-b153-beegin-food-store-i2641583026.html</v>
      </c>
      <c r="C5125" s="10" t="s">
        <v>5125</v>
      </c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>
      <c r="A5126" s="8">
        <v>9980.0</v>
      </c>
      <c r="B5126" s="9" t="str">
        <f>HYPERLINK("https://www.lazada.vn/products/keo-socola-gau-nga-joyco-150g-i2916248083.html", "https://www.lazada.vn/products/keo-socola-gau-nga-joyco-150g-i2916248083.html")</f>
        <v>https://www.lazada.vn/products/keo-socola-gau-nga-joyco-150g-i2916248083.html</v>
      </c>
      <c r="C5126" s="10" t="s">
        <v>5126</v>
      </c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>
      <c r="A5127" s="8">
        <v>9981.0</v>
      </c>
      <c r="B5127" s="9" t="str">
        <f>HYPERLINK("https://www.lazada.vn/products/hcm-bot-cacao-sua-swiss-miss-milk-chocolate-my-i2798270152.html", "https://www.lazada.vn/products/hcm-bot-cacao-sua-swiss-miss-milk-chocolate-my-i2798270152.html")</f>
        <v>https://www.lazada.vn/products/hcm-bot-cacao-sua-swiss-miss-milk-chocolate-my-i2798270152.html</v>
      </c>
      <c r="C5127" s="10" t="s">
        <v>5127</v>
      </c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>
      <c r="A5128" s="8">
        <v>9982.0</v>
      </c>
      <c r="B5128" s="9" t="str">
        <f>HYPERLINK("https://www.lazada.vn/products/tran-chau-gia-uy-2kg-duong-den-i2413507272.html", "https://www.lazada.vn/products/tran-chau-gia-uy-2kg-duong-den-i2413507272.html")</f>
        <v>https://www.lazada.vn/products/tran-chau-gia-uy-2kg-duong-den-i2413507272.html</v>
      </c>
      <c r="C5128" s="10" t="s">
        <v>5128</v>
      </c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>
      <c r="A5129" s="8">
        <v>9983.0</v>
      </c>
      <c r="B5129" s="9" t="str">
        <f>HYPERLINK("https://www.lazada.vn/products/combo-5-bich-ca-phe-sua-good-morning-tran-quang-3in1-bich-24-goi-x-20g-i2689399126.html", "https://www.lazada.vn/products/combo-5-bich-ca-phe-sua-good-morning-tran-quang-3in1-bich-24-goi-x-20g-i2689399126.html")</f>
        <v>https://www.lazada.vn/products/combo-5-bich-ca-phe-sua-good-morning-tran-quang-3in1-bich-24-goi-x-20g-i2689399126.html</v>
      </c>
      <c r="C5129" s="10" t="s">
        <v>5129</v>
      </c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>
      <c r="A5130" s="8">
        <v>9984.0</v>
      </c>
      <c r="B5130" s="9" t="str">
        <f>HYPERLINK("https://www.lazada.vn/products/1-kg-banh-trang-muoi-nhuyen-xi-ke-toi-sieu-nghien-hut-chan-khong-do-an-vat-an-vat-sieu-ngon-cang-an-cang-ghien-i2507835019.html", "https://www.lazada.vn/products/1-kg-banh-trang-muoi-nhuyen-xi-ke-toi-sieu-nghien-hut-chan-khong-do-an-vat-an-vat-sieu-ngon-cang-an-cang-ghien-i2507835019.html")</f>
        <v>https://www.lazada.vn/products/1-kg-banh-trang-muoi-nhuyen-xi-ke-toi-sieu-nghien-hut-chan-khong-do-an-vat-an-vat-sieu-ngon-cang-an-cang-ghien-i2507835019.html</v>
      </c>
      <c r="C5130" s="10" t="s">
        <v>5130</v>
      </c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>
      <c r="A5131" s="8">
        <v>9985.0</v>
      </c>
      <c r="B5131" s="9" t="str">
        <f>HYPERLINK("https://www.lazada.vn/products/vodka-ha-noi-94-lo-duc-25-500ml-i2737054568.html", "https://www.lazada.vn/products/vodka-ha-noi-94-lo-duc-25-500ml-i2737054568.html")</f>
        <v>https://www.lazada.vn/products/vodka-ha-noi-94-lo-duc-25-500ml-i2737054568.html</v>
      </c>
      <c r="C5131" s="10" t="s">
        <v>5131</v>
      </c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>
      <c r="A5132" s="8">
        <v>9986.0</v>
      </c>
      <c r="B5132" s="9" t="str">
        <f>HYPERLINK("https://www.lazada.vn/products/banh-qui-ok-thai-lan-xanh-da-troi-vi-sua-59k-goi-12-thanh-i1607264258.html", "https://www.lazada.vn/products/banh-qui-ok-thai-lan-xanh-da-troi-vi-sua-59k-goi-12-thanh-i1607264258.html")</f>
        <v>https://www.lazada.vn/products/banh-qui-ok-thai-lan-xanh-da-troi-vi-sua-59k-goi-12-thanh-i1607264258.html</v>
      </c>
      <c r="C5132" s="10" t="s">
        <v>5132</v>
      </c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>
      <c r="A5133" s="8">
        <v>9987.0</v>
      </c>
      <c r="B5133" s="9" t="str">
        <f>HYPERLINK("https://www.lazada.vn/products/chinh-hang-thach-gac-huou-non-deerpang-noi-dia-han-quoc-cho-be-tren-1-tuoi-an-ngon-ngu-ngon-120ml-tui-i2842420106.html", "https://www.lazada.vn/products/chinh-hang-thach-gac-huou-non-deerpang-noi-dia-han-quoc-cho-be-tren-1-tuoi-an-ngon-ngu-ngon-120ml-tui-i2842420106.html")</f>
        <v>https://www.lazada.vn/products/chinh-hang-thach-gac-huou-non-deerpang-noi-dia-han-quoc-cho-be-tren-1-tuoi-an-ngon-ngu-ngon-120ml-tui-i2842420106.html</v>
      </c>
      <c r="C5133" s="10" t="s">
        <v>5133</v>
      </c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>
      <c r="A5134" s="8">
        <v>9988.0</v>
      </c>
      <c r="B5134" s="9" t="str">
        <f>HYPERLINK("https://www.lazada.vn/products/ruou-sake-nhat-yumenokanade-junmai-daiginjo-180ml-i2392589133.html", "https://www.lazada.vn/products/ruou-sake-nhat-yumenokanade-junmai-daiginjo-180ml-i2392589133.html")</f>
        <v>https://www.lazada.vn/products/ruou-sake-nhat-yumenokanade-junmai-daiginjo-180ml-i2392589133.html</v>
      </c>
      <c r="C5134" s="10" t="s">
        <v>5134</v>
      </c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>
      <c r="A5135" s="8">
        <v>9989.0</v>
      </c>
      <c r="B5135" s="9" t="str">
        <f>HYPERLINK("https://www.lazada.vn/products/snack-versele-50g-x-6-goi-laga-crock-complete-danh-cho-hamster-tho-bo-chinchilla-soc-day-du-full-cac-vi-nhap-bi-i2723135726.html", "https://www.lazada.vn/products/snack-versele-50g-x-6-goi-laga-crock-complete-danh-cho-hamster-tho-bo-chinchilla-soc-day-du-full-cac-vi-nhap-bi-i2723135726.html")</f>
        <v>https://www.lazada.vn/products/snack-versele-50g-x-6-goi-laga-crock-complete-danh-cho-hamster-tho-bo-chinchilla-soc-day-du-full-cac-vi-nhap-bi-i2723135726.html</v>
      </c>
      <c r="C5135" s="10" t="s">
        <v>5135</v>
      </c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>
      <c r="A5136" s="8">
        <v>9990.0</v>
      </c>
      <c r="B5136" s="9" t="str">
        <f>HYPERLINK("https://www.lazada.vn/products/loc-6chai-nuoc-ngot-7up-390ml-dam-da-thom-ngon-dung-vi-chanh-la-nuoc-giai-khac-bat-tung-nang-luong-cho-mot-ngay-moi-nang-dong-trong-cong-viec-uong-lanh-ngon-tuyet-dinh-han-su-dung-luon-moi-i2456556714.html", "https://www.lazada.vn/products/loc-6chai-nuoc-ngot-7up-390ml-dam-da-thom-ngon-dung-vi-chanh-la-nuoc-giai-khac-bat-tung-nang-luong-cho-mot-ngay-moi-nang-dong-trong-cong-viec-uong-lanh-ngon-tuyet-dinh-han-su-dung-luon-moi-i2456556714.html")</f>
        <v>https://www.lazada.vn/products/loc-6chai-nuoc-ngot-7up-390ml-dam-da-thom-ngon-dung-vi-chanh-la-nuoc-giai-khac-bat-tung-nang-luong-cho-mot-ngay-moi-nang-dong-trong-cong-viec-uong-lanh-ngon-tuyet-dinh-han-su-dung-luon-moi-i2456556714.html</v>
      </c>
      <c r="C5136" s="10" t="s">
        <v>5136</v>
      </c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>
      <c r="A5137" s="8">
        <v>9991.0</v>
      </c>
      <c r="B5137" s="9" t="str">
        <f>HYPERLINK("https://www.lazada.vn/products/2-hop-nuoc-vfresh-dao-ep-necta-hop-giay-1l-i2768463286.html", "https://www.lazada.vn/products/2-hop-nuoc-vfresh-dao-ep-necta-hop-giay-1l-i2768463286.html")</f>
        <v>https://www.lazada.vn/products/2-hop-nuoc-vfresh-dao-ep-necta-hop-giay-1l-i2768463286.html</v>
      </c>
      <c r="C5137" s="10" t="s">
        <v>5137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>
      <c r="A5138" s="8">
        <v>9992.0</v>
      </c>
      <c r="B5138" s="9" t="str">
        <f>HYPERLINK("https://www.lazada.vn/products/combo-10-goi-chao-gau-do-vi-gathit-bam-50ggoi-i2855735779.html", "https://www.lazada.vn/products/combo-10-goi-chao-gau-do-vi-gathit-bam-50ggoi-i2855735779.html")</f>
        <v>https://www.lazada.vn/products/combo-10-goi-chao-gau-do-vi-gathit-bam-50ggoi-i2855735779.html</v>
      </c>
      <c r="C5138" s="10" t="s">
        <v>5138</v>
      </c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>
      <c r="A5139" s="8">
        <v>9993.0</v>
      </c>
      <c r="B5139" s="9" t="str">
        <f>HYPERLINK("https://www.lazada.vn/products/tien-thao-chi-bot-ca-cao-linh-chi-nhan-sam-hop-15-goi-chinh-hang-viet-nam-i2064180094.html", "https://www.lazada.vn/products/tien-thao-chi-bot-ca-cao-linh-chi-nhan-sam-hop-15-goi-chinh-hang-viet-nam-i2064180094.html")</f>
        <v>https://www.lazada.vn/products/tien-thao-chi-bot-ca-cao-linh-chi-nhan-sam-hop-15-goi-chinh-hang-viet-nam-i2064180094.html</v>
      </c>
      <c r="C5139" s="10" t="s">
        <v>5139</v>
      </c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>
      <c r="A5140" s="8">
        <v>9994.0</v>
      </c>
      <c r="B5140" s="9" t="str">
        <f>HYPERLINK("https://www.lazada.vn/products/chinesefoodnuoc-sua-chua-anh-dep-trai-vi-dau-dao-sieu-hot-i1738025321.html", "https://www.lazada.vn/products/chinesefoodnuoc-sua-chua-anh-dep-trai-vi-dau-dao-sieu-hot-i1738025321.html")</f>
        <v>https://www.lazada.vn/products/chinesefoodnuoc-sua-chua-anh-dep-trai-vi-dau-dao-sieu-hot-i1738025321.html</v>
      </c>
      <c r="C5140" s="10" t="s">
        <v>5140</v>
      </c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>
      <c r="A5141" s="8">
        <v>9995.0</v>
      </c>
      <c r="B5141" s="9" t="str">
        <f>HYPERLINK("https://www.lazada.vn/products/nuoc-co-gas-sangaria-ramu-bottle-500ml-nhieu-loai-i2452151104.html", "https://www.lazada.vn/products/nuoc-co-gas-sangaria-ramu-bottle-500ml-nhieu-loai-i2452151104.html")</f>
        <v>https://www.lazada.vn/products/nuoc-co-gas-sangaria-ramu-bottle-500ml-nhieu-loai-i2452151104.html</v>
      </c>
      <c r="C5141" s="10" t="s">
        <v>5141</v>
      </c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>
      <c r="A5142" s="8">
        <v>9996.0</v>
      </c>
      <c r="B5142" s="9" t="str">
        <f>HYPERLINK("https://www.lazada.vn/products/mao-dai-quy-chau-cao-cap-phithien-1binh500ml-i2534855808.html", "https://www.lazada.vn/products/mao-dai-quy-chau-cao-cap-phithien-1binh500ml-i2534855808.html")</f>
        <v>https://www.lazada.vn/products/mao-dai-quy-chau-cao-cap-phithien-1binh500ml-i2534855808.html</v>
      </c>
      <c r="C5142" s="10" t="s">
        <v>5142</v>
      </c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>
      <c r="A5143" s="8">
        <v>9997.0</v>
      </c>
      <c r="B5143" s="9" t="str">
        <f>HYPERLINK("https://www.lazada.vn/products/beer-craft-combo-nguyen-vat-lieu-nau-bia-oktoberfest-i1056218769.html", "https://www.lazada.vn/products/beer-craft-combo-nguyen-vat-lieu-nau-bia-oktoberfest-i1056218769.html")</f>
        <v>https://www.lazada.vn/products/beer-craft-combo-nguyen-vat-lieu-nau-bia-oktoberfest-i1056218769.html</v>
      </c>
      <c r="C5143" s="10" t="s">
        <v>5143</v>
      </c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>
      <c r="A5144" s="8">
        <v>9998.0</v>
      </c>
      <c r="B5144" s="9" t="str">
        <f>HYPERLINK("https://www.lazada.vn/products/dau-do-dong-kho-dried-strawberry-va-dried-winter-date-frozen-food-snack-cong-so-individually-packaged-children-business-use-i2923588505.html", "https://www.lazada.vn/products/dau-do-dong-kho-dried-strawberry-va-dried-winter-date-frozen-food-snack-cong-so-individually-packaged-children-business-use-i2923588505.html")</f>
        <v>https://www.lazada.vn/products/dau-do-dong-kho-dried-strawberry-va-dried-winter-date-frozen-food-snack-cong-so-individually-packaged-children-business-use-i2923588505.html</v>
      </c>
      <c r="C5144" s="10" t="s">
        <v>5144</v>
      </c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>
      <c r="A5145" s="8">
        <v>9999.0</v>
      </c>
      <c r="B5145" s="9" t="str">
        <f>HYPERLINK("https://www.lazada.vn/products/my-tom-an-lien-hao-hao-chua-cay-moi-ra-85g-1-thung-16-goi-i1440006256.html", "https://www.lazada.vn/products/my-tom-an-lien-hao-hao-chua-cay-moi-ra-85g-1-thung-16-goi-i1440006256.html")</f>
        <v>https://www.lazada.vn/products/my-tom-an-lien-hao-hao-chua-cay-moi-ra-85g-1-thung-16-goi-i1440006256.html</v>
      </c>
      <c r="C5145" s="10" t="s">
        <v>5145</v>
      </c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>
      <c r="A5146" s="8">
        <v>10000.0</v>
      </c>
      <c r="B5146" s="9" t="str">
        <f>HYPERLINK("https://www.lazada.vn/products/vissan-hop-150g-heo-ham-chay-vegan-stewed-pork-i3036263660.html", "https://www.lazada.vn/products/vissan-hop-150g-heo-ham-chay-vegan-stewed-pork-i3036263660.html")</f>
        <v>https://www.lazada.vn/products/vissan-hop-150g-heo-ham-chay-vegan-stewed-pork-i3036263660.html</v>
      </c>
      <c r="C5146" s="10" t="s">
        <v>5146</v>
      </c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>
      <c r="A5147" s="8">
        <v>10001.0</v>
      </c>
      <c r="B5147" s="9" t="str">
        <f>HYPERLINK("https://www.lazada.vn/products/pack-6-chai-abbaye-330ml-6-loai-kem-1-ly-i2942981550.html", "https://www.lazada.vn/products/pack-6-chai-abbaye-330ml-6-loai-kem-1-ly-i2942981550.html")</f>
        <v>https://www.lazada.vn/products/pack-6-chai-abbaye-330ml-6-loai-kem-1-ly-i2942981550.html</v>
      </c>
      <c r="C5147" s="10" t="s">
        <v>5147</v>
      </c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>
      <c r="A5148" s="8">
        <v>10002.0</v>
      </c>
      <c r="B5148" s="9" t="str">
        <f>HYPERLINK("https://www.lazada.vn/products/nui-lac-kho-bo-la-chanh-hu-pet-300g-i1932214021.html", "https://www.lazada.vn/products/nui-lac-kho-bo-la-chanh-hu-pet-300g-i1932214021.html")</f>
        <v>https://www.lazada.vn/products/nui-lac-kho-bo-la-chanh-hu-pet-300g-i1932214021.html</v>
      </c>
      <c r="C5148" s="10" t="s">
        <v>5148</v>
      </c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>
      <c r="A5149" s="8">
        <v>10003.0</v>
      </c>
      <c r="B5149" s="9" t="str">
        <f>HYPERLINK("https://www.lazada.vn/products/thung-1kg-khoang-14-15cbanh-mi-nhan-kem-chay-vi-socola-sua-chua-yogurt-hang-aidebao-b153-an-vat-beegin-i2641549111.html", "https://www.lazada.vn/products/thung-1kg-khoang-14-15cbanh-mi-nhan-kem-chay-vi-socola-sua-chua-yogurt-hang-aidebao-b153-an-vat-beegin-i2641549111.html")</f>
        <v>https://www.lazada.vn/products/thung-1kg-khoang-14-15cbanh-mi-nhan-kem-chay-vi-socola-sua-chua-yogurt-hang-aidebao-b153-an-vat-beegin-i2641549111.html</v>
      </c>
      <c r="C5149" s="10" t="s">
        <v>5149</v>
      </c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>
      <c r="A5150" s="8">
        <v>10004.0</v>
      </c>
      <c r="B5150" s="9" t="str">
        <f>HYPERLINK("https://www.lazada.vn/products/vang-moody-press-cellars-cabernet-sauvignon-i2630968075.html", "https://www.lazada.vn/products/vang-moody-press-cellars-cabernet-sauvignon-i2630968075.html")</f>
        <v>https://www.lazada.vn/products/vang-moody-press-cellars-cabernet-sauvignon-i2630968075.html</v>
      </c>
      <c r="C5150" s="10" t="s">
        <v>5150</v>
      </c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>
      <c r="A5151" s="8">
        <v>10005.0</v>
      </c>
      <c r="B5151" s="9" t="str">
        <f>HYPERLINK("https://www.lazada.vn/products/bot-kem-beo-pha-tra-sua-b-one-bone-thai-lan-tui-1kg-i2766115825.html", "https://www.lazada.vn/products/bot-kem-beo-pha-tra-sua-b-one-bone-thai-lan-tui-1kg-i2766115825.html")</f>
        <v>https://www.lazada.vn/products/bot-kem-beo-pha-tra-sua-b-one-bone-thai-lan-tui-1kg-i2766115825.html</v>
      </c>
      <c r="C5151" s="10" t="s">
        <v>5151</v>
      </c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>
      <c r="A5152" s="8">
        <v>10006.0</v>
      </c>
      <c r="B5152" s="9" t="str">
        <f>HYPERLINK("https://www.lazada.vn/products/kuirentang-kudzu-goc-nuoc-ep-kuirentang-kudzu-goc-yam-poria-tang-ran-uong-i2704099001.html", "https://www.lazada.vn/products/kuirentang-kudzu-goc-nuoc-ep-kuirentang-kudzu-goc-yam-poria-tang-ran-uong-i2704099001.html")</f>
        <v>https://www.lazada.vn/products/kuirentang-kudzu-goc-nuoc-ep-kuirentang-kudzu-goc-yam-poria-tang-ran-uong-i2704099001.html</v>
      </c>
      <c r="C5152" s="10" t="s">
        <v>5152</v>
      </c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>
      <c r="A5153" s="8">
        <v>10007.0</v>
      </c>
      <c r="B5153" s="9" t="str">
        <f>HYPERLINK("https://www.lazada.vn/products/thach-thuy-tinh-hung-chuong-hop-1kg-dau-i2413477331.html", "https://www.lazada.vn/products/thach-thuy-tinh-hung-chuong-hop-1kg-dau-i2413477331.html")</f>
        <v>https://www.lazada.vn/products/thach-thuy-tinh-hung-chuong-hop-1kg-dau-i2413477331.html</v>
      </c>
      <c r="C5153" s="10" t="s">
        <v>5153</v>
      </c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>
      <c r="A5154" s="8">
        <v>10008.0</v>
      </c>
      <c r="B5154" s="9" t="str">
        <f>HYPERLINK("https://www.lazada.vn/products/goi-1kg-socola-hat-de-viet-thai-i2916107159.html", "https://www.lazada.vn/products/goi-1kg-socola-hat-de-viet-thai-i2916107159.html")</f>
        <v>https://www.lazada.vn/products/goi-1kg-socola-hat-de-viet-thai-i2916107159.html</v>
      </c>
      <c r="C5154" s="10" t="s">
        <v>5154</v>
      </c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>
      <c r="A5155" s="8">
        <v>10009.0</v>
      </c>
      <c r="B5155" s="9" t="str">
        <f>HYPERLINK("https://www.lazada.vn/products/thach-pudding-trai-cay-hop-khoa-cai-mat-gau-dau-lotso-sieu-de-thuong-chinh-hang-i2411857550.html", "https://www.lazada.vn/products/thach-pudding-trai-cay-hop-khoa-cai-mat-gau-dau-lotso-sieu-de-thuong-chinh-hang-i2411857550.html")</f>
        <v>https://www.lazada.vn/products/thach-pudding-trai-cay-hop-khoa-cai-mat-gau-dau-lotso-sieu-de-thuong-chinh-hang-i2411857550.html</v>
      </c>
      <c r="C5155" s="10" t="s">
        <v>5155</v>
      </c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>
      <c r="A5156" s="8">
        <v>10010.0</v>
      </c>
      <c r="B5156" s="9" t="str">
        <f>HYPERLINK("https://www.lazada.vn/products/ca-phe-sua-good-morning-tran-quang-3in1-bich-24-goi-x-20g-i2689237774.html", "https://www.lazada.vn/products/ca-phe-sua-good-morning-tran-quang-3in1-bich-24-goi-x-20g-i2689237774.html")</f>
        <v>https://www.lazada.vn/products/ca-phe-sua-good-morning-tran-quang-3in1-bich-24-goi-x-20g-i2689237774.html</v>
      </c>
      <c r="C5156" s="10" t="s">
        <v>5156</v>
      </c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>
      <c r="A5157" s="8">
        <v>10011.0</v>
      </c>
      <c r="B5157" s="9" t="str">
        <f>HYPERLINK("https://www.lazada.vn/products/combo-banh-trang-phoi-suong-top-mo-sieu-ngon-do-an-vat-i2507624195.html", "https://www.lazada.vn/products/combo-banh-trang-phoi-suong-top-mo-sieu-ngon-do-an-vat-i2507624195.html")</f>
        <v>https://www.lazada.vn/products/combo-banh-trang-phoi-suong-top-mo-sieu-ngon-do-an-vat-i2507624195.html</v>
      </c>
      <c r="C5157" s="10" t="s">
        <v>5157</v>
      </c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>
      <c r="A5158" s="8">
        <v>10012.0</v>
      </c>
      <c r="B5158" s="9" t="str">
        <f>HYPERLINK("https://www.lazada.vn/products/denikoff-blue-vodka-phap-40-750ml-i2717977013.html", "https://www.lazada.vn/products/denikoff-blue-vodka-phap-40-750ml-i2717977013.html")</f>
        <v>https://www.lazada.vn/products/denikoff-blue-vodka-phap-40-750ml-i2717977013.html</v>
      </c>
      <c r="C5158" s="10" t="s">
        <v>5158</v>
      </c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>
      <c r="A5159" s="8">
        <v>10013.0</v>
      </c>
      <c r="B5159" s="9" t="str">
        <f>HYPERLINK("https://www.lazada.vn/products/hop-do-cacao-himiko-nalee-slim-mau-moi-20-goi-giam-can-hieu-qua-tu-thien-nhien-tang-pomelo-xit-moc-toc-buoi-do-i2053217386.html", "https://www.lazada.vn/products/hop-do-cacao-himiko-nalee-slim-mau-moi-20-goi-giam-can-hieu-qua-tu-thien-nhien-tang-pomelo-xit-moc-toc-buoi-do-i2053217386.html")</f>
        <v>https://www.lazada.vn/products/hop-do-cacao-himiko-nalee-slim-mau-moi-20-goi-giam-can-hieu-qua-tu-thien-nhien-tang-pomelo-xit-moc-toc-buoi-do-i2053217386.html</v>
      </c>
      <c r="C5159" s="10" t="s">
        <v>5159</v>
      </c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>
      <c r="A5160" s="8">
        <v>10014.0</v>
      </c>
      <c r="B5160" s="9" t="str">
        <f>HYPERLINK("https://www.lazada.vn/products/banh-solite-cuon-kinh-do-vi-la-dua-hop-20-goi-i1600336908.html", "https://www.lazada.vn/products/banh-solite-cuon-kinh-do-vi-la-dua-hop-20-goi-i1600336908.html")</f>
        <v>https://www.lazada.vn/products/banh-solite-cuon-kinh-do-vi-la-dua-hop-20-goi-i1600336908.html</v>
      </c>
      <c r="C5160" s="10" t="s">
        <v>5160</v>
      </c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>
      <c r="A5161" s="8">
        <v>10015.0</v>
      </c>
      <c r="B5161" s="9" t="str">
        <f>HYPERLINK("https://www.lazada.vn/products/nuoc-i-on-kiem-newpura-500mlthung-24-chai-i2841081970.html", "https://www.lazada.vn/products/nuoc-i-on-kiem-newpura-500mlthung-24-chai-i2841081970.html")</f>
        <v>https://www.lazada.vn/products/nuoc-i-on-kiem-newpura-500mlthung-24-chai-i2841081970.html</v>
      </c>
      <c r="C5161" s="10" t="s">
        <v>5161</v>
      </c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>
      <c r="A5162" s="8">
        <v>10016.0</v>
      </c>
      <c r="B5162" s="9" t="str">
        <f>HYPERLINK("https://www.lazada.vn/products/snack-khoai-tay-trung-muoi-cay-irvins-hotboom-salted-egg-potato-chips-105-gram-hang-chinh-hang-i2722253352.html", "https://www.lazada.vn/products/snack-khoai-tay-trung-muoi-cay-irvins-hotboom-salted-egg-potato-chips-105-gram-hang-chinh-hang-i2722253352.html")</f>
        <v>https://www.lazada.vn/products/snack-khoai-tay-trung-muoi-cay-irvins-hotboom-salted-egg-potato-chips-105-gram-hang-chinh-hang-i2722253352.html</v>
      </c>
      <c r="C5162" s="10" t="s">
        <v>5162</v>
      </c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>
      <c r="A5163" s="8">
        <v>10017.0</v>
      </c>
      <c r="B5163" s="9" t="str">
        <f>HYPERLINK("https://www.lazada.vn/products/tro-gia-thung-mi-koreno-up-tom-chua-cay-2010-goi-x-67g-ngon-ngon-i2852457664.html", "https://www.lazada.vn/products/tro-gia-thung-mi-koreno-up-tom-chua-cay-2010-goi-x-67g-ngon-ngon-i2852457664.html")</f>
        <v>https://www.lazada.vn/products/tro-gia-thung-mi-koreno-up-tom-chua-cay-2010-goi-x-67g-ngon-ngon-i2852457664.html</v>
      </c>
      <c r="C5163" s="10" t="s">
        <v>5163</v>
      </c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>
      <c r="A5164" s="8">
        <v>10018.0</v>
      </c>
      <c r="B5164" s="9" t="str">
        <f>HYPERLINK("https://www.lazada.vn/products/6-chai-nuoc-tang-luc-wake-up-247-vi-ca-phe-330ml-i2447590174.html", "https://www.lazada.vn/products/6-chai-nuoc-tang-luc-wake-up-247-vi-ca-phe-330ml-i2447590174.html")</f>
        <v>https://www.lazada.vn/products/6-chai-nuoc-tang-luc-wake-up-247-vi-ca-phe-330ml-i2447590174.html</v>
      </c>
      <c r="C5164" s="10" t="s">
        <v>5164</v>
      </c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>
      <c r="A5165" s="8">
        <v>10019.0</v>
      </c>
      <c r="B5165" s="9" t="str">
        <f>HYPERLINK("https://www.lazada.vn/products/ruou-sake-nhat-katsuyama-junmai-ginjo-lei-i2392571212.html", "https://www.lazada.vn/products/ruou-sake-nhat-katsuyama-junmai-ginjo-lei-i2392571212.html")</f>
        <v>https://www.lazada.vn/products/ruou-sake-nhat-katsuyama-junmai-ginjo-lei-i2392571212.html</v>
      </c>
      <c r="C5165" s="10" t="s">
        <v>5165</v>
      </c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>
      <c r="A5166" s="8">
        <v>10020.0</v>
      </c>
      <c r="B5166" s="9" t="str">
        <f>HYPERLINK("https://www.lazada.vn/products/thuc-uong-sua-socola-lua-mach-co-thach-susu-thung-48-chai-80ml-i2768429828.html", "https://www.lazada.vn/products/thuc-uong-sua-socola-lua-mach-co-thach-susu-thung-48-chai-80ml-i2768429828.html")</f>
        <v>https://www.lazada.vn/products/thuc-uong-sua-socola-lua-mach-co-thach-susu-thung-48-chai-80ml-i2768429828.html</v>
      </c>
      <c r="C5166" s="10" t="s">
        <v>5166</v>
      </c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>
      <c r="A5167" s="8">
        <v>10021.0</v>
      </c>
      <c r="B5167" s="9" t="str">
        <f>HYPERLINK("https://www.lazada.vn/products/chinesefoodma-1911fmcgsale-giam-8-don-500k-xuc-xich-ngo-xuc-xich-cay-1-goi-32g-i1738024475.html", "https://www.lazada.vn/products/chinesefoodma-1911fmcgsale-giam-8-don-500k-xuc-xich-ngo-xuc-xich-cay-1-goi-32g-i1738024475.html")</f>
        <v>https://www.lazada.vn/products/chinesefoodma-1911fmcgsale-giam-8-don-500k-xuc-xich-ngo-xuc-xich-cay-1-goi-32g-i1738024475.html</v>
      </c>
      <c r="C5167" s="10" t="s">
        <v>5167</v>
      </c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>
      <c r="A5168" s="8">
        <v>10022.0</v>
      </c>
      <c r="B5168" s="9" t="str">
        <f>HYPERLINK("https://www.lazada.vn/products/nuoc-ngot-fanta-du-vi-i2446258308.html", "https://www.lazada.vn/products/nuoc-ngot-fanta-du-vi-i2446258308.html")</f>
        <v>https://www.lazada.vn/products/nuoc-ngot-fanta-du-vi-i2446258308.html</v>
      </c>
      <c r="C5168" s="10" t="s">
        <v>5168</v>
      </c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>
      <c r="A5169" s="8">
        <v>10023.0</v>
      </c>
      <c r="B5169" s="9" t="str">
        <f>HYPERLINK("https://www.lazada.vn/products/beer-craft-nguyen-vat-lieu-nau-bia-brewferm-altbier-cho-20-lit-bia-i1056210320.html", "https://www.lazada.vn/products/beer-craft-nguyen-vat-lieu-nau-bia-brewferm-altbier-cho-20-lit-bia-i1056210320.html")</f>
        <v>https://www.lazada.vn/products/beer-craft-nguyen-vat-lieu-nau-bia-brewferm-altbier-cho-20-lit-bia-i1056210320.html</v>
      </c>
      <c r="C5169" s="10" t="s">
        <v>5169</v>
      </c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>
      <c r="A5170" s="8">
        <v>10024.0</v>
      </c>
      <c r="B5170" s="9" t="str">
        <f>HYPERLINK("https://www.lazada.vn/products/strawberry-dried-freeze-1kg-original-flavor-no-additives-baking-dessert-special-ingredient-popular-snack-dried-fruit-i2923586903.html", "https://www.lazada.vn/products/strawberry-dried-freeze-1kg-original-flavor-no-additives-baking-dessert-special-ingredient-popular-snack-dried-fruit-i2923586903.html")</f>
        <v>https://www.lazada.vn/products/strawberry-dried-freeze-1kg-original-flavor-no-additives-baking-dessert-special-ingredient-popular-snack-dried-fruit-i2923586903.html</v>
      </c>
      <c r="C5170" s="10" t="s">
        <v>5170</v>
      </c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>
      <c r="A5171" s="8">
        <v>10025.0</v>
      </c>
      <c r="B5171" s="9" t="str">
        <f>HYPERLINK("https://www.lazada.vn/products/siro-chanh-vang-pha-che-kingteaxt-chai-nhua-800ml-i2531096047.html", "https://www.lazada.vn/products/siro-chanh-vang-pha-che-kingteaxt-chai-nhua-800ml-i2531096047.html")</f>
        <v>https://www.lazada.vn/products/siro-chanh-vang-pha-che-kingteaxt-chai-nhua-800ml-i2531096047.html</v>
      </c>
      <c r="C5171" s="10" t="s">
        <v>5171</v>
      </c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>
      <c r="A5172" s="8">
        <v>10026.0</v>
      </c>
      <c r="B5172" s="9" t="str">
        <f>HYPERLINK("https://www.lazada.vn/products/20-mi-cung-dinh-cac-vi-i1435408533.html", "https://www.lazada.vn/products/20-mi-cung-dinh-cac-vi-i1435408533.html")</f>
        <v>https://www.lazada.vn/products/20-mi-cung-dinh-cac-vi-i1435408533.html</v>
      </c>
      <c r="C5172" s="10" t="s">
        <v>5172</v>
      </c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>
      <c r="A5173" s="8">
        <v>10027.0</v>
      </c>
      <c r="B5173" s="9" t="str">
        <f>HYPERLINK("https://www.lazada.vn/products/ayam-brand-hop-chilli-xanh-la-160g-ca-ngu-ngam-ot-tha-lan-chilli-tuna-halal-i3036259702.html", "https://www.lazada.vn/products/ayam-brand-hop-chilli-xanh-la-160g-ca-ngu-ngam-ot-tha-lan-chilli-tuna-halal-i3036259702.html")</f>
        <v>https://www.lazada.vn/products/ayam-brand-hop-chilli-xanh-la-160g-ca-ngu-ngam-ot-tha-lan-chilli-tuna-halal-i3036259702.html</v>
      </c>
      <c r="C5173" s="10" t="s">
        <v>5173</v>
      </c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>
      <c r="A5174" s="8">
        <v>10028.0</v>
      </c>
      <c r="B5174" s="9" t="str">
        <f>HYPERLINK("https://www.lazada.vn/products/bia-kaiserdom-bavarian-smoked-53-nhap-khau-duc-1-lon-440ml-i2942951052.html", "https://www.lazada.vn/products/bia-kaiserdom-bavarian-smoked-53-nhap-khau-duc-1-lon-440ml-i2942951052.html")</f>
        <v>https://www.lazada.vn/products/bia-kaiserdom-bavarian-smoked-53-nhap-khau-duc-1-lon-440ml-i2942951052.html</v>
      </c>
      <c r="C5174" s="10" t="s">
        <v>5174</v>
      </c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>
      <c r="A5175" s="8">
        <v>10029.0</v>
      </c>
      <c r="B5175" s="9" t="str">
        <f>HYPERLINK("https://www.lazada.vn/products/ghe-sua-tam-vi-sot-sate-mat-ong-cay-gion-hop-320gr-i1931990862.html", "https://www.lazada.vn/products/ghe-sua-tam-vi-sot-sate-mat-ong-cay-gion-hop-320gr-i1931990862.html")</f>
        <v>https://www.lazada.vn/products/ghe-sua-tam-vi-sot-sate-mat-ong-cay-gion-hop-320gr-i1931990862.html</v>
      </c>
      <c r="C5175" s="10" t="s">
        <v>5175</v>
      </c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>
      <c r="A5176" s="8">
        <v>10030.0</v>
      </c>
      <c r="B5176" s="9" t="str">
        <f>HYPERLINK("https://www.lazada.vn/products/combo-5-banh-mi-nhan-kem-chay-vi-socola-sua-chua-yogurt-hang-aidebao-b153-beegin-mart-i2641548179.html", "https://www.lazada.vn/products/combo-5-banh-mi-nhan-kem-chay-vi-socola-sua-chua-yogurt-hang-aidebao-b153-beegin-mart-i2641548179.html")</f>
        <v>https://www.lazada.vn/products/combo-5-banh-mi-nhan-kem-chay-vi-socola-sua-chua-yogurt-hang-aidebao-b153-beegin-mart-i2641548179.html</v>
      </c>
      <c r="C5176" s="10" t="s">
        <v>5176</v>
      </c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>
      <c r="A5177" s="8">
        <v>10031.0</v>
      </c>
      <c r="B5177" s="9" t="str">
        <f>HYPERLINK("https://www.lazada.vn/products/tui-20-hu-keo-sua-ong-chua-i3019436576.html", "https://www.lazada.vn/products/tui-20-hu-keo-sua-ong-chua-i3019436576.html")</f>
        <v>https://www.lazada.vn/products/tui-20-hu-keo-sua-ong-chua-i3019436576.html</v>
      </c>
      <c r="C5177" s="10" t="s">
        <v>5177</v>
      </c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>
      <c r="A5178" s="8">
        <v>10032.0</v>
      </c>
      <c r="B5178" s="9" t="str">
        <f>HYPERLINK("https://www.lazada.vn/products/vang-do-uc-kangavin-shiraz-i2630932420.html", "https://www.lazada.vn/products/vang-do-uc-kangavin-shiraz-i2630932420.html")</f>
        <v>https://www.lazada.vn/products/vang-do-uc-kangavin-shiraz-i2630932420.html</v>
      </c>
      <c r="C5178" s="10" t="s">
        <v>5178</v>
      </c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>
      <c r="A5179" s="8">
        <v>10033.0</v>
      </c>
      <c r="B5179" s="9" t="str">
        <f>HYPERLINK("https://www.lazada.vn/products/thach-trai-cay-pudding-gau-dau-lotso-thom-ngon-vi-dau-xoai-chinh-hang-i2411778938.html", "https://www.lazada.vn/products/thach-trai-cay-pudding-gau-dau-lotso-thom-ngon-vi-dau-xoai-chinh-hang-i2411778938.html")</f>
        <v>https://www.lazada.vn/products/thach-trai-cay-pudding-gau-dau-lotso-thom-ngon-vi-dau-xoai-chinh-hang-i2411778938.html</v>
      </c>
      <c r="C5179" s="10" t="s">
        <v>5179</v>
      </c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>
      <c r="A5180" s="8">
        <v>10034.0</v>
      </c>
      <c r="B5180" s="9" t="str">
        <f>HYPERLINK("https://www.lazada.vn/products/keo-vien-milo-cube-thai-100v-i2916098527.html", "https://www.lazada.vn/products/keo-vien-milo-cube-thai-100v-i2916098527.html")</f>
        <v>https://www.lazada.vn/products/keo-vien-milo-cube-thai-100v-i2916098527.html</v>
      </c>
      <c r="C5180" s="10" t="s">
        <v>5180</v>
      </c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>
      <c r="A5181" s="8">
        <v>10035.0</v>
      </c>
      <c r="B5181" s="9" t="str">
        <f>HYPERLINK("https://www.lazada.vn/products/1kg-ca-phe-hat-moc-100-robusta-buon-me-thuot-gu-dam-cafe-hat-pha-may-arocka-i2689194080.html", "https://www.lazada.vn/products/1kg-ca-phe-hat-moc-100-robusta-buon-me-thuot-gu-dam-cafe-hat-pha-may-arocka-i2689194080.html")</f>
        <v>https://www.lazada.vn/products/1kg-ca-phe-hat-moc-100-robusta-buon-me-thuot-gu-dam-cafe-hat-pha-may-arocka-i2689194080.html</v>
      </c>
      <c r="C5181" s="10" t="s">
        <v>5181</v>
      </c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>
      <c r="A5182" s="8">
        <v>10036.0</v>
      </c>
      <c r="B5182" s="9" t="str">
        <f>HYPERLINK("https://www.lazada.vn/products/bim-bim-an-vat-tom-muc-thai-lan-i2499912646.html", "https://www.lazada.vn/products/bim-bim-an-vat-tom-muc-thai-lan-i2499912646.html")</f>
        <v>https://www.lazada.vn/products/bim-bim-an-vat-tom-muc-thai-lan-i2499912646.html</v>
      </c>
      <c r="C5182" s="10" t="s">
        <v>5182</v>
      </c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>
      <c r="A5183" s="8">
        <v>10037.0</v>
      </c>
      <c r="B5183" s="9" t="str">
        <f>HYPERLINK("https://www.lazada.vn/products/baltika-vodka-co-vay-vang-gold-1970-40-700ml-i2717778156.html", "https://www.lazada.vn/products/baltika-vodka-co-vay-vang-gold-1970-40-700ml-i2717778156.html")</f>
        <v>https://www.lazada.vn/products/baltika-vodka-co-vay-vang-gold-1970-40-700ml-i2717778156.html</v>
      </c>
      <c r="C5183" s="10" t="s">
        <v>5183</v>
      </c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>
      <c r="A5184" s="8">
        <v>10038.0</v>
      </c>
      <c r="B5184" s="9" t="str">
        <f>HYPERLINK("https://www.lazada.vn/products/200g-bot-pha-tra-sua-huong-khoai-mon-i2675525034.html", "https://www.lazada.vn/products/200g-bot-pha-tra-sua-huong-khoai-mon-i2675525034.html")</f>
        <v>https://www.lazada.vn/products/200g-bot-pha-tra-sua-huong-khoai-mon-i2675525034.html</v>
      </c>
      <c r="C5184" s="10" t="s">
        <v>5184</v>
      </c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>
      <c r="A5185" s="8">
        <v>10039.0</v>
      </c>
      <c r="B5185" s="9" t="str">
        <f>HYPERLINK("https://www.lazada.vn/products/nuoc-giai-khat-co-ga-aquafina-soda-320ml-i2682777262.html", "https://www.lazada.vn/products/nuoc-giai-khat-co-ga-aquafina-soda-320ml-i2682777262.html")</f>
        <v>https://www.lazada.vn/products/nuoc-giai-khat-co-ga-aquafina-soda-320ml-i2682777262.html</v>
      </c>
      <c r="C5185" s="10" t="s">
        <v>5185</v>
      </c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>
      <c r="A5186" s="8">
        <v>10040.0</v>
      </c>
      <c r="B5186" s="9" t="str">
        <f>HYPERLINK("https://www.lazada.vn/products/banh-solite-cuon-kinh-do-vi-dau-hop-20-goi-i1600317860.html", "https://www.lazada.vn/products/banh-solite-cuon-kinh-do-vi-dau-hop-20-goi-i1600317860.html")</f>
        <v>https://www.lazada.vn/products/banh-solite-cuon-kinh-do-vi-dau-hop-20-goi-i1600317860.html</v>
      </c>
      <c r="C5186" s="10" t="s">
        <v>5186</v>
      </c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>
      <c r="A5187" s="8">
        <v>10041.0</v>
      </c>
      <c r="B5187" s="9" t="str">
        <f>HYPERLINK("https://www.lazada.vn/products/chinesefooddui-vit-cay-nuong-mat-ong-hoang-kim-goi-32g-i1738023416.html", "https://www.lazada.vn/products/chinesefooddui-vit-cay-nuong-mat-ong-hoang-kim-goi-32g-i1738023416.html")</f>
        <v>https://www.lazada.vn/products/chinesefooddui-vit-cay-nuong-mat-ong-hoang-kim-goi-32g-i1738023416.html</v>
      </c>
      <c r="C5187" s="10" t="s">
        <v>5187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>
      <c r="A5188" s="8">
        <v>10042.0</v>
      </c>
      <c r="B5188" s="9" t="str">
        <f>HYPERLINK("https://www.lazada.vn/products/tea-little-cold-frozen-dry-strawberry-bits-baking-milk-tea-shop-specialized-cake-decoration-snowflake-snack-dried-fruit-bits-i2923586704.html", "https://www.lazada.vn/products/tea-little-cold-frozen-dry-strawberry-bits-baking-milk-tea-shop-specialized-cake-decoration-snowflake-snack-dried-fruit-bits-i2923586704.html")</f>
        <v>https://www.lazada.vn/products/tea-little-cold-frozen-dry-strawberry-bits-baking-milk-tea-shop-specialized-cake-decoration-snowflake-snack-dried-fruit-bits-i2923586704.html</v>
      </c>
      <c r="C5188" s="10" t="s">
        <v>5188</v>
      </c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>
      <c r="A5189" s="8">
        <v>10043.0</v>
      </c>
      <c r="B5189" s="9" t="str">
        <f>HYPERLINK("https://www.lazada.vn/products/thung-20-goi-mi-tron-tuong-den-han-quoc-korenomi-lau-thaikoreno-up-sieu-ngon-i2849257572.html", "https://www.lazada.vn/products/thung-20-goi-mi-tron-tuong-den-han-quoc-korenomi-lau-thaikoreno-up-sieu-ngon-i2849257572.html")</f>
        <v>https://www.lazada.vn/products/thung-20-goi-mi-tron-tuong-den-han-quoc-korenomi-lau-thaikoreno-up-sieu-ngon-i2849257572.html</v>
      </c>
      <c r="C5189" s="10" t="s">
        <v>5189</v>
      </c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>
      <c r="A5190" s="8">
        <v>10044.0</v>
      </c>
      <c r="B5190" s="9" t="str">
        <f>HYPERLINK("https://www.lazada.vn/products/bot-cacao-ovomaltine-duc-500gr-ca-cao-sua-ovaltine-duc-i2025171591.html", "https://www.lazada.vn/products/bot-cacao-ovomaltine-duc-500gr-ca-cao-sua-ovaltine-duc-i2025171591.html")</f>
        <v>https://www.lazada.vn/products/bot-cacao-ovomaltine-duc-500gr-ca-cao-sua-ovaltine-duc-i2025171591.html</v>
      </c>
      <c r="C5190" s="10" t="s">
        <v>5190</v>
      </c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>
      <c r="A5191" s="8">
        <v>10045.0</v>
      </c>
      <c r="B5191" s="9" t="str">
        <f>HYPERLINK("https://www.lazada.vn/products/nuoc-soda-co-ga-vi-nho-o-hai-nhom-500ml-i2441622288.html", "https://www.lazada.vn/products/nuoc-soda-co-ga-vi-nho-o-hai-nhom-500ml-i2441622288.html")</f>
        <v>https://www.lazada.vn/products/nuoc-soda-co-ga-vi-nho-o-hai-nhom-500ml-i2441622288.html</v>
      </c>
      <c r="C5191" s="10" t="s">
        <v>5191</v>
      </c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>
      <c r="A5192" s="8">
        <v>10046.0</v>
      </c>
      <c r="B5192" s="9" t="str">
        <f>HYPERLINK("https://www.lazada.vn/products/ruou-sake-nhat-komedake-no-yasashii-omoiyari-i2392571204.html", "https://www.lazada.vn/products/ruou-sake-nhat-komedake-no-yasashii-omoiyari-i2392571204.html")</f>
        <v>https://www.lazada.vn/products/ruou-sake-nhat-komedake-no-yasashii-omoiyari-i2392571204.html</v>
      </c>
      <c r="C5192" s="10" t="s">
        <v>5192</v>
      </c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>
      <c r="A5193" s="8">
        <v>10047.0</v>
      </c>
      <c r="B5193" s="9" t="str">
        <f>HYPERLINK("https://www.lazada.vn/products/bia-thu-cong-rooster-beers-blonde-bia-ga-blonde-thung-24-lon-sleek-x-330ml-i929674128.html", "https://www.lazada.vn/products/bia-thu-cong-rooster-beers-blonde-bia-ga-blonde-thung-24-lon-sleek-x-330ml-i929674128.html")</f>
        <v>https://www.lazada.vn/products/bia-thu-cong-rooster-beers-blonde-bia-ga-blonde-thung-24-lon-sleek-x-330ml-i929674128.html</v>
      </c>
      <c r="C5193" s="10" t="s">
        <v>5193</v>
      </c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>
      <c r="A5194" s="8">
        <v>10048.0</v>
      </c>
      <c r="B5194" s="9" t="str">
        <f>HYPERLINK("https://www.lazada.vn/products/siro-sam-dua-pha-che-kingteaxt-chai-nhua-800ml-i2530969913.html", "https://www.lazada.vn/products/siro-sam-dua-pha-che-kingteaxt-chai-nhua-800ml-i2530969913.html")</f>
        <v>https://www.lazada.vn/products/siro-sam-dua-pha-che-kingteaxt-chai-nhua-800ml-i2530969913.html</v>
      </c>
      <c r="C5194" s="10" t="s">
        <v>5194</v>
      </c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>
      <c r="A5195" s="8">
        <v>10049.0</v>
      </c>
      <c r="B5195" s="9" t="str">
        <f>HYPERLINK("https://www.lazada.vn/products/thuc-uong-bo-sung-ion-pocari-sweat-500ml-i2443585302.html", "https://www.lazada.vn/products/thuc-uong-bo-sung-ion-pocari-sweat-500ml-i2443585302.html")</f>
        <v>https://www.lazada.vn/products/thuc-uong-bo-sung-ion-pocari-sweat-500ml-i2443585302.html</v>
      </c>
      <c r="C5195" s="10" t="s">
        <v>5195</v>
      </c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>
      <c r="A5196" s="8">
        <v>10050.0</v>
      </c>
      <c r="B5196" s="9" t="str">
        <f>HYPERLINK("https://www.lazada.vn/products/20-goi-mi-indomie-cac-vi-i1435406510.html", "https://www.lazada.vn/products/20-goi-mi-indomie-cac-vi-i1435406510.html")</f>
        <v>https://www.lazada.vn/products/20-goi-mi-indomie-cac-vi-i1435406510.html</v>
      </c>
      <c r="C5196" s="10" t="s">
        <v>5196</v>
      </c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>
      <c r="A5197" s="8">
        <v>10051.0</v>
      </c>
      <c r="B5197" s="9" t="str">
        <f>HYPERLINK("https://www.lazada.vn/products/hop-xe-nho-140g-ca-ngu-xe-nho-ngam-dau-tuna-viet-nam-yellowfin-tuna-flakes-in-soya-oil-i3036249443.html", "https://www.lazada.vn/products/hop-xe-nho-140g-ca-ngu-xe-nho-ngam-dau-tuna-viet-nam-yellowfin-tuna-flakes-in-soya-oil-i3036249443.html")</f>
        <v>https://www.lazada.vn/products/hop-xe-nho-140g-ca-ngu-xe-nho-ngam-dau-tuna-viet-nam-yellowfin-tuna-flakes-in-soya-oil-i3036249443.html</v>
      </c>
      <c r="C5197" s="10" t="s">
        <v>5197</v>
      </c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>
      <c r="A5198" s="8">
        <v>10052.0</v>
      </c>
      <c r="B5198" s="9" t="str">
        <f>HYPERLINK("https://www.lazada.vn/products/bia-kaiserdom-bavarian-smoked-53-nhap-khau-duc-1-lon-440ml-i2942831377.html", "https://www.lazada.vn/products/bia-kaiserdom-bavarian-smoked-53-nhap-khau-duc-1-lon-440ml-i2942831377.html")</f>
        <v>https://www.lazada.vn/products/bia-kaiserdom-bavarian-smoked-53-nhap-khau-duc-1-lon-440ml-i2942831377.html</v>
      </c>
      <c r="C5198" s="10" t="s">
        <v>5198</v>
      </c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>
      <c r="A5199" s="8">
        <v>10053.0</v>
      </c>
      <c r="B5199" s="9" t="str">
        <f>HYPERLINK("https://www.lazada.vn/products/nui-say-gion-hu-pet-210g-i1931505898.html", "https://www.lazada.vn/products/nui-say-gion-hu-pet-210g-i1931505898.html")</f>
        <v>https://www.lazada.vn/products/nui-say-gion-hu-pet-210g-i1931505898.html</v>
      </c>
      <c r="C5199" s="10" t="s">
        <v>5199</v>
      </c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>
      <c r="A5200" s="8">
        <v>10054.0</v>
      </c>
      <c r="B5200" s="9" t="str">
        <f>HYPERLINK("https://www.lazada.vn/products/thung-2kg-banh-mi-nhan-kem-chay-vi-socola-sua-chua-yogurt-hang-aidebao-khoang-29-30-banh-b153-beegin-food-store-i2641499201.html", "https://www.lazada.vn/products/thung-2kg-banh-mi-nhan-kem-chay-vi-socola-sua-chua-yogurt-hang-aidebao-khoang-29-30-banh-b153-beegin-food-store-i2641499201.html")</f>
        <v>https://www.lazada.vn/products/thung-2kg-banh-mi-nhan-kem-chay-vi-socola-sua-chua-yogurt-hang-aidebao-khoang-29-30-banh-b153-beegin-food-store-i2641499201.html</v>
      </c>
      <c r="C5200" s="10" t="s">
        <v>5200</v>
      </c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>
      <c r="A5201" s="8">
        <v>10055.0</v>
      </c>
      <c r="B5201" s="9" t="str">
        <f>HYPERLINK("https://www.lazada.vn/products/keo-cu-do-dac-san-ha-tinh-loai-1-i3016305191.html", "https://www.lazada.vn/products/keo-cu-do-dac-san-ha-tinh-loai-1-i3016305191.html")</f>
        <v>https://www.lazada.vn/products/keo-cu-do-dac-san-ha-tinh-loai-1-i3016305191.html</v>
      </c>
      <c r="C5201" s="10" t="s">
        <v>5201</v>
      </c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>
      <c r="A5202" s="8">
        <v>10056.0</v>
      </c>
      <c r="B5202" s="9" t="str">
        <f>HYPERLINK("https://www.lazada.vn/products/vang-y-paisanu-750ml-i2630929371.html", "https://www.lazada.vn/products/vang-y-paisanu-750ml-i2630929371.html")</f>
        <v>https://www.lazada.vn/products/vang-y-paisanu-750ml-i2630929371.html</v>
      </c>
      <c r="C5202" s="10" t="s">
        <v>5202</v>
      </c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>
      <c r="A5203" s="8">
        <v>10057.0</v>
      </c>
      <c r="B5203" s="9" t="str">
        <f>HYPERLINK("https://www.lazada.vn/products/combo-5-banh-mi-nhan-kem-chay-vi-socola-sua-chua-yogurt-hang-aidebao-b153-beegin-food-i2641497153.html", "https://www.lazada.vn/products/combo-5-banh-mi-nhan-kem-chay-vi-socola-sua-chua-yogurt-hang-aidebao-b153-beegin-food-i2641497153.html")</f>
        <v>https://www.lazada.vn/products/combo-5-banh-mi-nhan-kem-chay-vi-socola-sua-chua-yogurt-hang-aidebao-b153-beegin-food-i2641497153.html</v>
      </c>
      <c r="C5203" s="10" t="s">
        <v>5203</v>
      </c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>
      <c r="A5204" s="8">
        <v>10058.0</v>
      </c>
      <c r="B5204" s="9" t="str">
        <f>HYPERLINK("https://www.lazada.vn/products/coca-cola-chai-nhua-1-loc-6-chai-390-ml-i2432113051.html", "https://www.lazada.vn/products/coca-cola-chai-nhua-1-loc-6-chai-390-ml-i2432113051.html")</f>
        <v>https://www.lazada.vn/products/coca-cola-chai-nhua-1-loc-6-chai-390-ml-i2432113051.html</v>
      </c>
      <c r="C5204" s="10" t="s">
        <v>5204</v>
      </c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>
      <c r="A5205" s="8">
        <v>10059.0</v>
      </c>
      <c r="B5205" s="9" t="str">
        <f>HYPERLINK("https://www.lazada.vn/products/thung-24-lon-nuoc-uong-tang-luc-lipovitan-mat-ong-24-lon-x-250ml-i2436589850.html", "https://www.lazada.vn/products/thung-24-lon-nuoc-uong-tang-luc-lipovitan-mat-ong-24-lon-x-250ml-i2436589850.html")</f>
        <v>https://www.lazada.vn/products/thung-24-lon-nuoc-uong-tang-luc-lipovitan-mat-ong-24-lon-x-250ml-i2436589850.html</v>
      </c>
      <c r="C5205" s="10" t="s">
        <v>5205</v>
      </c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>
      <c r="A5206" s="8">
        <v>10060.0</v>
      </c>
      <c r="B5206" s="9" t="str">
        <f>HYPERLINK("https://www.lazada.vn/products/bia-oj-16-nhap-khau-bi-1-thung-24-lon-500ml-i2942663181.html", "https://www.lazada.vn/products/bia-oj-16-nhap-khau-bi-1-thung-24-lon-500ml-i2942663181.html")</f>
        <v>https://www.lazada.vn/products/bia-oj-16-nhap-khau-bi-1-thung-24-lon-500ml-i2942663181.html</v>
      </c>
      <c r="C5206" s="10" t="s">
        <v>5206</v>
      </c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>
      <c r="A5207" s="8">
        <v>10061.0</v>
      </c>
      <c r="B5207" s="9" t="str">
        <f>HYPERLINK("https://www.lazada.vn/products/my-ga-nam-chay-man-deu-dung-duoc-thung-30-goi-x70g-noodle-chichken-i1435316781.html", "https://www.lazada.vn/products/my-ga-nam-chay-man-deu-dung-duoc-thung-30-goi-x70g-noodle-chichken-i1435316781.html")</f>
        <v>https://www.lazada.vn/products/my-ga-nam-chay-man-deu-dung-duoc-thung-30-goi-x70g-noodle-chichken-i1435316781.html</v>
      </c>
      <c r="C5207" s="10" t="s">
        <v>5207</v>
      </c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>
      <c r="A5208" s="8">
        <v>10062.0</v>
      </c>
      <c r="B5208" s="9" t="str">
        <f>HYPERLINK("https://www.lazada.vn/products/ruou-sake-nhat-honjozo-tsugaru-joppari-i2392569234.html", "https://www.lazada.vn/products/ruou-sake-nhat-honjozo-tsugaru-joppari-i2392569234.html")</f>
        <v>https://www.lazada.vn/products/ruou-sake-nhat-honjozo-tsugaru-joppari-i2392569234.html</v>
      </c>
      <c r="C5208" s="10" t="s">
        <v>5208</v>
      </c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>
      <c r="A5209" s="8">
        <v>10063.0</v>
      </c>
      <c r="B5209" s="9" t="str">
        <f>HYPERLINK("https://www.lazada.vn/products/xuc-xich-truyen-thong-meica-bockwurst-sausage-nhap-khau-duc-380g-i1930498566.html", "https://www.lazada.vn/products/xuc-xich-truyen-thong-meica-bockwurst-sausage-nhap-khau-duc-380g-i1930498566.html")</f>
        <v>https://www.lazada.vn/products/xuc-xich-truyen-thong-meica-bockwurst-sausage-nhap-khau-duc-380g-i1930498566.html</v>
      </c>
      <c r="C5209" s="10" t="s">
        <v>5209</v>
      </c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>
      <c r="A5210" s="8">
        <v>10064.0</v>
      </c>
      <c r="B5210" s="9" t="str">
        <f>HYPERLINK("https://www.lazada.vn/products/smirnoff-vodka-375-700ml-i2717655011.html", "https://www.lazada.vn/products/smirnoff-vodka-375-700ml-i2717655011.html")</f>
        <v>https://www.lazada.vn/products/smirnoff-vodka-375-700ml-i2717655011.html</v>
      </c>
      <c r="C5210" s="10" t="s">
        <v>5210</v>
      </c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>
      <c r="A5211" s="8">
        <v>10065.0</v>
      </c>
      <c r="B5211" s="9" t="str">
        <f>HYPERLINK("https://www.lazada.vn/products/banh-khom-500g-i1595191114.html", "https://www.lazada.vn/products/banh-khom-500g-i1595191114.html")</f>
        <v>https://www.lazada.vn/products/banh-khom-500g-i1595191114.html</v>
      </c>
      <c r="C5211" s="10" t="s">
        <v>5211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>
      <c r="A5212" s="8">
        <v>10066.0</v>
      </c>
      <c r="B5212" s="9" t="str">
        <f>HYPERLINK("https://www.lazada.vn/products/tra-xanh-lai-vinsaf-king-thuong-hang-goi-1kg-pha-tra-chanh-tra-hoa-qua-1-goi-pha-duoc-2300-coc-400ml-i2682775731.html", "https://www.lazada.vn/products/tra-xanh-lai-vinsaf-king-thuong-hang-goi-1kg-pha-tra-chanh-tra-hoa-qua-1-goi-pha-duoc-2300-coc-400ml-i2682775731.html")</f>
        <v>https://www.lazada.vn/products/tra-xanh-lai-vinsaf-king-thuong-hang-goi-1kg-pha-tra-chanh-tra-hoa-qua-1-goi-pha-duoc-2300-coc-400ml-i2682775731.html</v>
      </c>
      <c r="C5212" s="10" t="s">
        <v>5212</v>
      </c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>
      <c r="A5213" s="8">
        <v>10067.0</v>
      </c>
      <c r="B5213" s="9" t="str">
        <f>HYPERLINK("https://www.lazada.vn/products/syrup-bac-ha-trang-pha-chesyrup-mojito-mintkingteaxt-chai-thuy-tinh-800ml-i2530959932.html", "https://www.lazada.vn/products/syrup-bac-ha-trang-pha-chesyrup-mojito-mintkingteaxt-chai-thuy-tinh-800ml-i2530959932.html")</f>
        <v>https://www.lazada.vn/products/syrup-bac-ha-trang-pha-chesyrup-mojito-mintkingteaxt-chai-thuy-tinh-800ml-i2530959932.html</v>
      </c>
      <c r="C5213" s="10" t="s">
        <v>5213</v>
      </c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>
      <c r="A5214" s="8">
        <v>10068.0</v>
      </c>
      <c r="B5214" s="9" t="str">
        <f>HYPERLINK("https://www.lazada.vn/products/vang-da-lat-superior-750ml-i2630896327.html", "https://www.lazada.vn/products/vang-da-lat-superior-750ml-i2630896327.html")</f>
        <v>https://www.lazada.vn/products/vang-da-lat-superior-750ml-i2630896327.html</v>
      </c>
      <c r="C5214" s="10" t="s">
        <v>5214</v>
      </c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>
      <c r="A5215" s="8">
        <v>10069.0</v>
      </c>
      <c r="B5215" s="9" t="str">
        <f>HYPERLINK("https://www.lazada.vn/products/thung-24-chai-bia-rochefort-10-113-330mlx24-i835024680.html", "https://www.lazada.vn/products/thung-24-chai-bia-rochefort-10-113-330mlx24-i835024680.html")</f>
        <v>https://www.lazada.vn/products/thung-24-chai-bia-rochefort-10-113-330mlx24-i835024680.html</v>
      </c>
      <c r="C5215" s="10" t="s">
        <v>5215</v>
      </c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>
      <c r="A5216" s="8">
        <v>10070.0</v>
      </c>
      <c r="B5216" s="9" t="str">
        <f>HYPERLINK("https://www.lazada.vn/products/300g-keo-le-chanh-muoi-bien-bac-ha-an-phe-mat-hongthom-mieng-i3008971844.html", "https://www.lazada.vn/products/300g-keo-le-chanh-muoi-bien-bac-ha-an-phe-mat-hongthom-mieng-i3008971844.html")</f>
        <v>https://www.lazada.vn/products/300g-keo-le-chanh-muoi-bien-bac-ha-an-phe-mat-hongthom-mieng-i3008971844.html</v>
      </c>
      <c r="C5216" s="10" t="s">
        <v>5216</v>
      </c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>
      <c r="A5217" s="8">
        <v>10071.0</v>
      </c>
      <c r="B5217" s="9" t="str">
        <f>HYPERLINK("https://www.lazada.vn/products/san-pham-moi-tipo-banh-bong-lan-tang-kem-xoai-180g-i2700182634.html", "https://www.lazada.vn/products/san-pham-moi-tipo-banh-bong-lan-tang-kem-xoai-180g-i2700182634.html")</f>
        <v>https://www.lazada.vn/products/san-pham-moi-tipo-banh-bong-lan-tang-kem-xoai-180g-i2700182634.html</v>
      </c>
      <c r="C5217" s="10" t="s">
        <v>5217</v>
      </c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>
      <c r="A5218" s="8">
        <v>10072.0</v>
      </c>
      <c r="B5218" s="9" t="str">
        <f>HYPERLINK("https://www.lazada.vn/products/thach-dua-eurodeli-nhieu-vi-trai-cay-thom-ngon-i2411671933.html", "https://www.lazada.vn/products/thach-dua-eurodeli-nhieu-vi-trai-cay-thom-ngon-i2411671933.html")</f>
        <v>https://www.lazada.vn/products/thach-dua-eurodeli-nhieu-vi-trai-cay-thom-ngon-i2411671933.html</v>
      </c>
      <c r="C5218" s="10" t="s">
        <v>5218</v>
      </c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>
      <c r="A5219" s="8">
        <v>10073.0</v>
      </c>
      <c r="B5219" s="9" t="str">
        <f>HYPERLINK("https://www.lazada.vn/products/chinesefoodsan-pho-tron-te-cay-tu-xuyen-i1738023403.html", "https://www.lazada.vn/products/chinesefoodsan-pho-tron-te-cay-tu-xuyen-i1738023403.html")</f>
        <v>https://www.lazada.vn/products/chinesefoodsan-pho-tron-te-cay-tu-xuyen-i1738023403.html</v>
      </c>
      <c r="C5219" s="10" t="s">
        <v>5219</v>
      </c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>
      <c r="A5220" s="8">
        <v>10074.0</v>
      </c>
      <c r="B5220" s="9" t="str">
        <f>HYPERLINK("https://www.lazada.vn/products/ca-phe-nguyen-chat-moc-huu-co-the-organic-coffee-huong-vi-dam-da-thom-ngon-500-gram-i2688776119.html", "https://www.lazada.vn/products/ca-phe-nguyen-chat-moc-huu-co-the-organic-coffee-huong-vi-dam-da-thom-ngon-500-gram-i2688776119.html")</f>
        <v>https://www.lazada.vn/products/ca-phe-nguyen-chat-moc-huu-co-the-organic-coffee-huong-vi-dam-da-thom-ngon-500-gram-i2688776119.html</v>
      </c>
      <c r="C5220" s="10" t="s">
        <v>5220</v>
      </c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>
      <c r="A5221" s="8">
        <v>10075.0</v>
      </c>
      <c r="B5221" s="9" t="str">
        <f>HYPERLINK("https://www.lazada.vn/products/liu-xiaotu-dried-fruit-bits-vegetables-dried-non-fried-snacks-healthy-dry-fruit-tea-bits-mixed-dried-fruits-and-vegetables-i2923585819.html", "https://www.lazada.vn/products/liu-xiaotu-dried-fruit-bits-vegetables-dried-non-fried-snacks-healthy-dry-fruit-tea-bits-mixed-dried-fruits-and-vegetables-i2923585819.html")</f>
        <v>https://www.lazada.vn/products/liu-xiaotu-dried-fruit-bits-vegetables-dried-non-fried-snacks-healthy-dry-fruit-tea-bits-mixed-dried-fruits-and-vegetables-i2923585819.html</v>
      </c>
      <c r="C5221" s="10" t="s">
        <v>5221</v>
      </c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>
      <c r="A5222" s="8">
        <v>10076.0</v>
      </c>
      <c r="B5222" s="9" t="str">
        <f>HYPERLINK("https://www.lazada.vn/products/dongwon-hop-xla-100g-ca-ngu-rau-cu-han-quoc-vegetable-tuna-i3036248386.html", "https://www.lazada.vn/products/dongwon-hop-xla-100g-ca-ngu-rau-cu-han-quoc-vegetable-tuna-i3036248386.html")</f>
        <v>https://www.lazada.vn/products/dongwon-hop-xla-100g-ca-ngu-rau-cu-han-quoc-vegetable-tuna-i3036248386.html</v>
      </c>
      <c r="C5222" s="10" t="s">
        <v>5222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>
      <c r="A5223" s="8">
        <v>10077.0</v>
      </c>
      <c r="B5223" s="9" t="str">
        <f>HYPERLINK("https://www.lazada.vn/products/combo-2-hu-cacao-nguyen-chat-loai-1-thom-ngon-bot-cacao-daklak-100-i2019797533.html", "https://www.lazada.vn/products/combo-2-hu-cacao-nguyen-chat-loai-1-thom-ngon-bot-cacao-daklak-100-i2019797533.html")</f>
        <v>https://www.lazada.vn/products/combo-2-hu-cacao-nguyen-chat-loai-1-thom-ngon-bot-cacao-daklak-100-i2019797533.html</v>
      </c>
      <c r="C5223" s="10" t="s">
        <v>5223</v>
      </c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>
      <c r="A5224" s="8">
        <v>10078.0</v>
      </c>
      <c r="B5224" s="9" t="str">
        <f>HYPERLINK("https://www.lazada.vn/products/loc-6-goi-banh-que-mix-thai-lan-50gr-i2498041879.html", "https://www.lazada.vn/products/loc-6-goi-banh-que-mix-thai-lan-50gr-i2498041879.html")</f>
        <v>https://www.lazada.vn/products/loc-6-goi-banh-que-mix-thai-lan-50gr-i2498041879.html</v>
      </c>
      <c r="C5224" s="10" t="s">
        <v>5224</v>
      </c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>
      <c r="A5225" s="8">
        <v>10079.0</v>
      </c>
      <c r="B5225" s="9" t="str">
        <f>HYPERLINK("https://www.lazada.vn/products/200g-keo-socola-vi-ngot-hinh-trai-dua-hau-thom-ngon-i2915998091.html", "https://www.lazada.vn/products/200g-keo-socola-vi-ngot-hinh-trai-dua-hau-thom-ngon-i2915998091.html")</f>
        <v>https://www.lazada.vn/products/200g-keo-socola-vi-ngot-hinh-trai-dua-hau-thom-ngon-i2915998091.html</v>
      </c>
      <c r="C5225" s="10" t="s">
        <v>5225</v>
      </c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>
      <c r="A5226" s="8">
        <v>10080.0</v>
      </c>
      <c r="B5226" s="9" t="str">
        <f>HYPERLINK("https://www.lazada.vn/products/bot-milk-foam-dpfood-goi-500g-nguyen-vi-i2675393638.html", "https://www.lazada.vn/products/bot-milk-foam-dpfood-goi-500g-nguyen-vi-i2675393638.html")</f>
        <v>https://www.lazada.vn/products/bot-milk-foam-dpfood-goi-500g-nguyen-vi-i2675393638.html</v>
      </c>
      <c r="C5226" s="10" t="s">
        <v>5226</v>
      </c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>
      <c r="A5227" s="8">
        <v>10081.0</v>
      </c>
      <c r="B5227" s="9" t="str">
        <f>HYPERLINK("https://www.lazada.vn/products/my-tom-omni-chua-cay-thung-bat-10-bat-x-75g-i1433203604.html", "https://www.lazada.vn/products/my-tom-omni-chua-cay-thung-bat-10-bat-x-75g-i1433203604.html")</f>
        <v>https://www.lazada.vn/products/my-tom-omni-chua-cay-thung-bat-10-bat-x-75g-i1433203604.html</v>
      </c>
      <c r="C5227" s="10" t="s">
        <v>5227</v>
      </c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>
      <c r="A5228" s="8">
        <v>10082.0</v>
      </c>
      <c r="B5228" s="9" t="str">
        <f>HYPERLINK("https://www.lazada.vn/products/thung-1kg-khoang-14-15cbanh-mi-nhan-kem-chay-vi-socola-sua-chua-yogurt-hang-aidebao-b153-beegin-food-i2641464194.html", "https://www.lazada.vn/products/thung-1kg-khoang-14-15cbanh-mi-nhan-kem-chay-vi-socola-sua-chua-yogurt-hang-aidebao-b153-beegin-food-i2641464194.html")</f>
        <v>https://www.lazada.vn/products/thung-1kg-khoang-14-15cbanh-mi-nhan-kem-chay-vi-socola-sua-chua-yogurt-hang-aidebao-b153-beegin-food-i2641464194.html</v>
      </c>
      <c r="C5228" s="10" t="s">
        <v>5228</v>
      </c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>
      <c r="A5229" s="8">
        <v>10083.0</v>
      </c>
      <c r="B5229" s="9" t="str">
        <f>HYPERLINK("https://www.lazada.vn/products/nuoc-ngot-pepsi-den-khong-duong-thai-lan-loc-6-lon-i2428465188.html", "https://www.lazada.vn/products/nuoc-ngot-pepsi-den-khong-duong-thai-lan-loc-6-lon-i2428465188.html")</f>
        <v>https://www.lazada.vn/products/nuoc-ngot-pepsi-den-khong-duong-thai-lan-loc-6-lon-i2428465188.html</v>
      </c>
      <c r="C5229" s="10" t="s">
        <v>5229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>
      <c r="A5230" s="8">
        <v>10084.0</v>
      </c>
      <c r="B5230" s="9" t="str">
        <f>HYPERLINK("https://www.lazada.vn/products/jagermeister-700ml-i2433062392.html", "https://www.lazada.vn/products/jagermeister-700ml-i2433062392.html")</f>
        <v>https://www.lazada.vn/products/jagermeister-700ml-i2433062392.html</v>
      </c>
      <c r="C5230" s="10" t="s">
        <v>5230</v>
      </c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>
      <c r="A5231" s="8">
        <v>10085.0</v>
      </c>
      <c r="B5231" s="9" t="str">
        <f>HYPERLINK("https://www.lazada.vn/products/bia-oj-16-nhap-khau-bi-1-lon-500ml-i2942621163.html", "https://www.lazada.vn/products/bia-oj-16-nhap-khau-bi-1-lon-500ml-i2942621163.html")</f>
        <v>https://www.lazada.vn/products/bia-oj-16-nhap-khau-bi-1-lon-500ml-i2942621163.html</v>
      </c>
      <c r="C5231" s="10" t="s">
        <v>5231</v>
      </c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>
      <c r="A5232" s="8">
        <v>10086.0</v>
      </c>
      <c r="B5232" s="9" t="str">
        <f>HYPERLINK("https://www.lazada.vn/products/ruou-sake-nhat-imayo-tsukasa-koi-i2392524280.html", "https://www.lazada.vn/products/ruou-sake-nhat-imayo-tsukasa-koi-i2392524280.html")</f>
        <v>https://www.lazada.vn/products/ruou-sake-nhat-imayo-tsukasa-koi-i2392524280.html</v>
      </c>
      <c r="C5232" s="10" t="s">
        <v>5232</v>
      </c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>
      <c r="A5233" s="8">
        <v>10087.0</v>
      </c>
      <c r="B5233" s="9" t="str">
        <f>HYPERLINK("https://www.lazada.vn/products/ca-chua-xay-nhuyen-roza-i1929719744.html", "https://www.lazada.vn/products/ca-chua-xay-nhuyen-roza-i1929719744.html")</f>
        <v>https://www.lazada.vn/products/ca-chua-xay-nhuyen-roza-i1929719744.html</v>
      </c>
      <c r="C5233" s="10" t="s">
        <v>5233</v>
      </c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>
      <c r="A5234" s="8">
        <v>10088.0</v>
      </c>
      <c r="B5234" s="9" t="str">
        <f>HYPERLINK("https://www.lazada.vn/products/hop-to-banh-socola-star-cup-maoji-thai-lan-hop-1000gr-sieu-ngon-i1594925107.html", "https://www.lazada.vn/products/hop-to-banh-socola-star-cup-maoji-thai-lan-hop-1000gr-sieu-ngon-i1594925107.html")</f>
        <v>https://www.lazada.vn/products/hop-to-banh-socola-star-cup-maoji-thai-lan-hop-1000gr-sieu-ngon-i1594925107.html</v>
      </c>
      <c r="C5234" s="10" t="s">
        <v>5234</v>
      </c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>
      <c r="A5235" s="8">
        <v>10089.0</v>
      </c>
      <c r="B5235" s="9" t="str">
        <f>HYPERLINK("https://www.lazada.vn/products/siro-dao-pha-che-kingteaxt-chai-nhua-800ml-i2530935349.html", "https://www.lazada.vn/products/siro-dao-pha-che-kingteaxt-chai-nhua-800ml-i2530935349.html")</f>
        <v>https://www.lazada.vn/products/siro-dao-pha-che-kingteaxt-chai-nhua-800ml-i2530935349.html</v>
      </c>
      <c r="C5235" s="10" t="s">
        <v>5235</v>
      </c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>
      <c r="A5236" s="8">
        <v>10090.0</v>
      </c>
      <c r="B5236" s="9" t="str">
        <f>HYPERLINK("https://www.lazada.vn/products/nuoc-gao-rang-han-quoc-500ml-sahmyook-uong-dep-da-giam-can-i2682623009.html", "https://www.lazada.vn/products/nuoc-gao-rang-han-quoc-500ml-sahmyook-uong-dep-da-giam-can-i2682623009.html")</f>
        <v>https://www.lazada.vn/products/nuoc-gao-rang-han-quoc-500ml-sahmyook-uong-dep-da-giam-can-i2682623009.html</v>
      </c>
      <c r="C5236" s="10" t="s">
        <v>5236</v>
      </c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>
      <c r="A5237" s="8">
        <v>10091.0</v>
      </c>
      <c r="B5237" s="9" t="str">
        <f>HYPERLINK("https://www.lazada.vn/products/viva-vodka-chai-nho-29-300ml-i2714847052.html", "https://www.lazada.vn/products/viva-vodka-chai-nho-29-300ml-i2714847052.html")</f>
        <v>https://www.lazada.vn/products/viva-vodka-chai-nho-29-300ml-i2714847052.html</v>
      </c>
      <c r="C5237" s="10" t="s">
        <v>5237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>
      <c r="A5238" s="8">
        <v>10092.0</v>
      </c>
      <c r="B5238" s="9" t="str">
        <f>HYPERLINK("https://www.lazada.vn/products/sieu-hot-combo-6-goi-vien-uong-dong-y-busaba-kich-thic-tang-size-chong-chay-xe-thai-lan-giup-da-sang-min-hong-hao-i2682277089.html", "https://www.lazada.vn/products/sieu-hot-combo-6-goi-vien-uong-dong-y-busaba-kich-thic-tang-size-chong-chay-xe-thai-lan-giup-da-sang-min-hong-hao-i2682277089.html")</f>
        <v>https://www.lazada.vn/products/sieu-hot-combo-6-goi-vien-uong-dong-y-busaba-kich-thic-tang-size-chong-chay-xe-thai-lan-giup-da-sang-min-hong-hao-i2682277089.html</v>
      </c>
      <c r="C5238" s="10" t="s">
        <v>5238</v>
      </c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>
      <c r="A5239" s="8">
        <v>10093.0</v>
      </c>
      <c r="B5239" s="9" t="str">
        <f>HYPERLINK("https://www.lazada.vn/products/thung-6-lon-gammer-beer-bia-tiep-khac-500ml-i795648787.html", "https://www.lazada.vn/products/thung-6-lon-gammer-beer-bia-tiep-khac-500ml-i795648787.html")</f>
        <v>https://www.lazada.vn/products/thung-6-lon-gammer-beer-bia-tiep-khac-500ml-i795648787.html</v>
      </c>
      <c r="C5239" s="10" t="s">
        <v>5239</v>
      </c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>
      <c r="A5240" s="8">
        <v>10094.0</v>
      </c>
      <c r="B5240" s="9" t="str">
        <f>HYPERLINK("https://www.lazada.vn/products/siro-dau-tay-pha-che-kingteaxt-chai-nhua-800ml-i2530830861.html", "https://www.lazada.vn/products/siro-dau-tay-pha-che-kingteaxt-chai-nhua-800ml-i2530830861.html")</f>
        <v>https://www.lazada.vn/products/siro-dau-tay-pha-che-kingteaxt-chai-nhua-800ml-i2530830861.html</v>
      </c>
      <c r="C5240" s="10" t="s">
        <v>5240</v>
      </c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>
      <c r="A5241" s="8">
        <v>10095.0</v>
      </c>
      <c r="B5241" s="9" t="str">
        <f>HYPERLINK("https://www.lazada.vn/products/vodka-viva-chai-nho-29-39-300ml-i2714780428.html", "https://www.lazada.vn/products/vodka-viva-chai-nho-29-39-300ml-i2714780428.html")</f>
        <v>https://www.lazada.vn/products/vodka-viva-chai-nho-29-39-300ml-i2714780428.html</v>
      </c>
      <c r="C5241" s="10" t="s">
        <v>5241</v>
      </c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>
      <c r="A5242" s="8">
        <v>10096.0</v>
      </c>
      <c r="B5242" s="9" t="str">
        <f>HYPERLINK("https://www.lazada.vn/products/healthy-dried-strawberry-snack-freeze-dried-fruit-snacks-yogurt-block-popular-internet-red-strawberry-milk-ball-food-dried-fruit-i2923585805.html", "https://www.lazada.vn/products/healthy-dried-strawberry-snack-freeze-dried-fruit-snacks-yogurt-block-popular-internet-red-strawberry-milk-ball-food-dried-fruit-i2923585805.html")</f>
        <v>https://www.lazada.vn/products/healthy-dried-strawberry-snack-freeze-dried-fruit-snacks-yogurt-block-popular-internet-red-strawberry-milk-ball-food-dried-fruit-i2923585805.html</v>
      </c>
      <c r="C5242" s="10" t="s">
        <v>5242</v>
      </c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>
      <c r="A5243" s="8">
        <v>10097.0</v>
      </c>
      <c r="B5243" s="9" t="str">
        <f>HYPERLINK("https://www.lazada.vn/products/vang-da-lat-dankia_750ml-i2630887533.html", "https://www.lazada.vn/products/vang-da-lat-dankia_750ml-i2630887533.html")</f>
        <v>https://www.lazada.vn/products/vang-da-lat-dankia_750ml-i2630887533.html</v>
      </c>
      <c r="C5243" s="10" t="s">
        <v>5243</v>
      </c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>
      <c r="A5244" s="8">
        <v>10098.0</v>
      </c>
      <c r="B5244" s="9" t="str">
        <f>HYPERLINK("https://www.lazada.vn/products/chinesefooddui-vit-dacheng-thom-ngon-tuyet-hao-35g-i1738023385.html", "https://www.lazada.vn/products/chinesefooddui-vit-dacheng-thom-ngon-tuyet-hao-35g-i1738023385.html")</f>
        <v>https://www.lazada.vn/products/chinesefooddui-vit-dacheng-thom-ngon-tuyet-hao-35g-i1738023385.html</v>
      </c>
      <c r="C5244" s="10" t="s">
        <v>5244</v>
      </c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>
      <c r="A5245" s="8">
        <v>10099.0</v>
      </c>
      <c r="B5245" s="9" t="str">
        <f>HYPERLINK("https://www.lazada.vn/products/de-cecco-goi-500g-so-91-nui-vo-so-y-orecchiette-pasta-i3036247461.html", "https://www.lazada.vn/products/de-cecco-goi-500g-so-91-nui-vo-so-y-orecchiette-pasta-i3036247461.html")</f>
        <v>https://www.lazada.vn/products/de-cecco-goi-500g-so-91-nui-vo-so-y-orecchiette-pasta-i3036247461.html</v>
      </c>
      <c r="C5245" s="10" t="s">
        <v>5245</v>
      </c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>
      <c r="A5246" s="8">
        <v>10100.0</v>
      </c>
      <c r="B5246" s="9" t="str">
        <f>HYPERLINK("https://www.lazada.vn/products/ngu-coc-tang-can-danh-cho-nguoi-gay-nha-lam-co-cn-vsattp-hop-500gr-i2009196995.html", "https://www.lazada.vn/products/ngu-coc-tang-can-danh-cho-nguoi-gay-nha-lam-co-cn-vsattp-hop-500gr-i2009196995.html")</f>
        <v>https://www.lazada.vn/products/ngu-coc-tang-can-danh-cho-nguoi-gay-nha-lam-co-cn-vsattp-hop-500gr-i2009196995.html</v>
      </c>
      <c r="C5246" s="10" t="s">
        <v>5246</v>
      </c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>
      <c r="A5247" s="8">
        <v>10101.0</v>
      </c>
      <c r="B5247" s="9" t="str">
        <f>HYPERLINK("https://www.lazada.vn/products/thach-sua-lothamilk-tui-mix-vi-300g-i2411550809.html", "https://www.lazada.vn/products/thach-sua-lothamilk-tui-mix-vi-300g-i2411550809.html")</f>
        <v>https://www.lazada.vn/products/thach-sua-lothamilk-tui-mix-vi-300g-i2411550809.html</v>
      </c>
      <c r="C5247" s="10" t="s">
        <v>5247</v>
      </c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>
      <c r="A5248" s="8">
        <v>10102.0</v>
      </c>
      <c r="B5248" s="9" t="str">
        <f>HYPERLINK("https://www.lazada.vn/products/keo-dua-sakura-nhat-ban-100g-keo-dua-non-say-gion-thom-ngon-beo-ngay-it-ngot-i3000092250.html", "https://www.lazada.vn/products/keo-dua-sakura-nhat-ban-100g-keo-dua-non-say-gion-thom-ngon-beo-ngay-it-ngot-i3000092250.html")</f>
        <v>https://www.lazada.vn/products/keo-dua-sakura-nhat-ban-100g-keo-dua-non-say-gion-thom-ngon-beo-ngay-it-ngot-i3000092250.html</v>
      </c>
      <c r="C5248" s="10" t="s">
        <v>5248</v>
      </c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>
      <c r="A5249" s="8">
        <v>10103.0</v>
      </c>
      <c r="B5249" s="9" t="str">
        <f>HYPERLINK("https://www.lazada.vn/products/100g-bot-khoai-mon-dung-de-pha-tra-sua-i2675370121.html", "https://www.lazada.vn/products/100g-bot-khoai-mon-dung-de-pha-tra-sua-i2675370121.html")</f>
        <v>https://www.lazada.vn/products/100g-bot-khoai-mon-dung-de-pha-tra-sua-i2675370121.html</v>
      </c>
      <c r="C5249" s="10" t="s">
        <v>5249</v>
      </c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>
      <c r="A5250" s="8">
        <v>10104.0</v>
      </c>
      <c r="B5250" s="9" t="str">
        <f>HYPERLINK("https://www.lazada.vn/products/100g-bot-khoai-mon-dung-de-pha-tra-sua-i2675363469.html", "https://www.lazada.vn/products/100g-bot-khoai-mon-dung-de-pha-tra-sua-i2675363469.html")</f>
        <v>https://www.lazada.vn/products/100g-bot-khoai-mon-dung-de-pha-tra-sua-i2675363469.html</v>
      </c>
      <c r="C5250" s="10" t="s">
        <v>5250</v>
      </c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>
      <c r="A5251" s="8">
        <v>10105.0</v>
      </c>
      <c r="B5251" s="9" t="str">
        <f>HYPERLINK("https://www.lazada.vn/products/banh-cha-bong-ga-trung-muoi-jambon-md-thai-lan-500g-i2698196220.html", "https://www.lazada.vn/products/banh-cha-bong-ga-trung-muoi-jambon-md-thai-lan-500g-i2698196220.html")</f>
        <v>https://www.lazada.vn/products/banh-cha-bong-ga-trung-muoi-jambon-md-thai-lan-500g-i2698196220.html</v>
      </c>
      <c r="C5251" s="10" t="s">
        <v>5251</v>
      </c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>
      <c r="A5252" s="8">
        <v>10106.0</v>
      </c>
      <c r="B5252" s="9" t="str">
        <f>HYPERLINK("https://www.lazada.vn/products/le-10-vien-milo-cube-thai-lan-i2915983850.html", "https://www.lazada.vn/products/le-10-vien-milo-cube-thai-lan-i2915983850.html")</f>
        <v>https://www.lazada.vn/products/le-10-vien-milo-cube-thai-lan-i2915983850.html</v>
      </c>
      <c r="C5252" s="10" t="s">
        <v>5252</v>
      </c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>
      <c r="A5253" s="8">
        <v>10107.0</v>
      </c>
      <c r="B5253" s="9" t="str">
        <f>HYPERLINK("https://www.lazada.vn/products/500g-banh-con-sung-30k-i2494787010.html", "https://www.lazada.vn/products/500g-banh-con-sung-30k-i2494787010.html")</f>
        <v>https://www.lazada.vn/products/500g-banh-con-sung-30k-i2494787010.html</v>
      </c>
      <c r="C5253" s="10" t="s">
        <v>5253</v>
      </c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>
      <c r="A5254" s="8">
        <v>10108.0</v>
      </c>
      <c r="B5254" s="9" t="str">
        <f>HYPERLINK("https://www.lazada.vn/products/200g-bot-pha-tra-sua-huong-khoai-mon-i2675363464.html", "https://www.lazada.vn/products/200g-bot-pha-tra-sua-huong-khoai-mon-i2675363464.html")</f>
        <v>https://www.lazada.vn/products/200g-bot-pha-tra-sua-huong-khoai-mon-i2675363464.html</v>
      </c>
      <c r="C5254" s="10" t="s">
        <v>5254</v>
      </c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>
      <c r="A5255" s="8">
        <v>10109.0</v>
      </c>
      <c r="B5255" s="9" t="str">
        <f>HYPERLINK("https://www.lazada.vn/products/combo-12-chiec-banh-trung-thu-lava-nhan-chay-bibizan-i2695678016.html", "https://www.lazada.vn/products/combo-12-chiec-banh-trung-thu-lava-nhan-chay-bibizan-i2695678016.html")</f>
        <v>https://www.lazada.vn/products/combo-12-chiec-banh-trung-thu-lava-nhan-chay-bibizan-i2695678016.html</v>
      </c>
      <c r="C5255" s="10" t="s">
        <v>5255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>
      <c r="A5256" s="8">
        <v>10110.0</v>
      </c>
      <c r="B5256" s="9" t="str">
        <f>HYPERLINK("https://www.lazada.vn/products/my-tom-omni-chua-cay-thung-bat-60-goi-x-75g-i1433080519.html", "https://www.lazada.vn/products/my-tom-omni-chua-cay-thung-bat-60-goi-x-75g-i1433080519.html")</f>
        <v>https://www.lazada.vn/products/my-tom-omni-chua-cay-thung-bat-60-goi-x-75g-i1433080519.html</v>
      </c>
      <c r="C5256" s="10" t="s">
        <v>5256</v>
      </c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>
      <c r="A5257" s="8">
        <v>10111.0</v>
      </c>
      <c r="B5257" s="9" t="str">
        <f>HYPERLINK("https://www.lazada.vn/products/tang-dua-say-ca-phe-sau-rieng-durikopi-hoa-tan-instant-delight-hop-160gr-10-goi-cafe-hoa-tan-chinh-hang-ban-me-gold-rexsun-i2687662481.html", "https://www.lazada.vn/products/tang-dua-say-ca-phe-sau-rieng-durikopi-hoa-tan-instant-delight-hop-160gr-10-goi-cafe-hoa-tan-chinh-hang-ban-me-gold-rexsun-i2687662481.html")</f>
        <v>https://www.lazada.vn/products/tang-dua-say-ca-phe-sau-rieng-durikopi-hoa-tan-instant-delight-hop-160gr-10-goi-cafe-hoa-tan-chinh-hang-ban-me-gold-rexsun-i2687662481.html</v>
      </c>
      <c r="C5257" s="10" t="s">
        <v>5257</v>
      </c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>
      <c r="A5258" s="8">
        <v>10112.0</v>
      </c>
      <c r="B5258" s="9" t="str">
        <f>HYPERLINK("https://www.lazada.vn/products/thung-1kg-banh-mi-nhan-kem-chay-vi-socola-sua-chua-yogurt-hang-aidebao-khoang-14-15-banh-b153-beegin-mart-i2641448701.html", "https://www.lazada.vn/products/thung-1kg-banh-mi-nhan-kem-chay-vi-socola-sua-chua-yogurt-hang-aidebao-khoang-14-15-banh-b153-beegin-mart-i2641448701.html")</f>
        <v>https://www.lazada.vn/products/thung-1kg-banh-mi-nhan-kem-chay-vi-socola-sua-chua-yogurt-hang-aidebao-khoang-14-15-banh-b153-beegin-mart-i2641448701.html</v>
      </c>
      <c r="C5258" s="10" t="s">
        <v>5258</v>
      </c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>
      <c r="A5259" s="8">
        <v>10113.0</v>
      </c>
      <c r="B5259" s="9" t="str">
        <f>HYPERLINK("https://www.lazada.vn/products/thung-2kg-banh-mi-nhan-kem-chay-vi-socola-sua-chua-yogurt-hang-aidebao-khoang-29-30-banh-b153-beegin-mart-i2641412756.html", "https://www.lazada.vn/products/thung-2kg-banh-mi-nhan-kem-chay-vi-socola-sua-chua-yogurt-hang-aidebao-khoang-29-30-banh-b153-beegin-mart-i2641412756.html")</f>
        <v>https://www.lazada.vn/products/thung-2kg-banh-mi-nhan-kem-chay-vi-socola-sua-chua-yogurt-hang-aidebao-khoang-29-30-banh-b153-beegin-mart-i2641412756.html</v>
      </c>
      <c r="C5259" s="10" t="s">
        <v>5259</v>
      </c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>
      <c r="A5260" s="8">
        <v>10114.0</v>
      </c>
      <c r="B5260" s="9" t="str">
        <f>HYPERLINK("https://www.lazada.vn/products/combo-5-banh-mi-nhan-kem-chay-vi-socola-sua-chua-yogurt-hang-aidebao-b153-gia-ngan-food-i2641412738.html", "https://www.lazada.vn/products/combo-5-banh-mi-nhan-kem-chay-vi-socola-sua-chua-yogurt-hang-aidebao-b153-gia-ngan-food-i2641412738.html")</f>
        <v>https://www.lazada.vn/products/combo-5-banh-mi-nhan-kem-chay-vi-socola-sua-chua-yogurt-hang-aidebao-b153-gia-ngan-food-i2641412738.html</v>
      </c>
      <c r="C5260" s="10" t="s">
        <v>5260</v>
      </c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>
      <c r="A5261" s="8">
        <v>10115.0</v>
      </c>
      <c r="B5261" s="9" t="str">
        <f>HYPERLINK("https://www.lazada.vn/products/nuoc-ngot-mirinda-thai-vi-kem-dau-cam-loc-6-lon-i2428366764.html", "https://www.lazada.vn/products/nuoc-ngot-mirinda-thai-vi-kem-dau-cam-loc-6-lon-i2428366764.html")</f>
        <v>https://www.lazada.vn/products/nuoc-ngot-mirinda-thai-vi-kem-dau-cam-loc-6-lon-i2428366764.html</v>
      </c>
      <c r="C5261" s="10" t="s">
        <v>5261</v>
      </c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>
      <c r="A5262" s="8">
        <v>10116.0</v>
      </c>
      <c r="B5262" s="9" t="str">
        <f>HYPERLINK("https://www.lazada.vn/products/nuoc-khoang-evian-500ml-thung-24-chai-nhap-khau-tu-phap-i2432511696.html", "https://www.lazada.vn/products/nuoc-khoang-evian-500ml-thung-24-chai-nhap-khau-tu-phap-i2432511696.html")</f>
        <v>https://www.lazada.vn/products/nuoc-khoang-evian-500ml-thung-24-chai-nhap-khau-tu-phap-i2432511696.html</v>
      </c>
      <c r="C5262" s="10" t="s">
        <v>5262</v>
      </c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>
      <c r="A5263" s="8">
        <v>10117.0</v>
      </c>
      <c r="B5263" s="9" t="str">
        <f>HYPERLINK("https://www.lazada.vn/products/thung-24-lon-bia-tiger-crystal-cool-pack-250-mllon-i2942503831.html", "https://www.lazada.vn/products/thung-24-lon-bia-tiger-crystal-cool-pack-250-mllon-i2942503831.html")</f>
        <v>https://www.lazada.vn/products/thung-24-lon-bia-tiger-crystal-cool-pack-250-mllon-i2942503831.html</v>
      </c>
      <c r="C5263" s="10" t="s">
        <v>5263</v>
      </c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>
      <c r="A5264" s="8">
        <v>10118.0</v>
      </c>
      <c r="B5264" s="9" t="str">
        <f>HYPERLINK("https://www.lazada.vn/products/ruou-sake-nhat-mutsu-hassen-hanaomoi-50-i2392468366.html", "https://www.lazada.vn/products/ruou-sake-nhat-mutsu-hassen-hanaomoi-50-i2392468366.html")</f>
        <v>https://www.lazada.vn/products/ruou-sake-nhat-mutsu-hassen-hanaomoi-50-i2392468366.html</v>
      </c>
      <c r="C5264" s="10" t="s">
        <v>5264</v>
      </c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>
      <c r="A5265" s="8">
        <v>10119.0</v>
      </c>
      <c r="B5265" s="9" t="str">
        <f>HYPERLINK("https://www.lazada.vn/products/cha-hoa-ca-chep-con-500gr-giao-hoa-toc-tpchm-i1928917469.html", "https://www.lazada.vn/products/cha-hoa-ca-chep-con-500gr-giao-hoa-toc-tpchm-i1928917469.html")</f>
        <v>https://www.lazada.vn/products/cha-hoa-ca-chep-con-500gr-giao-hoa-toc-tpchm-i1928917469.html</v>
      </c>
      <c r="C5265" s="10" t="s">
        <v>5265</v>
      </c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>
      <c r="A5266" s="8">
        <v>10120.0</v>
      </c>
      <c r="B5266" s="9" t="str">
        <f>HYPERLINK("https://www.lazada.vn/products/banh-quy-nhan-hoa-qua-deo-nhieu-huong-vi-thom-ngon-an-vat-i1594228291.html", "https://www.lazada.vn/products/banh-quy-nhan-hoa-qua-deo-nhieu-huong-vi-thom-ngon-an-vat-i1594228291.html")</f>
        <v>https://www.lazada.vn/products/banh-quy-nhan-hoa-qua-deo-nhieu-huong-vi-thom-ngon-an-vat-i1594228291.html</v>
      </c>
      <c r="C5266" s="10" t="s">
        <v>5266</v>
      </c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>
      <c r="A5267" s="8">
        <v>10121.0</v>
      </c>
      <c r="B5267" s="9" t="str">
        <f>HYPERLINK("https://www.lazada.vn/products/tang-kem-ly-loc-6-chai-bia-liefmans-fruitesse-tang-1-ly-i407422869.html", "https://www.lazada.vn/products/tang-kem-ly-loc-6-chai-bia-liefmans-fruitesse-tang-1-ly-i407422869.html")</f>
        <v>https://www.lazada.vn/products/tang-kem-ly-loc-6-chai-bia-liefmans-fruitesse-tang-1-ly-i407422869.html</v>
      </c>
      <c r="C5267" s="10" t="s">
        <v>5267</v>
      </c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>
      <c r="A5268" s="8">
        <v>10122.0</v>
      </c>
      <c r="B5268" s="9" t="str">
        <f>HYPERLINK("https://www.lazada.vn/products/strawberry-dried-fruit-snack-500g-snowflake-crisp-baking-special-use-pregnant-women-commercial-snacks-dried-fruit-sweet-candy-i2923585712.html", "https://www.lazada.vn/products/strawberry-dried-fruit-snack-500g-snowflake-crisp-baking-special-use-pregnant-women-commercial-snacks-dried-fruit-sweet-candy-i2923585712.html")</f>
        <v>https://www.lazada.vn/products/strawberry-dried-fruit-snack-500g-snowflake-crisp-baking-special-use-pregnant-women-commercial-snacks-dried-fruit-sweet-candy-i2923585712.html</v>
      </c>
      <c r="C5268" s="10" t="s">
        <v>5268</v>
      </c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>
      <c r="A5269" s="8">
        <v>10123.0</v>
      </c>
      <c r="B5269" s="9" t="str">
        <f>HYPERLINK("https://www.lazada.vn/products/viva-vodka-chai-nho-39-300ml-i2714778450.html", "https://www.lazada.vn/products/viva-vodka-chai-nho-39-300ml-i2714778450.html")</f>
        <v>https://www.lazada.vn/products/viva-vodka-chai-nho-39-300ml-i2714778450.html</v>
      </c>
      <c r="C5269" s="10" t="s">
        <v>5269</v>
      </c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>
      <c r="A5270" s="8">
        <v>10124.0</v>
      </c>
      <c r="B5270" s="9" t="str">
        <f>HYPERLINK("https://www.lazada.vn/products/20-chai-nuoc-khoang-man-quang-hanh-500ml-bo-sung-gas-nap-xanh-bao-bi-moi-can-bang-dien-giai-tot-cho-suc-khoe-lam-dep-da-i2677525487.html", "https://www.lazada.vn/products/20-chai-nuoc-khoang-man-quang-hanh-500ml-bo-sung-gas-nap-xanh-bao-bi-moi-can-bang-dien-giai-tot-cho-suc-khoe-lam-dep-da-i2677525487.html")</f>
        <v>https://www.lazada.vn/products/20-chai-nuoc-khoang-man-quang-hanh-500ml-bo-sung-gas-nap-xanh-bao-bi-moi-can-bang-dien-giai-tot-cho-suc-khoe-lam-dep-da-i2677525487.html</v>
      </c>
      <c r="C5270" s="10" t="s">
        <v>5270</v>
      </c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>
      <c r="A5271" s="8">
        <v>10125.0</v>
      </c>
      <c r="B5271" s="9" t="str">
        <f>HYPERLINK("https://www.lazada.vn/products/thach-pudding-cap-xach-ba-vi-dau-vai-xoai-i2410775676.html", "https://www.lazada.vn/products/thach-pudding-cap-xach-ba-vi-dau-vai-xoai-i2410775676.html")</f>
        <v>https://www.lazada.vn/products/thach-pudding-cap-xach-ba-vi-dau-vai-xoai-i2410775676.html</v>
      </c>
      <c r="C5271" s="10" t="s">
        <v>5271</v>
      </c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>
      <c r="A5272" s="8">
        <v>10126.0</v>
      </c>
      <c r="B5272" s="9" t="str">
        <f>HYPERLINK("https://www.lazada.vn/products/vang-bich-amor-de-chile-5-lit-i2630887504.html", "https://www.lazada.vn/products/vang-bich-amor-de-chile-5-lit-i2630887504.html")</f>
        <v>https://www.lazada.vn/products/vang-bich-amor-de-chile-5-lit-i2630887504.html</v>
      </c>
      <c r="C5272" s="10" t="s">
        <v>5272</v>
      </c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>
      <c r="A5273" s="8">
        <v>10127.0</v>
      </c>
      <c r="B5273" s="9" t="str">
        <f>HYPERLINK("https://www.lazada.vn/products/chinesefoodsun-tai-heo-cay-ba-di-thom-ngon-dac-biet-goi-12g-i1738020433.html", "https://www.lazada.vn/products/chinesefoodsun-tai-heo-cay-ba-di-thom-ngon-dac-biet-goi-12g-i1738020433.html")</f>
        <v>https://www.lazada.vn/products/chinesefoodsun-tai-heo-cay-ba-di-thom-ngon-dac-biet-goi-12g-i1738020433.html</v>
      </c>
      <c r="C5273" s="10" t="s">
        <v>5273</v>
      </c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>
      <c r="A5274" s="8">
        <v>10128.0</v>
      </c>
      <c r="B5274" s="9" t="str">
        <f>HYPERLINK("https://www.lazada.vn/products/ruou-nau-an-haday-hai-thien-haday-cooking-wine-chai-lon-tiet-kiem-1l9-i2525332627.html", "https://www.lazada.vn/products/ruou-nau-an-haday-hai-thien-haday-cooking-wine-chai-lon-tiet-kiem-1l9-i2525332627.html")</f>
        <v>https://www.lazada.vn/products/ruou-nau-an-haday-hai-thien-haday-cooking-wine-chai-lon-tiet-kiem-1l9-i2525332627.html</v>
      </c>
      <c r="C5274" s="10" t="s">
        <v>5274</v>
      </c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>
      <c r="A5275" s="8">
        <v>10129.0</v>
      </c>
      <c r="B5275" s="9" t="str">
        <f>HYPERLINK("https://www.lazada.vn/products/tomato-tp-tui-lon-1-kg-bot-pho-mai-tornado-vi-truyen-thong-tornado-powder-with-cheese-i3036247297.html", "https://www.lazada.vn/products/tomato-tp-tui-lon-1-kg-bot-pho-mai-tornado-vi-truyen-thong-tornado-powder-with-cheese-i3036247297.html")</f>
        <v>https://www.lazada.vn/products/tomato-tp-tui-lon-1-kg-bot-pho-mai-tornado-vi-truyen-thong-tornado-powder-with-cheese-i3036247297.html</v>
      </c>
      <c r="C5275" s="10" t="s">
        <v>5275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>
      <c r="A5276" s="8">
        <v>10130.0</v>
      </c>
      <c r="B5276" s="9" t="str">
        <f>HYPERLINK("https://www.lazada.vn/products/keo-hong-sam-khong-duong-365-han-quoc-500gr-i2916250204.html", "https://www.lazada.vn/products/keo-hong-sam-khong-duong-365-han-quoc-500gr-i2916250204.html")</f>
        <v>https://www.lazada.vn/products/keo-hong-sam-khong-duong-365-han-quoc-500gr-i2916250204.html</v>
      </c>
      <c r="C5276" s="10" t="s">
        <v>5276</v>
      </c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>
      <c r="A5277" s="8">
        <v>10131.0</v>
      </c>
      <c r="B5277" s="9" t="str">
        <f>HYPERLINK("https://www.lazada.vn/products/hot-cocoa-mix-rich-milk-chocolate-flavor-cacao-nong-nestle-i1999539878.html", "https://www.lazada.vn/products/hot-cocoa-mix-rich-milk-chocolate-flavor-cacao-nong-nestle-i1999539878.html")</f>
        <v>https://www.lazada.vn/products/hot-cocoa-mix-rich-milk-chocolate-flavor-cacao-nong-nestle-i1999539878.html</v>
      </c>
      <c r="C5277" s="10" t="s">
        <v>5277</v>
      </c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>
      <c r="A5278" s="8">
        <v>10132.0</v>
      </c>
      <c r="B5278" s="9" t="str">
        <f>HYPERLINK("https://www.lazada.vn/products/goi-1kg-keo-socola-dua-hau-viet-thai-i2915920801.html", "https://www.lazada.vn/products/goi-1kg-keo-socola-dua-hau-viet-thai-i2915920801.html")</f>
        <v>https://www.lazada.vn/products/goi-1kg-keo-socola-dua-hau-viet-thai-i2915920801.html</v>
      </c>
      <c r="C5278" s="10" t="s">
        <v>5278</v>
      </c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>
      <c r="A5279" s="8">
        <v>10133.0</v>
      </c>
      <c r="B5279" s="9" t="str">
        <f>HYPERLINK("https://www.lazada.vn/products/3-bich-banh-trang-nuong-mikiri-bich-5-cai-i2494606792.html", "https://www.lazada.vn/products/3-bich-banh-trang-nuong-mikiri-bich-5-cai-i2494606792.html")</f>
        <v>https://www.lazada.vn/products/3-bich-banh-trang-nuong-mikiri-bich-5-cai-i2494606792.html</v>
      </c>
      <c r="C5279" s="10" t="s">
        <v>5279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>
      <c r="A5280" s="8">
        <v>10134.0</v>
      </c>
      <c r="B5280" s="9" t="str">
        <f>HYPERLINK("https://www.lazada.vn/products/200g-bot-pha-tra-sua-huong-khoai-mon-i2675333163.html", "https://www.lazada.vn/products/200g-bot-pha-tra-sua-huong-khoai-mon-i2675333163.html")</f>
        <v>https://www.lazada.vn/products/200g-bot-pha-tra-sua-huong-khoai-mon-i2675333163.html</v>
      </c>
      <c r="C5280" s="10" t="s">
        <v>5280</v>
      </c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>
      <c r="A5281" s="8">
        <v>10135.0</v>
      </c>
      <c r="B5281" s="9" t="str">
        <f>HYPERLINK("https://www.lazada.vn/products/ca-phe-den-da-nescafe-cafe-viet-bich-560g-35-goi-x-16g-i2685936207.html", "https://www.lazada.vn/products/ca-phe-den-da-nescafe-cafe-viet-bich-560g-35-goi-x-16g-i2685936207.html")</f>
        <v>https://www.lazada.vn/products/ca-phe-den-da-nescafe-cafe-viet-bich-560g-35-goi-x-16g-i2685936207.html</v>
      </c>
      <c r="C5281" s="10" t="s">
        <v>5281</v>
      </c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>
      <c r="A5282" s="8">
        <v>10136.0</v>
      </c>
      <c r="B5282" s="9" t="str">
        <f>HYPERLINK("https://www.lazada.vn/products/500g-bot-pha-tra-sua-khoai-mon-i2675333154.html", "https://www.lazada.vn/products/500g-bot-pha-tra-sua-khoai-mon-i2675333154.html")</f>
        <v>https://www.lazada.vn/products/500g-bot-pha-tra-sua-khoai-mon-i2675333154.html</v>
      </c>
      <c r="C5282" s="10" t="s">
        <v>5282</v>
      </c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>
      <c r="A5283" s="8">
        <v>10137.0</v>
      </c>
      <c r="B5283" s="9" t="str">
        <f>HYPERLINK("https://www.lazada.vn/products/my-tom-cung-dinh-cac-vi-1-thung-30-goi-x-85g-date-52022-i1430573159.html", "https://www.lazada.vn/products/my-tom-cung-dinh-cac-vi-1-thung-30-goi-x-85g-date-52022-i1430573159.html")</f>
        <v>https://www.lazada.vn/products/my-tom-cung-dinh-cac-vi-1-thung-30-goi-x-85g-date-52022-i1430573159.html</v>
      </c>
      <c r="C5283" s="10" t="s">
        <v>5283</v>
      </c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>
      <c r="A5284" s="8">
        <v>10138.0</v>
      </c>
      <c r="B5284" s="9" t="str">
        <f>HYPERLINK("https://www.lazada.vn/products/thung-coca-cola-vi-nguyen-ban-24-lon-x-320ml-i2427649180.html", "https://www.lazada.vn/products/thung-coca-cola-vi-nguyen-ban-24-lon-x-320ml-i2427649180.html")</f>
        <v>https://www.lazada.vn/products/thung-coca-cola-vi-nguyen-ban-24-lon-x-320ml-i2427649180.html</v>
      </c>
      <c r="C5284" s="10" t="s">
        <v>5284</v>
      </c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>
      <c r="A5285" s="8">
        <v>10139.0</v>
      </c>
      <c r="B5285" s="9" t="str">
        <f>HYPERLINK("https://www.lazada.vn/products/combo-5-banh-mi-nhan-kem-chay-vi-socola-sua-chua-yogurt-hang-aidebao-b153-an-vat-beegin-i2641408743.html", "https://www.lazada.vn/products/combo-5-banh-mi-nhan-kem-chay-vi-socola-sua-chua-yogurt-hang-aidebao-b153-an-vat-beegin-i2641408743.html")</f>
        <v>https://www.lazada.vn/products/combo-5-banh-mi-nhan-kem-chay-vi-socola-sua-chua-yogurt-hang-aidebao-b153-an-vat-beegin-i2641408743.html</v>
      </c>
      <c r="C5285" s="10" t="s">
        <v>5285</v>
      </c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>
      <c r="A5286" s="8">
        <v>10140.0</v>
      </c>
      <c r="B5286" s="9" t="str">
        <f>HYPERLINK("https://www.lazada.vn/products/loc-6-lon-nuoc-kien-luc-thao-duoc-hong-ma-it-duong-170ml-i2430898046.html", "https://www.lazada.vn/products/loc-6-lon-nuoc-kien-luc-thao-duoc-hong-ma-it-duong-170ml-i2430898046.html")</f>
        <v>https://www.lazada.vn/products/loc-6-lon-nuoc-kien-luc-thao-duoc-hong-ma-it-duong-170ml-i2430898046.html</v>
      </c>
      <c r="C5286" s="10" t="s">
        <v>5286</v>
      </c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>
      <c r="A5287" s="8">
        <v>10141.0</v>
      </c>
      <c r="B5287" s="9" t="str">
        <f>HYPERLINK("https://www.lazada.vn/products/bia-oj-16-nhap-khau-bi-1-thung-24-lon-500ml-i2942487657.html", "https://www.lazada.vn/products/bia-oj-16-nhap-khau-bi-1-thung-24-lon-500ml-i2942487657.html")</f>
        <v>https://www.lazada.vn/products/bia-oj-16-nhap-khau-bi-1-thung-24-lon-500ml-i2942487657.html</v>
      </c>
      <c r="C5287" s="10" t="s">
        <v>5287</v>
      </c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>
      <c r="A5288" s="8">
        <v>10142.0</v>
      </c>
      <c r="B5288" s="9" t="str">
        <f>HYPERLINK("https://www.lazada.vn/products/ruou-sake-nhat-tokubetsu-jyunmaisyu-sawanoizumi-cup-miyagi-i2392461356.html", "https://www.lazada.vn/products/ruou-sake-nhat-tokubetsu-jyunmaisyu-sawanoizumi-cup-miyagi-i2392461356.html")</f>
        <v>https://www.lazada.vn/products/ruou-sake-nhat-tokubetsu-jyunmaisyu-sawanoizumi-cup-miyagi-i2392461356.html</v>
      </c>
      <c r="C5288" s="10" t="s">
        <v>5288</v>
      </c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>
      <c r="A5289" s="8">
        <v>10143.0</v>
      </c>
      <c r="B5289" s="9" t="str">
        <f>HYPERLINK("https://www.lazada.vn/products/muc-rim-me-sate-200gr-i1921564146.html", "https://www.lazada.vn/products/muc-rim-me-sate-200gr-i1921564146.html")</f>
        <v>https://www.lazada.vn/products/muc-rim-me-sate-200gr-i1921564146.html</v>
      </c>
      <c r="C5289" s="10" t="s">
        <v>5289</v>
      </c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>
      <c r="A5290" s="8">
        <v>10144.0</v>
      </c>
      <c r="B5290" s="9" t="str">
        <f>HYPERLINK("https://www.lazada.vn/products/combo-5-bich-banh-bon-soi-ga-an-sang-i1593303345.html", "https://www.lazada.vn/products/combo-5-bich-banh-bon-soi-ga-an-sang-i1593303345.html")</f>
        <v>https://www.lazada.vn/products/combo-5-bich-banh-bon-soi-ga-an-sang-i1593303345.html</v>
      </c>
      <c r="C5290" s="10" t="s">
        <v>5290</v>
      </c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>
      <c r="A5291" s="8">
        <v>10145.0</v>
      </c>
      <c r="B5291" s="9" t="str">
        <f>HYPERLINK("https://www.lazada.vn/products/banh-gau-thai-lan-yo-friend-socola-cham-kem-sua-chocolate-cookies-goi-25g-xanh-i1591936532.html", "https://www.lazada.vn/products/banh-gau-thai-lan-yo-friend-socola-cham-kem-sua-chocolate-cookies-goi-25g-xanh-i1591936532.html")</f>
        <v>https://www.lazada.vn/products/banh-gau-thai-lan-yo-friend-socola-cham-kem-sua-chocolate-cookies-goi-25g-xanh-i1591936532.html</v>
      </c>
      <c r="C5291" s="10" t="s">
        <v>5291</v>
      </c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>
      <c r="A5292" s="8">
        <v>10146.0</v>
      </c>
      <c r="B5292" s="9" t="str">
        <f>HYPERLINK("https://www.lazada.vn/products/loc-6-chai-bia-duvel-tripel-hops-citra-95-330mlx6-i406410443.html", "https://www.lazada.vn/products/loc-6-chai-bia-duvel-tripel-hops-citra-95-330mlx6-i406410443.html")</f>
        <v>https://www.lazada.vn/products/loc-6-chai-bia-duvel-tripel-hops-citra-95-330mlx6-i406410443.html</v>
      </c>
      <c r="C5292" s="10" t="s">
        <v>5292</v>
      </c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>
      <c r="A5293" s="8">
        <v>10147.0</v>
      </c>
      <c r="B5293" s="9" t="str">
        <f>HYPERLINK("https://www.lazada.vn/products/nuoc-khoang-chanh-muoi-quang-hanh-thung-24-chai-i2676534021.html", "https://www.lazada.vn/products/nuoc-khoang-chanh-muoi-quang-hanh-thung-24-chai-i2676534021.html")</f>
        <v>https://www.lazada.vn/products/nuoc-khoang-chanh-muoi-quang-hanh-thung-24-chai-i2676534021.html</v>
      </c>
      <c r="C5293" s="10" t="s">
        <v>5293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>
      <c r="A5294" s="8">
        <v>10148.0</v>
      </c>
      <c r="B5294" s="9" t="str">
        <f>HYPERLINK("https://www.lazada.vn/products/bo-suu-tap-trai-cay-kho-orange-dried-chocolate-wafer-boxed-snack-chocolate-orange-dried-fruit-wafer-teng-wild-village-i2923585685.html", "https://www.lazada.vn/products/bo-suu-tap-trai-cay-kho-orange-dried-chocolate-wafer-boxed-snack-chocolate-orange-dried-fruit-wafer-teng-wild-village-i2923585685.html")</f>
        <v>https://www.lazada.vn/products/bo-suu-tap-trai-cay-kho-orange-dried-chocolate-wafer-boxed-snack-chocolate-orange-dried-fruit-wafer-teng-wild-village-i2923585685.html</v>
      </c>
      <c r="C5294" s="10" t="s">
        <v>5294</v>
      </c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>
      <c r="A5295" s="8">
        <v>10149.0</v>
      </c>
      <c r="B5295" s="9" t="str">
        <f>HYPERLINK("https://www.lazada.vn/products/thach-orihiro-vi-chanh-dao-12p-lon-nhat-ban-i2410749927.html", "https://www.lazada.vn/products/thach-orihiro-vi-chanh-dao-12p-lon-nhat-ban-i2410749927.html")</f>
        <v>https://www.lazada.vn/products/thach-orihiro-vi-chanh-dao-12p-lon-nhat-ban-i2410749927.html</v>
      </c>
      <c r="C5295" s="10" t="s">
        <v>5295</v>
      </c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>
      <c r="A5296" s="8">
        <v>10150.0</v>
      </c>
      <c r="B5296" s="9" t="str">
        <f>HYPERLINK("https://www.lazada.vn/products/100gr-vien-keo-socola-dua-hau-dong-tien-viet-thai-i2915852761.html", "https://www.lazada.vn/products/100gr-vien-keo-socola-dua-hau-dong-tien-viet-thai-i2915852761.html")</f>
        <v>https://www.lazada.vn/products/100gr-vien-keo-socola-dua-hau-dong-tien-viet-thai-i2915852761.html</v>
      </c>
      <c r="C5296" s="10" t="s">
        <v>5296</v>
      </c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>
      <c r="A5297" s="8">
        <v>10151.0</v>
      </c>
      <c r="B5297" s="9" t="str">
        <f>HYPERLINK("https://www.lazada.vn/products/chinesefood2-vien-bo-chay-thom-ngon-dac-biet-goi-22g-i1738018432.html", "https://www.lazada.vn/products/chinesefood2-vien-bo-chay-thom-ngon-dac-biet-goi-22g-i1738018432.html")</f>
        <v>https://www.lazada.vn/products/chinesefood2-vien-bo-chay-thom-ngon-dac-biet-goi-22g-i1738018432.html</v>
      </c>
      <c r="C5297" s="10" t="s">
        <v>5297</v>
      </c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>
      <c r="A5298" s="8">
        <v>10152.0</v>
      </c>
      <c r="B5298" s="9" t="str">
        <f>HYPERLINK("https://www.lazada.vn/products/vang-no-jp-chenet-cabernet-syrah-i2630849829.html", "https://www.lazada.vn/products/vang-no-jp-chenet-cabernet-syrah-i2630849829.html")</f>
        <v>https://www.lazada.vn/products/vang-no-jp-chenet-cabernet-syrah-i2630849829.html</v>
      </c>
      <c r="C5298" s="10" t="s">
        <v>5298</v>
      </c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>
      <c r="A5299" s="8">
        <v>10153.0</v>
      </c>
      <c r="B5299" s="9" t="str">
        <f>HYPERLINK("https://www.lazada.vn/products/xanh-la-cacao-nalee-slim-giamcan-hoan-toan-tu-nhien-mau-moi-20-goi-tang-pomelo-xit-moc-toc-buoi-do-i1986229221.html", "https://www.lazada.vn/products/xanh-la-cacao-nalee-slim-giamcan-hoan-toan-tu-nhien-mau-moi-20-goi-tang-pomelo-xit-moc-toc-buoi-do-i1986229221.html")</f>
        <v>https://www.lazada.vn/products/xanh-la-cacao-nalee-slim-giamcan-hoan-toan-tu-nhien-mau-moi-20-goi-tang-pomelo-xit-moc-toc-buoi-do-i1986229221.html</v>
      </c>
      <c r="C5299" s="10" t="s">
        <v>5299</v>
      </c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>
      <c r="A5300" s="8">
        <v>10154.0</v>
      </c>
      <c r="B5300" s="9" t="str">
        <f>HYPERLINK("https://www.lazada.vn/products/vina-syrup-sam-dua-750ml-i2525061659.html", "https://www.lazada.vn/products/vina-syrup-sam-dua-750ml-i2525061659.html")</f>
        <v>https://www.lazada.vn/products/vina-syrup-sam-dua-750ml-i2525061659.html</v>
      </c>
      <c r="C5300" s="10" t="s">
        <v>5300</v>
      </c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>
      <c r="A5301" s="8">
        <v>10155.0</v>
      </c>
      <c r="B5301" s="9" t="str">
        <f>HYPERLINK("https://www.lazada.vn/products/sea-crown-hop-tron-xanh-la-140g-ca-ngu-sot-ot-tha-lan-tuna-with-chilli-halal-i3036243436.html", "https://www.lazada.vn/products/sea-crown-hop-tron-xanh-la-140g-ca-ngu-sot-ot-tha-lan-tuna-with-chilli-halal-i3036243436.html")</f>
        <v>https://www.lazada.vn/products/sea-crown-hop-tron-xanh-la-140g-ca-ngu-sot-ot-tha-lan-tuna-with-chilli-halal-i3036243436.html</v>
      </c>
      <c r="C5301" s="10" t="s">
        <v>5301</v>
      </c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>
      <c r="A5302" s="8">
        <v>10156.0</v>
      </c>
      <c r="B5302" s="9" t="str">
        <f>HYPERLINK("https://www.lazada.vn/products/sieu-ngon-tui-500g-keo-le-an-phe-nhan-chay-mat-ong-thanh-nhiet-tieu-dom-giam-ho-do-an-vat-noi-dia-an-vat-i2907980769.html", "https://www.lazada.vn/products/sieu-ngon-tui-500g-keo-le-an-phe-nhan-chay-mat-ong-thanh-nhiet-tieu-dom-giam-ho-do-an-vat-noi-dia-an-vat-i2907980769.html")</f>
        <v>https://www.lazada.vn/products/sieu-ngon-tui-500g-keo-le-an-phe-nhan-chay-mat-ong-thanh-nhiet-tieu-dom-giam-ho-do-an-vat-noi-dia-an-vat-i2907980769.html</v>
      </c>
      <c r="C5302" s="10" t="s">
        <v>5302</v>
      </c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>
      <c r="A5303" s="8">
        <v>10157.0</v>
      </c>
      <c r="B5303" s="9" t="str">
        <f>HYPERLINK("https://www.lazada.vn/products/si-inbox-snack-banh-gao-nhat-ban-kameda-mix-dau-phong-6-goi-kakinotane-an-vat-an-toan-khong-gay-nhiet-mieng-kaki-no-tane-i2489999569.html", "https://www.lazada.vn/products/si-inbox-snack-banh-gao-nhat-ban-kameda-mix-dau-phong-6-goi-kakinotane-an-vat-an-toan-khong-gay-nhiet-mieng-kaki-no-tane-i2489999569.html")</f>
        <v>https://www.lazada.vn/products/si-inbox-snack-banh-gao-nhat-ban-kameda-mix-dau-phong-6-goi-kakinotane-an-vat-an-toan-khong-gay-nhiet-mieng-kaki-no-tane-i2489999569.html</v>
      </c>
      <c r="C5303" s="10" t="s">
        <v>5303</v>
      </c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>
      <c r="A5304" s="8">
        <v>10158.0</v>
      </c>
      <c r="B5304" s="9" t="str">
        <f>HYPERLINK("https://www.lazada.vn/products/combo-5-bich-ca-phe-sua-nescafe-3in1-vi-nguyen-ban-cong-thuc-cai-tien-bich-736g-46-goi-x-16g-tang-them-3-goi-i2685930231.html", "https://www.lazada.vn/products/combo-5-bich-ca-phe-sua-nescafe-3in1-vi-nguyen-ban-cong-thuc-cai-tien-bich-736g-46-goi-x-16g-tang-them-3-goi-i2685930231.html")</f>
        <v>https://www.lazada.vn/products/combo-5-bich-ca-phe-sua-nescafe-3in1-vi-nguyen-ban-cong-thuc-cai-tien-bich-736g-46-goi-x-16g-tang-them-3-goi-i2685930231.html</v>
      </c>
      <c r="C5304" s="10" t="s">
        <v>5304</v>
      </c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>
      <c r="A5305" s="8">
        <v>10159.0</v>
      </c>
      <c r="B5305" s="9" t="str">
        <f>HYPERLINK("https://www.lazada.vn/products/thung-1kg-banh-mi-nhan-kem-chay-vi-socola-sua-chua-yogurt-hang-aidebao-khoang-14-15-banh-b153-gia-ngan-food-i2641408708.html", "https://www.lazada.vn/products/thung-1kg-banh-mi-nhan-kem-chay-vi-socola-sua-chua-yogurt-hang-aidebao-khoang-14-15-banh-b153-gia-ngan-food-i2641408708.html")</f>
        <v>https://www.lazada.vn/products/thung-1kg-banh-mi-nhan-kem-chay-vi-socola-sua-chua-yogurt-hang-aidebao-khoang-14-15-banh-b153-gia-ngan-food-i2641408708.html</v>
      </c>
      <c r="C5305" s="10" t="s">
        <v>5305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>
      <c r="A5306" s="8">
        <v>10160.0</v>
      </c>
      <c r="B5306" s="9" t="str">
        <f>HYPERLINK("https://www.lazada.vn/products/loc-6-lon-coca-cola-320ml-i2427637311.html", "https://www.lazada.vn/products/loc-6-lon-coca-cola-320ml-i2427637311.html")</f>
        <v>https://www.lazada.vn/products/loc-6-lon-coca-cola-320ml-i2427637311.html</v>
      </c>
      <c r="C5306" s="10" t="s">
        <v>5306</v>
      </c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>
      <c r="A5307" s="8">
        <v>10161.0</v>
      </c>
      <c r="B5307" s="9" t="str">
        <f>HYPERLINK("https://www.lazada.vn/products/my-tom-hao-hao-chua-cay-moi-ra-85g-1-thung-16-goi-i1427718059.html", "https://www.lazada.vn/products/my-tom-hao-hao-chua-cay-moi-ra-85g-1-thung-16-goi-i1427718059.html")</f>
        <v>https://www.lazada.vn/products/my-tom-hao-hao-chua-cay-moi-ra-85g-1-thung-16-goi-i1427718059.html</v>
      </c>
      <c r="C5307" s="10" t="s">
        <v>5307</v>
      </c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>
      <c r="A5308" s="8">
        <v>10162.0</v>
      </c>
      <c r="B5308" s="9" t="str">
        <f>HYPERLINK("https://www.lazada.vn/products/nuoc-kien-luc-thao-duoc-hong-ma-it-duong-lon-170ml-i2430493819.html", "https://www.lazada.vn/products/nuoc-kien-luc-thao-duoc-hong-ma-it-duong-lon-170ml-i2430493819.html")</f>
        <v>https://www.lazada.vn/products/nuoc-kien-luc-thao-duoc-hong-ma-it-duong-lon-170ml-i2430493819.html</v>
      </c>
      <c r="C5308" s="10" t="s">
        <v>5308</v>
      </c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>
      <c r="A5309" s="8">
        <v>10163.0</v>
      </c>
      <c r="B5309" s="9" t="str">
        <f>HYPERLINK("https://www.lazada.vn/products/bia-oj-16-nhap-khau-bi-1-lon-500ml-i2942433851.html", "https://www.lazada.vn/products/bia-oj-16-nhap-khau-bi-1-lon-500ml-i2942433851.html")</f>
        <v>https://www.lazada.vn/products/bia-oj-16-nhap-khau-bi-1-lon-500ml-i2942433851.html</v>
      </c>
      <c r="C5309" s="10" t="s">
        <v>5309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>
      <c r="A5310" s="8">
        <v>10164.0</v>
      </c>
      <c r="B5310" s="9" t="str">
        <f>HYPERLINK("https://www.lazada.vn/products/ruou-sake-nhat-tsuyahime-junmai-ginjo-aratama-720ml-i2392439374.html", "https://www.lazada.vn/products/ruou-sake-nhat-tsuyahime-junmai-ginjo-aratama-720ml-i2392439374.html")</f>
        <v>https://www.lazada.vn/products/ruou-sake-nhat-tsuyahime-junmai-ginjo-aratama-720ml-i2392439374.html</v>
      </c>
      <c r="C5310" s="10" t="s">
        <v>5310</v>
      </c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>
      <c r="A5311" s="8">
        <v>10165.0</v>
      </c>
      <c r="B5311" s="9" t="str">
        <f>HYPERLINK("https://www.lazada.vn/products/mam-muc-nguyen-chat-500gr-i1919992037.html", "https://www.lazada.vn/products/mam-muc-nguyen-chat-500gr-i1919992037.html")</f>
        <v>https://www.lazada.vn/products/mam-muc-nguyen-chat-500gr-i1919992037.html</v>
      </c>
      <c r="C5311" s="10" t="s">
        <v>5311</v>
      </c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>
      <c r="A5312" s="8">
        <v>10166.0</v>
      </c>
      <c r="B5312" s="9" t="str">
        <f>HYPERLINK("https://www.lazada.vn/products/banh-gau-thai-lan-yo-friend-kem-bo-cham-kem-socola-chocolate-goi-25g-vang-i1591927643.html", "https://www.lazada.vn/products/banh-gau-thai-lan-yo-friend-kem-bo-cham-kem-socola-chocolate-goi-25g-vang-i1591927643.html")</f>
        <v>https://www.lazada.vn/products/banh-gau-thai-lan-yo-friend-kem-bo-cham-kem-socola-chocolate-goi-25g-vang-i1591927643.html</v>
      </c>
      <c r="C5312" s="10" t="s">
        <v>5312</v>
      </c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>
      <c r="A5313" s="8">
        <v>10167.0</v>
      </c>
      <c r="B5313" s="9" t="str">
        <f>HYPERLINK("https://www.lazada.vn/products/banh-chocopie-orion-hop-12-banh-hanh-nhan-truyen-thong-dao-i1588882300.html", "https://www.lazada.vn/products/banh-chocopie-orion-hop-12-banh-hanh-nhan-truyen-thong-dao-i1588882300.html")</f>
        <v>https://www.lazada.vn/products/banh-chocopie-orion-hop-12-banh-hanh-nhan-truyen-thong-dao-i1588882300.html</v>
      </c>
      <c r="C5313" s="10" t="s">
        <v>5313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>
      <c r="A5314" s="8">
        <v>10168.0</v>
      </c>
      <c r="B5314" s="9" t="str">
        <f>HYPERLINK("https://www.lazada.vn/products/mua-1-tang-1-nuoc-yen-justnest-gao-rang-to-yen-nguyen-soi-hop-10-x-tui-160ml-i2676402733.html", "https://www.lazada.vn/products/mua-1-tang-1-nuoc-yen-justnest-gao-rang-to-yen-nguyen-soi-hop-10-x-tui-160ml-i2676402733.html")</f>
        <v>https://www.lazada.vn/products/mua-1-tang-1-nuoc-yen-justnest-gao-rang-to-yen-nguyen-soi-hop-10-x-tui-160ml-i2676402733.html</v>
      </c>
      <c r="C5314" s="10" t="s">
        <v>5314</v>
      </c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>
      <c r="A5315" s="8">
        <v>10169.0</v>
      </c>
      <c r="B5315" s="9" t="str">
        <f>HYPERLINK("https://www.lazada.vn/products/bo-suu-tap-kho-chin-soi-dua-moi-kho-tu-nhien-dong-goi-roi-dua-xanh-tuoi-cua-quang-tay-dua-cat-thanh-vien-i2923585679.html", "https://www.lazada.vn/products/bo-suu-tap-kho-chin-soi-dua-moi-kho-tu-nhien-dong-goi-roi-dua-xanh-tuoi-cua-quang-tay-dua-cat-thanh-vien-i2923585679.html")</f>
        <v>https://www.lazada.vn/products/bo-suu-tap-kho-chin-soi-dua-moi-kho-tu-nhien-dong-goi-roi-dua-xanh-tuoi-cua-quang-tay-dua-cat-thanh-vien-i2923585679.html</v>
      </c>
      <c r="C5315" s="10" t="s">
        <v>5315</v>
      </c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>
      <c r="A5316" s="8">
        <v>10170.0</v>
      </c>
      <c r="B5316" s="9" t="str">
        <f>HYPERLINK("https://www.lazada.vn/products/chinesefoodrau-mam-da-muoi-gion-khong-cay-goi-70g-i1738017410.html", "https://www.lazada.vn/products/chinesefoodrau-mam-da-muoi-gion-khong-cay-goi-70g-i1738017410.html")</f>
        <v>https://www.lazada.vn/products/chinesefoodrau-mam-da-muoi-gion-khong-cay-goi-70g-i1738017410.html</v>
      </c>
      <c r="C5316" s="10" t="s">
        <v>5316</v>
      </c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>
      <c r="A5317" s="8">
        <v>10171.0</v>
      </c>
      <c r="B5317" s="9" t="str">
        <f>HYPERLINK("https://www.lazada.vn/products/7bo-tun-khun-ede-tang-kha-nang-quan-hecuong_cunghung-phanbo_than-dut-tieu-dem-boi-bo-suc_khoe-tk-11-i359622953.html", "https://www.lazada.vn/products/7bo-tun-khun-ede-tang-kha-nang-quan-hecuong_cunghung-phanbo_than-dut-tieu-dem-boi-bo-suc_khoe-tk-11-i359622953.html")</f>
        <v>https://www.lazada.vn/products/7bo-tun-khun-ede-tang-kha-nang-quan-hecuong_cunghung-phanbo_than-dut-tieu-dem-boi-bo-suc_khoe-tk-11-i359622953.html</v>
      </c>
      <c r="C5317" s="10" t="s">
        <v>5317</v>
      </c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>
      <c r="A5318" s="8">
        <v>10172.0</v>
      </c>
      <c r="B5318" s="9" t="str">
        <f>HYPERLINK("https://www.lazada.vn/products/vgreen-thach-kombucha-mix-vi-kombucha-hasu-biotic-jelly-1kg-hop-i2408413657.html", "https://www.lazada.vn/products/vgreen-thach-kombucha-mix-vi-kombucha-hasu-biotic-jelly-1kg-hop-i2408413657.html")</f>
        <v>https://www.lazada.vn/products/vgreen-thach-kombucha-mix-vi-kombucha-hasu-biotic-jelly-1kg-hop-i2408413657.html</v>
      </c>
      <c r="C5318" s="10" t="s">
        <v>5318</v>
      </c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>
      <c r="A5319" s="8">
        <v>10173.0</v>
      </c>
      <c r="B5319" s="9" t="str">
        <f>HYPERLINK("https://www.lazada.vn/products/socola-bac-ha-andes-my-240-thoi-hop-so-co-la-113kg-i2915225265.html", "https://www.lazada.vn/products/socola-bac-ha-andes-my-240-thoi-hop-so-co-la-113kg-i2915225265.html")</f>
        <v>https://www.lazada.vn/products/socola-bac-ha-andes-my-240-thoi-hop-so-co-la-113kg-i2915225265.html</v>
      </c>
      <c r="C5319" s="10" t="s">
        <v>5319</v>
      </c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>
      <c r="A5320" s="8">
        <v>10174.0</v>
      </c>
      <c r="B5320" s="9" t="str">
        <f>HYPERLINK("https://www.lazada.vn/products/thuc-uong-lua-mach-nestle-milo-i1964839697.html", "https://www.lazada.vn/products/thuc-uong-lua-mach-nestle-milo-i1964839697.html")</f>
        <v>https://www.lazada.vn/products/thuc-uong-lua-mach-nestle-milo-i1964839697.html</v>
      </c>
      <c r="C5320" s="10" t="s">
        <v>5320</v>
      </c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>
      <c r="A5321" s="8">
        <v>10175.0</v>
      </c>
      <c r="B5321" s="9" t="str">
        <f>HYPERLINK("https://www.lazada.vn/products/vang-phap-chales-gary_750ml-i2630848932.html", "https://www.lazada.vn/products/vang-phap-chales-gary_750ml-i2630848932.html")</f>
        <v>https://www.lazada.vn/products/vang-phap-chales-gary_750ml-i2630848932.html</v>
      </c>
      <c r="C5321" s="10" t="s">
        <v>5321</v>
      </c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>
      <c r="A5322" s="8">
        <v>10176.0</v>
      </c>
      <c r="B5322" s="9" t="str">
        <f>HYPERLINK("https://www.lazada.vn/products/kirkland-lo-tt-lon-094-kg-hoa-atiso-ngam-peru-artichoke-hearts-marinated-in-oil-i3036239267.html", "https://www.lazada.vn/products/kirkland-lo-tt-lon-094-kg-hoa-atiso-ngam-peru-artichoke-hearts-marinated-in-oil-i3036239267.html")</f>
        <v>https://www.lazada.vn/products/kirkland-lo-tt-lon-094-kg-hoa-atiso-ngam-peru-artichoke-hearts-marinated-in-oil-i3036239267.html</v>
      </c>
      <c r="C5322" s="10" t="s">
        <v>5322</v>
      </c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>
      <c r="A5323" s="8">
        <v>10177.0</v>
      </c>
      <c r="B5323" s="9" t="str">
        <f>HYPERLINK("https://www.lazada.vn/products/keo-dua-non-100g-keo-dua-sakura-nhat-ban-thom-gion-beo-ngay-dam-vi-cot-dua-i2893043165.html", "https://www.lazada.vn/products/keo-dua-non-100g-keo-dua-sakura-nhat-ban-thom-gion-beo-ngay-dam-vi-cot-dua-i2893043165.html")</f>
        <v>https://www.lazada.vn/products/keo-dua-non-100g-keo-dua-sakura-nhat-ban-thom-gion-beo-ngay-dam-vi-cot-dua-i2893043165.html</v>
      </c>
      <c r="C5323" s="10" t="s">
        <v>5323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>
      <c r="A5324" s="8">
        <v>10178.0</v>
      </c>
      <c r="B5324" s="9" t="str">
        <f>HYPERLINK("https://www.lazada.vn/products/tran-chau-hoang-kim-nguyen-lieu-nau-tra-sua-cao-cap-bep-che-thai-i2524509924.html", "https://www.lazada.vn/products/tran-chau-hoang-kim-nguyen-lieu-nau-tra-sua-cao-cap-bep-che-thai-i2524509924.html")</f>
        <v>https://www.lazada.vn/products/tran-chau-hoang-kim-nguyen-lieu-nau-tra-sua-cao-cap-bep-che-thai-i2524509924.html</v>
      </c>
      <c r="C5324" s="10" t="s">
        <v>5324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>
      <c r="A5325" s="8">
        <v>10179.0</v>
      </c>
      <c r="B5325" s="9" t="str">
        <f>HYPERLINK("https://www.lazada.vn/products/combo-5-bich-ca-phe-sua-vinacafe-gold-original-480g-24-goi-x-20g-i2685918104.html", "https://www.lazada.vn/products/combo-5-bich-ca-phe-sua-vinacafe-gold-original-480g-24-goi-x-20g-i2685918104.html")</f>
        <v>https://www.lazada.vn/products/combo-5-bich-ca-phe-sua-vinacafe-gold-original-480g-24-goi-x-20g-i2685918104.html</v>
      </c>
      <c r="C5325" s="10" t="s">
        <v>5325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>
      <c r="A5326" s="8">
        <v>10180.0</v>
      </c>
      <c r="B5326" s="9" t="str">
        <f>HYPERLINK("https://www.lazada.vn/products/combo-2-banh-trang-cham-me-hong-hanh-bao-ngon-an-la-ghien-day-du-sate-muoi-va-tat-heri-food-i2488040594.html", "https://www.lazada.vn/products/combo-2-banh-trang-cham-me-hong-hanh-bao-ngon-an-la-ghien-day-du-sate-muoi-va-tat-heri-food-i2488040594.html")</f>
        <v>https://www.lazada.vn/products/combo-2-banh-trang-cham-me-hong-hanh-bao-ngon-an-la-ghien-day-du-sate-muoi-va-tat-heri-food-i2488040594.html</v>
      </c>
      <c r="C5326" s="10" t="s">
        <v>5326</v>
      </c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>
      <c r="A5327" s="8">
        <v>10181.0</v>
      </c>
      <c r="B5327" s="9" t="str">
        <f>HYPERLINK("https://www.lazada.vn/products/combo-5-banh-mi-nhan-kem-chay-vi-socola-sua-chua-yogurt-hang-aideba-b153-beegin-food-store-i2641395803.html", "https://www.lazada.vn/products/combo-5-banh-mi-nhan-kem-chay-vi-socola-sua-chua-yogurt-hang-aideba-b153-beegin-food-store-i2641395803.html")</f>
        <v>https://www.lazada.vn/products/combo-5-banh-mi-nhan-kem-chay-vi-socola-sua-chua-yogurt-hang-aideba-b153-beegin-food-store-i2641395803.html</v>
      </c>
      <c r="C5327" s="10" t="s">
        <v>5327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>
      <c r="A5328" s="8">
        <v>10182.0</v>
      </c>
      <c r="B5328" s="9" t="str">
        <f>HYPERLINK("https://www.lazada.vn/products/nuoc-ngot-coca-cola-vi-nguyen-ban-giam-duong-chai-225-lit-i2424397556.html", "https://www.lazada.vn/products/nuoc-ngot-coca-cola-vi-nguyen-ban-giam-duong-chai-225-lit-i2424397556.html")</f>
        <v>https://www.lazada.vn/products/nuoc-ngot-coca-cola-vi-nguyen-ban-giam-duong-chai-225-lit-i2424397556.html</v>
      </c>
      <c r="C5328" s="10" t="s">
        <v>5328</v>
      </c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>
      <c r="A5329" s="8">
        <v>10183.0</v>
      </c>
      <c r="B5329" s="9" t="str">
        <f>HYPERLINK("https://www.lazada.vn/products/my-tom-an-lien-3-mien-my-tom-vi-chua-cay-va-bo-rau-thom-giao-ngau-nhien-1-thung-30-goi-x75g-i1426648260.html", "https://www.lazada.vn/products/my-tom-an-lien-3-mien-my-tom-vi-chua-cay-va-bo-rau-thom-giao-ngau-nhien-1-thung-30-goi-x75g-i1426648260.html")</f>
        <v>https://www.lazada.vn/products/my-tom-an-lien-3-mien-my-tom-vi-chua-cay-va-bo-rau-thom-giao-ngau-nhien-1-thung-30-goi-x75g-i1426648260.html</v>
      </c>
      <c r="C5329" s="10" t="s">
        <v>5329</v>
      </c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>
      <c r="A5330" s="8">
        <v>10184.0</v>
      </c>
      <c r="B5330" s="9" t="str">
        <f>HYPERLINK("https://www.lazada.vn/products/loc-6-lon-nuoc-tang-luc-redbull-carabao-lipovitan-rockstart-bach-hoa-tong-hop-nhu-ngoc-i2428485307.html", "https://www.lazada.vn/products/loc-6-lon-nuoc-tang-luc-redbull-carabao-lipovitan-rockstart-bach-hoa-tong-hop-nhu-ngoc-i2428485307.html")</f>
        <v>https://www.lazada.vn/products/loc-6-lon-nuoc-tang-luc-redbull-carabao-lipovitan-rockstart-bach-hoa-tong-hop-nhu-ngoc-i2428485307.html</v>
      </c>
      <c r="C5330" s="10" t="s">
        <v>5330</v>
      </c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>
      <c r="A5331" s="8">
        <v>10185.0</v>
      </c>
      <c r="B5331" s="9" t="str">
        <f>HYPERLINK("https://www.lazada.vn/products/1-thung-12-lon-bia-co-lao-gia-wojiabo-vi-nguyen-ban-1-lit-i2941577463.html", "https://www.lazada.vn/products/1-thung-12-lon-bia-co-lao-gia-wojiabo-vi-nguyen-ban-1-lit-i2941577463.html")</f>
        <v>https://www.lazada.vn/products/1-thung-12-lon-bia-co-lao-gia-wojiabo-vi-nguyen-ban-1-lit-i2941577463.html</v>
      </c>
      <c r="C5331" s="10" t="s">
        <v>5331</v>
      </c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>
      <c r="A5332" s="8">
        <v>10186.0</v>
      </c>
      <c r="B5332" s="9" t="str">
        <f>HYPERLINK("https://www.lazada.vn/products/ruou-sake-nhat-sawanoizumi-miyaginosake-i2392438359.html", "https://www.lazada.vn/products/ruou-sake-nhat-sawanoizumi-miyaginosake-i2392438359.html")</f>
        <v>https://www.lazada.vn/products/ruou-sake-nhat-sawanoizumi-miyaginosake-i2392438359.html</v>
      </c>
      <c r="C5332" s="10" t="s">
        <v>5332</v>
      </c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>
      <c r="A5333" s="8">
        <v>10187.0</v>
      </c>
      <c r="B5333" s="9" t="str">
        <f>HYPERLINK("https://www.lazada.vn/products/mam-ruoc-nguyen-chat-thom-ngon-dam-da-mam-co-linh-i1919909817.html", "https://www.lazada.vn/products/mam-ruoc-nguyen-chat-thom-ngon-dam-da-mam-co-linh-i1919909817.html")</f>
        <v>https://www.lazada.vn/products/mam-ruoc-nguyen-chat-thom-ngon-dam-da-mam-co-linh-i1919909817.html</v>
      </c>
      <c r="C5333" s="10" t="s">
        <v>5333</v>
      </c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>
      <c r="A5334" s="8">
        <v>10188.0</v>
      </c>
      <c r="B5334" s="9" t="str">
        <f>HYPERLINK("https://www.lazada.vn/products/banh-brownie-an-vat-an-kieng-giam-can-fiber-one-goi-25g-hang-nhap-my-diet-low-calories-fiber-i1586512680.html", "https://www.lazada.vn/products/banh-brownie-an-vat-an-kieng-giam-can-fiber-one-goi-25g-hang-nhap-my-diet-low-calories-fiber-i1586512680.html")</f>
        <v>https://www.lazada.vn/products/banh-brownie-an-vat-an-kieng-giam-can-fiber-one-goi-25g-hang-nhap-my-diet-low-calories-fiber-i1586512680.html</v>
      </c>
      <c r="C5334" s="10" t="s">
        <v>5334</v>
      </c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>
      <c r="A5335" s="8">
        <v>10189.0</v>
      </c>
      <c r="B5335" s="9" t="str">
        <f>HYPERLINK("https://www.lazada.vn/products/tra-sam-dua-thanh-thao-350gr-nhan-hieu-soc-do-chat-luong-thuong-hang-huong-vi-dac-biet-dac-san-da-nang-i2673594932.html", "https://www.lazada.vn/products/tra-sam-dua-thanh-thao-350gr-nhan-hieu-soc-do-chat-luong-thuong-hang-huong-vi-dac-biet-dac-san-da-nang-i2673594932.html")</f>
        <v>https://www.lazada.vn/products/tra-sam-dua-thanh-thao-350gr-nhan-hieu-soc-do-chat-luong-thuong-hang-huong-vi-dac-biet-dac-san-da-nang-i2673594932.html</v>
      </c>
      <c r="C5335" s="10" t="s">
        <v>5335</v>
      </c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>
      <c r="A5336" s="8">
        <v>10190.0</v>
      </c>
      <c r="B5336" s="9" t="str">
        <f>HYPERLINK("https://www.lazada.vn/products/strawberry-dried-baking-frozen-dry-crisp-snack-for-home-use-snowflake-candy-nuts-material-20g-net-weight-from-guangdong-i2923583547.html", "https://www.lazada.vn/products/strawberry-dried-baking-frozen-dry-crisp-snack-for-home-use-snowflake-candy-nuts-material-20g-net-weight-from-guangdong-i2923583547.html")</f>
        <v>https://www.lazada.vn/products/strawberry-dried-baking-frozen-dry-crisp-snack-for-home-use-snowflake-candy-nuts-material-20g-net-weight-from-guangdong-i2923583547.html</v>
      </c>
      <c r="C5336" s="10" t="s">
        <v>5336</v>
      </c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>
      <c r="A5337" s="8">
        <v>10191.0</v>
      </c>
      <c r="B5337" s="9" t="str">
        <f>HYPERLINK("https://www.lazada.vn/products/6bo-la-dam-duong-hoac-nui-cao-nam-trieu-bo-than-trang-duong-tri-dau-lung-nhuc-moi-mat-ngu-sinh-ly-namnu-yeu-lddh-11-i358216445.html", "https://www.lazada.vn/products/6bo-la-dam-duong-hoac-nui-cao-nam-trieu-bo-than-trang-duong-tri-dau-lung-nhuc-moi-mat-ngu-sinh-ly-namnu-yeu-lddh-11-i358216445.html")</f>
        <v>https://www.lazada.vn/products/6bo-la-dam-duong-hoac-nui-cao-nam-trieu-bo-than-trang-duong-tri-dau-lung-nhuc-moi-mat-ngu-sinh-ly-namnu-yeu-lddh-11-i358216445.html</v>
      </c>
      <c r="C5337" s="10" t="s">
        <v>5337</v>
      </c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>
      <c r="A5338" s="8">
        <v>10192.0</v>
      </c>
      <c r="B5338" s="9" t="str">
        <f>HYPERLINK("https://www.lazada.vn/products/2-hop-nuoc-vfresh-tao-ep-100-hop-giay-1l-i2768414875.html", "https://www.lazada.vn/products/2-hop-nuoc-vfresh-tao-ep-100-hop-giay-1l-i2768414875.html")</f>
        <v>https://www.lazada.vn/products/2-hop-nuoc-vfresh-tao-ep-100-hop-giay-1l-i2768414875.html</v>
      </c>
      <c r="C5338" s="10" t="s">
        <v>5338</v>
      </c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>
      <c r="A5339" s="8">
        <v>10193.0</v>
      </c>
      <c r="B5339" s="9" t="str">
        <f>HYPERLINK("https://www.lazada.vn/products/gia-tot-bich-10-goi-banh-quy-dong-tien-gion-thom-ngon-i2893343214.html", "https://www.lazada.vn/products/gia-tot-bich-10-goi-banh-quy-dong-tien-gion-thom-ngon-i2893343214.html")</f>
        <v>https://www.lazada.vn/products/gia-tot-bich-10-goi-banh-quy-dong-tien-gion-thom-ngon-i2893343214.html</v>
      </c>
      <c r="C5339" s="10" t="s">
        <v>5339</v>
      </c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>
      <c r="A5340" s="8">
        <v>10194.0</v>
      </c>
      <c r="B5340" s="9" t="str">
        <f>HYPERLINK("https://www.lazada.vn/products/ruou-viva-vodka-39-750ml-i2714746035.html", "https://www.lazada.vn/products/ruou-viva-vodka-39-750ml-i2714746035.html")</f>
        <v>https://www.lazada.vn/products/ruou-viva-vodka-39-750ml-i2714746035.html</v>
      </c>
      <c r="C5340" s="10" t="s">
        <v>5340</v>
      </c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>
      <c r="A5341" s="8">
        <v>10195.0</v>
      </c>
      <c r="B5341" s="9" t="str">
        <f>HYPERLINK("https://www.lazada.vn/products/thung-100-goi-mi-zum-zum-huong-vi-xua-70ggoi-i3023810026.html", "https://www.lazada.vn/products/thung-100-goi-mi-zum-zum-huong-vi-xua-70ggoi-i3023810026.html")</f>
        <v>https://www.lazada.vn/products/thung-100-goi-mi-zum-zum-huong-vi-xua-70ggoi-i3023810026.html</v>
      </c>
      <c r="C5341" s="10" t="s">
        <v>5341</v>
      </c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>
      <c r="A5342" s="8">
        <v>10196.0</v>
      </c>
      <c r="B5342" s="9" t="str">
        <f>HYPERLINK("https://www.lazada.vn/products/combo-5-tui-thach-rau-cau-pudding-cherish-mang-cau-tui-850g-i2406863309.html", "https://www.lazada.vn/products/combo-5-tui-thach-rau-cau-pudding-cherish-mang-cau-tui-850g-i2406863309.html")</f>
        <v>https://www.lazada.vn/products/combo-5-tui-thach-rau-cau-pudding-cherish-mang-cau-tui-850g-i2406863309.html</v>
      </c>
      <c r="C5342" s="10" t="s">
        <v>5342</v>
      </c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>
      <c r="A5343" s="8">
        <v>10197.0</v>
      </c>
      <c r="B5343" s="9" t="str">
        <f>HYPERLINK("https://www.lazada.vn/products/chinesefoodconbo-do-an-vat-hot-hit-hang-san-i1738015438.html", "https://www.lazada.vn/products/chinesefoodconbo-do-an-vat-hot-hit-hang-san-i1738015438.html")</f>
        <v>https://www.lazada.vn/products/chinesefoodconbo-do-an-vat-hot-hit-hang-san-i1738015438.html</v>
      </c>
      <c r="C5343" s="10" t="s">
        <v>5343</v>
      </c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>
      <c r="A5344" s="8">
        <v>10198.0</v>
      </c>
      <c r="B5344" s="9" t="str">
        <f>HYPERLINK("https://www.lazada.vn/products/thuc-uong-lua-mach-milo-3-trong-1-bich-600g-i1964824635.html", "https://www.lazada.vn/products/thuc-uong-lua-mach-milo-3-trong-1-bich-600g-i1964824635.html")</f>
        <v>https://www.lazada.vn/products/thuc-uong-lua-mach-milo-3-trong-1-bich-600g-i1964824635.html</v>
      </c>
      <c r="C5344" s="10" t="s">
        <v>5344</v>
      </c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>
      <c r="A5345" s="8">
        <v>10199.0</v>
      </c>
      <c r="B5345" s="9" t="str">
        <f>HYPERLINK("https://www.lazada.vn/products/tui-100-vien-keo-ca-phe-khong-duong-mix-vi-i2860322966.html", "https://www.lazada.vn/products/tui-100-vien-keo-ca-phe-khong-duong-mix-vi-i2860322966.html")</f>
        <v>https://www.lazada.vn/products/tui-100-vien-keo-ca-phe-khong-duong-mix-vi-i2860322966.html</v>
      </c>
      <c r="C5345" s="10" t="s">
        <v>5345</v>
      </c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>
      <c r="A5346" s="8">
        <v>10200.0</v>
      </c>
      <c r="B5346" s="9" t="str">
        <f>HYPERLINK("https://www.lazada.vn/products/kos-hop-185g-ca-ngu-ngam-dau-seaspimex-king-of-sea-tuna-in-oil-i3036234733.html", "https://www.lazada.vn/products/kos-hop-185g-ca-ngu-ngam-dau-seaspimex-king-of-sea-tuna-in-oil-i3036234733.html")</f>
        <v>https://www.lazada.vn/products/kos-hop-185g-ca-ngu-ngam-dau-seaspimex-king-of-sea-tuna-in-oil-i3036234733.html</v>
      </c>
      <c r="C5346" s="10" t="s">
        <v>5346</v>
      </c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>
      <c r="A5347" s="8">
        <v>10201.0</v>
      </c>
      <c r="B5347" s="9" t="str">
        <f>HYPERLINK("https://www.lazada.vn/products/tui-tran-chau-truong-lac-1kg-den-va-trang-i2521530129.html", "https://www.lazada.vn/products/tui-tran-chau-truong-lac-1kg-den-va-trang-i2521530129.html")</f>
        <v>https://www.lazada.vn/products/tui-tran-chau-truong-lac-1kg-den-va-trang-i2521530129.html</v>
      </c>
      <c r="C5347" s="10" t="s">
        <v>5347</v>
      </c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>
      <c r="A5348" s="8">
        <v>10202.0</v>
      </c>
      <c r="B5348" s="9" t="str">
        <f>HYPERLINK("https://www.lazada.vn/products/vang-y-canonico-negroamaro-i2628568764.html", "https://www.lazada.vn/products/vang-y-canonico-negroamaro-i2628568764.html")</f>
        <v>https://www.lazada.vn/products/vang-y-canonico-negroamaro-i2628568764.html</v>
      </c>
      <c r="C5348" s="10" t="s">
        <v>5348</v>
      </c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>
      <c r="A5349" s="8">
        <v>10203.0</v>
      </c>
      <c r="B5349" s="9" t="str">
        <f>HYPERLINK("https://www.lazada.vn/products/chinh-hang-socola-feastables-mrbeast-vi-bong-gao-60g-keo-i2914685566.html", "https://www.lazada.vn/products/chinh-hang-socola-feastables-mrbeast-vi-bong-gao-60g-keo-i2914685566.html")</f>
        <v>https://www.lazada.vn/products/chinh-hang-socola-feastables-mrbeast-vi-bong-gao-60g-keo-i2914685566.html</v>
      </c>
      <c r="C5349" s="10" t="s">
        <v>5349</v>
      </c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>
      <c r="A5350" s="8">
        <v>10204.0</v>
      </c>
      <c r="B5350" s="9" t="str">
        <f>HYPERLINK("https://www.lazada.vn/products/banh-trang-cuon-sieu-mong-dac-san-tay-ninh-chuyen-cuon-goi-i2487021864.html", "https://www.lazada.vn/products/banh-trang-cuon-sieu-mong-dac-san-tay-ninh-chuyen-cuon-goi-i2487021864.html")</f>
        <v>https://www.lazada.vn/products/banh-trang-cuon-sieu-mong-dac-san-tay-ninh-chuyen-cuon-goi-i2487021864.html</v>
      </c>
      <c r="C5350" s="10" t="s">
        <v>5350</v>
      </c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>
      <c r="A5351" s="8">
        <v>10205.0</v>
      </c>
      <c r="B5351" s="9" t="str">
        <f>HYPERLINK("https://www.lazada.vn/products/combo-5-thach-rau-cau-pudding-cherish-tong-hop-tui-850g-i2406834350.html", "https://www.lazada.vn/products/combo-5-thach-rau-cau-pudding-cherish-tong-hop-tui-850g-i2406834350.html")</f>
        <v>https://www.lazada.vn/products/combo-5-thach-rau-cau-pudding-cherish-tong-hop-tui-850g-i2406834350.html</v>
      </c>
      <c r="C5351" s="10" t="s">
        <v>5351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>
      <c r="A5352" s="8">
        <v>10206.0</v>
      </c>
      <c r="B5352" s="9" t="str">
        <f>HYPERLINK("https://www.lazada.vn/products/le-1-lon-bia-co-lao-gia-wojiabo-vi-nguyen-ban-1-lit-i2941567509.html", "https://www.lazada.vn/products/le-1-lon-bia-co-lao-gia-wojiabo-vi-nguyen-ban-1-lit-i2941567509.html")</f>
        <v>https://www.lazada.vn/products/le-1-lon-bia-co-lao-gia-wojiabo-vi-nguyen-ban-1-lit-i2941567509.html</v>
      </c>
      <c r="C5352" s="10" t="s">
        <v>5352</v>
      </c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>
      <c r="A5353" s="8">
        <v>10207.0</v>
      </c>
      <c r="B5353" s="9" t="str">
        <f>HYPERLINK("https://www.lazada.vn/products/soda-bac-ha-1-goi-500gr-soda-uc-nuoc-uong-giai-khat-co-san-gas-khong-can-siro-va-nuoc-co-gas-du-vi-thom-ngon-de-pha-i2423487031.html", "https://www.lazada.vn/products/soda-bac-ha-1-goi-500gr-soda-uc-nuoc-uong-giai-khat-co-san-gas-khong-can-siro-va-nuoc-co-gas-du-vi-thom-ngon-de-pha-i2423487031.html")</f>
        <v>https://www.lazada.vn/products/soda-bac-ha-1-goi-500gr-soda-uc-nuoc-uong-giai-khat-co-san-gas-khong-can-siro-va-nuoc-co-gas-du-vi-thom-ngon-de-pha-i2423487031.html</v>
      </c>
      <c r="C5353" s="10" t="s">
        <v>5353</v>
      </c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>
      <c r="A5354" s="8">
        <v>10208.0</v>
      </c>
      <c r="B5354" s="9" t="str">
        <f>HYPERLINK("https://www.lazada.vn/products/vien-sui-tang-luc-takaginseng-tuyp-20-vien-huong-phap-cuc-ngon-i2428416541.html", "https://www.lazada.vn/products/vien-sui-tang-luc-takaginseng-tuyp-20-vien-huong-phap-cuc-ngon-i2428416541.html")</f>
        <v>https://www.lazada.vn/products/vien-sui-tang-luc-takaginseng-tuyp-20-vien-huong-phap-cuc-ngon-i2428416541.html</v>
      </c>
      <c r="C5354" s="10" t="s">
        <v>5354</v>
      </c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>
      <c r="A5355" s="8">
        <v>10209.0</v>
      </c>
      <c r="B5355" s="9" t="str">
        <f>HYPERLINK("https://www.lazada.vn/products/mam-ca-thu-nguyen-lat-ngam-dau-500gr-mam-co-linh-i1919909592.html", "https://www.lazada.vn/products/mam-ca-thu-nguyen-lat-ngam-dau-500gr-mam-co-linh-i1919909592.html")</f>
        <v>https://www.lazada.vn/products/mam-ca-thu-nguyen-lat-ngam-dau-500gr-mam-co-linh-i1919909592.html</v>
      </c>
      <c r="C5355" s="10" t="s">
        <v>5355</v>
      </c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>
      <c r="A5356" s="8">
        <v>10210.0</v>
      </c>
      <c r="B5356" s="9" t="str">
        <f>HYPERLINK("https://www.lazada.vn/products/ruou-sake-nhat-katsuyama-junmai-ginjo-ken-i2392415435.html", "https://www.lazada.vn/products/ruou-sake-nhat-katsuyama-junmai-ginjo-ken-i2392415435.html")</f>
        <v>https://www.lazada.vn/products/ruou-sake-nhat-katsuyama-junmai-ginjo-ken-i2392415435.html</v>
      </c>
      <c r="C5356" s="10" t="s">
        <v>5356</v>
      </c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>
      <c r="A5357" s="8">
        <v>10211.0</v>
      </c>
      <c r="B5357" s="9" t="str">
        <f>HYPERLINK("https://www.lazada.vn/products/banh-quy-chocochip-cookies-no-brand-hop-400g-i1585809675.html", "https://www.lazada.vn/products/banh-quy-chocochip-cookies-no-brand-hop-400g-i1585809675.html")</f>
        <v>https://www.lazada.vn/products/banh-quy-chocochip-cookies-no-brand-hop-400g-i1585809675.html</v>
      </c>
      <c r="C5357" s="10" t="s">
        <v>5357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>
      <c r="A5358" s="8">
        <v>10212.0</v>
      </c>
      <c r="B5358" s="9" t="str">
        <f>HYPERLINK("https://www.lazada.vn/products/nuoc-le-nuoc-dao-dai-loan-chai-1l-i2671914953.html", "https://www.lazada.vn/products/nuoc-le-nuoc-dao-dai-loan-chai-1l-i2671914953.html")</f>
        <v>https://www.lazada.vn/products/nuoc-le-nuoc-dao-dai-loan-chai-1l-i2671914953.html</v>
      </c>
      <c r="C5358" s="10" t="s">
        <v>5358</v>
      </c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>
      <c r="A5359" s="8">
        <v>10213.0</v>
      </c>
      <c r="B5359" s="9" t="str">
        <f>HYPERLINK("https://www.lazada.vn/products/cheese-blocks-almond-flavor-freeze-dried-60g-bag-childrens-snacks-longtai-county-fujian-province-dried-fruit-milk-block-i2923582878.html", "https://www.lazada.vn/products/cheese-blocks-almond-flavor-freeze-dried-60g-bag-childrens-snacks-longtai-county-fujian-province-dried-fruit-milk-block-i2923582878.html")</f>
        <v>https://www.lazada.vn/products/cheese-blocks-almond-flavor-freeze-dried-60g-bag-childrens-snacks-longtai-county-fujian-province-dried-fruit-milk-block-i2923582878.html</v>
      </c>
      <c r="C5359" s="10" t="s">
        <v>5359</v>
      </c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>
      <c r="A5360" s="8">
        <v>10214.0</v>
      </c>
      <c r="B5360" s="9" t="str">
        <f>HYPERLINK("https://www.lazada.vn/products/viva-vodka-29-750ml-i2714724170.html", "https://www.lazada.vn/products/viva-vodka-29-750ml-i2714724170.html")</f>
        <v>https://www.lazada.vn/products/viva-vodka-29-750ml-i2714724170.html</v>
      </c>
      <c r="C5360" s="10" t="s">
        <v>5360</v>
      </c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>
      <c r="A5361" s="8">
        <v>10215.0</v>
      </c>
      <c r="B5361" s="9" t="str">
        <f>HYPERLINK("https://www.lazada.vn/products/banh-quy-bo-danisa-hop-thiec-hop-200g454g681g-tang-kem-tui-i2893226350.html", "https://www.lazada.vn/products/banh-quy-bo-danisa-hop-thiec-hop-200g454g681g-tang-kem-tui-i2893226350.html")</f>
        <v>https://www.lazada.vn/products/banh-quy-bo-danisa-hop-thiec-hop-200g454g681g-tang-kem-tui-i2893226350.html</v>
      </c>
      <c r="C5361" s="10" t="s">
        <v>5361</v>
      </c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>
      <c r="A5362" s="8">
        <v>10216.0</v>
      </c>
      <c r="B5362" s="9" t="str">
        <f>HYPERLINK("https://www.lazada.vn/products/nuoc-giai-khat-kvas-nga-500ml-i2768295132.html", "https://www.lazada.vn/products/nuoc-giai-khat-kvas-nga-500ml-i2768295132.html")</f>
        <v>https://www.lazada.vn/products/nuoc-giai-khat-kvas-nga-500ml-i2768295132.html</v>
      </c>
      <c r="C5362" s="10" t="s">
        <v>5362</v>
      </c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>
      <c r="A5363" s="8">
        <v>10217.0</v>
      </c>
      <c r="B5363" s="9" t="str">
        <f>HYPERLINK("https://www.lazada.vn/products/cb-15-goi-mi-omachi-bo-ham-sot-vang-92gr-67909-i3016530746.html", "https://www.lazada.vn/products/cb-15-goi-mi-omachi-bo-ham-sot-vang-92gr-67909-i3016530746.html")</f>
        <v>https://www.lazada.vn/products/cb-15-goi-mi-omachi-bo-ham-sot-vang-92gr-67909-i3016530746.html</v>
      </c>
      <c r="C5363" s="10" t="s">
        <v>5363</v>
      </c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>
      <c r="A5364" s="8">
        <v>10218.0</v>
      </c>
      <c r="B5364" s="9" t="str">
        <f>HYPERLINK("https://www.lazada.vn/products/thung-2kg-banh-mi-nhan-kem-chay-vi-socola-sua-chua-yogurt-hang-aidebao-khoang-29-30-banh-b153-gia-ngan-food-i2641329319.html", "https://www.lazada.vn/products/thung-2kg-banh-mi-nhan-kem-chay-vi-socola-sua-chua-yogurt-hang-aidebao-khoang-29-30-banh-b153-gia-ngan-food-i2641329319.html")</f>
        <v>https://www.lazada.vn/products/thung-2kg-banh-mi-nhan-kem-chay-vi-socola-sua-chua-yogurt-hang-aidebao-khoang-29-30-banh-b153-gia-ngan-food-i2641329319.html</v>
      </c>
      <c r="C5364" s="10" t="s">
        <v>5364</v>
      </c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>
      <c r="A5365" s="8">
        <v>10219.0</v>
      </c>
      <c r="B5365" s="9" t="str">
        <f>HYPERLINK("https://www.lazada.vn/products/1kg-bot-tra-sua-khoai-mon-i2675296153.html", "https://www.lazada.vn/products/1kg-bot-tra-sua-khoai-mon-i2675296153.html")</f>
        <v>https://www.lazada.vn/products/1kg-bot-tra-sua-khoai-mon-i2675296153.html</v>
      </c>
      <c r="C5365" s="10" t="s">
        <v>5365</v>
      </c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>
      <c r="A5366" s="8">
        <v>10220.0</v>
      </c>
      <c r="B5366" s="9" t="str">
        <f>HYPERLINK("https://www.lazada.vn/products/ca-phe-sua-da-maccoffee-cafe-pho-day-10-goi-24g-i2685909093.html", "https://www.lazada.vn/products/ca-phe-sua-da-maccoffee-cafe-pho-day-10-goi-24g-i2685909093.html")</f>
        <v>https://www.lazada.vn/products/ca-phe-sua-da-maccoffee-cafe-pho-day-10-goi-24g-i2685909093.html</v>
      </c>
      <c r="C5366" s="10" t="s">
        <v>5366</v>
      </c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>
      <c r="A5367" s="8">
        <v>10221.0</v>
      </c>
      <c r="B5367" s="9" t="str">
        <f>HYPERLINK("https://www.lazada.vn/products/thung-24-chai-chimay-xanh-blue-cap-9-330mlx24-i327410494.html", "https://www.lazada.vn/products/thung-24-chai-chimay-xanh-blue-cap-9-330mlx24-i327410494.html")</f>
        <v>https://www.lazada.vn/products/thung-24-chai-chimay-xanh-blue-cap-9-330mlx24-i327410494.html</v>
      </c>
      <c r="C5367" s="10" t="s">
        <v>5367</v>
      </c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>
      <c r="A5368" s="8">
        <v>10222.0</v>
      </c>
      <c r="B5368" s="9" t="str">
        <f>HYPERLINK("https://www.lazada.vn/products/10-goi-mi-cay-7-cap-do-acecook-siukay-vi-bo-hai-san-goi-128g-i1424809720.html", "https://www.lazada.vn/products/10-goi-mi-cay-7-cap-do-acecook-siukay-vi-bo-hai-san-goi-128g-i1424809720.html")</f>
        <v>https://www.lazada.vn/products/10-goi-mi-cay-7-cap-do-acecook-siukay-vi-bo-hai-san-goi-128g-i1424809720.html</v>
      </c>
      <c r="C5368" s="10" t="s">
        <v>5368</v>
      </c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>
      <c r="A5369" s="8">
        <v>10223.0</v>
      </c>
      <c r="B5369" s="9" t="str">
        <f>HYPERLINK("https://www.lazada.vn/products/1-bich-48-goi-milo-thai-lan-hoa-tan-i1960810573.html", "https://www.lazada.vn/products/1-bich-48-goi-milo-thai-lan-hoa-tan-i1960810573.html")</f>
        <v>https://www.lazada.vn/products/1-bich-48-goi-milo-thai-lan-hoa-tan-i1960810573.html</v>
      </c>
      <c r="C5369" s="10" t="s">
        <v>5369</v>
      </c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>
      <c r="A5370" s="8">
        <v>10224.0</v>
      </c>
      <c r="B5370" s="9" t="str">
        <f>HYPERLINK("https://www.lazada.vn/products/chinesefood6-loai-hoa-qua-ngam-thanh-nhiet-co-the-i1738012457.html", "https://www.lazada.vn/products/chinesefood6-loai-hoa-qua-ngam-thanh-nhiet-co-the-i1738012457.html")</f>
        <v>https://www.lazada.vn/products/chinesefood6-loai-hoa-qua-ngam-thanh-nhiet-co-the-i1738012457.html</v>
      </c>
      <c r="C5370" s="10" t="s">
        <v>5370</v>
      </c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>
      <c r="A5371" s="8">
        <v>10225.0</v>
      </c>
      <c r="B5371" s="9" t="str">
        <f>HYPERLINK("https://www.lazada.vn/products/keo-que-chuppa-chups-hon-hop-classic-tui-60-que-600gr-i2789042192.html", "https://www.lazada.vn/products/keo-que-chuppa-chups-hon-hop-classic-tui-60-que-600gr-i2789042192.html")</f>
        <v>https://www.lazada.vn/products/keo-que-chuppa-chups-hon-hop-classic-tui-60-que-600gr-i2789042192.html</v>
      </c>
      <c r="C5371" s="10" t="s">
        <v>5371</v>
      </c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>
      <c r="A5372" s="8">
        <v>10226.0</v>
      </c>
      <c r="B5372" s="9" t="str">
        <f>HYPERLINK("https://www.lazada.vn/products/nautilus-hop-cam-ca-ngu-phet-banh-quy-vi-nguyen-ban-tha-lan-classic-tuna-spread-with-crackers-halal-i3036229644.html", "https://www.lazada.vn/products/nautilus-hop-cam-ca-ngu-phet-banh-quy-vi-nguyen-ban-tha-lan-classic-tuna-spread-with-crackers-halal-i3036229644.html")</f>
        <v>https://www.lazada.vn/products/nautilus-hop-cam-ca-ngu-phet-banh-quy-vi-nguyen-ban-tha-lan-classic-tuna-spread-with-crackers-halal-i3036229644.html</v>
      </c>
      <c r="C5372" s="10" t="s">
        <v>5372</v>
      </c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>
      <c r="A5373" s="8">
        <v>10227.0</v>
      </c>
      <c r="B5373" s="9" t="str">
        <f>HYPERLINK("https://www.lazada.vn/products/ruou-vang-nhap-khau-ruou-vang-phap-francis-gillot-750ml-co-tat-ca-05-loai-gom-ruou-vang-trang-va-ruou-vang-do-i2626749776.html", "https://www.lazada.vn/products/ruou-vang-nhap-khau-ruou-vang-phap-francis-gillot-750ml-co-tat-ca-05-loai-gom-ruou-vang-trang-va-ruou-vang-do-i2626749776.html")</f>
        <v>https://www.lazada.vn/products/ruou-vang-nhap-khau-ruou-vang-phap-francis-gillot-750ml-co-tat-ca-05-loai-gom-ruou-vang-trang-va-ruou-vang-do-i2626749776.html</v>
      </c>
      <c r="C5373" s="10" t="s">
        <v>5373</v>
      </c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>
      <c r="A5374" s="8">
        <v>10228.0</v>
      </c>
      <c r="B5374" s="9" t="str">
        <f>HYPERLINK("https://www.lazada.vn/products/tui-thach-dua-cat-tuong-mien-bac-20-goi-vi-duadua-i2521434947.html", "https://www.lazada.vn/products/tui-thach-dua-cat-tuong-mien-bac-20-goi-vi-duadua-i2521434947.html")</f>
        <v>https://www.lazada.vn/products/tui-thach-dua-cat-tuong-mien-bac-20-goi-vi-duadua-i2521434947.html</v>
      </c>
      <c r="C5374" s="10" t="s">
        <v>5374</v>
      </c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>
      <c r="A5375" s="8">
        <v>10229.0</v>
      </c>
      <c r="B5375" s="9" t="str">
        <f>HYPERLINK("https://www.lazada.vn/products/socola-den-nhan-huong-trai-luu-brookside-dark-chocolate-pomegranate-my-goi-907gr-i2914440895.html", "https://www.lazada.vn/products/socola-den-nhan-huong-trai-luu-brookside-dark-chocolate-pomegranate-my-goi-907gr-i2914440895.html")</f>
        <v>https://www.lazada.vn/products/socola-den-nhan-huong-trai-luu-brookside-dark-chocolate-pomegranate-my-goi-907gr-i2914440895.html</v>
      </c>
      <c r="C5375" s="10" t="s">
        <v>5375</v>
      </c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>
      <c r="A5376" s="8">
        <v>10230.0</v>
      </c>
      <c r="B5376" s="9" t="str">
        <f>HYPERLINK("https://www.lazada.vn/products/banh-trang-phoi-suong-muoi-sac-sot-me-tac-combo-banh-trang-vo-i2486199102.html", "https://www.lazada.vn/products/banh-trang-phoi-suong-muoi-sac-sot-me-tac-combo-banh-trang-vo-i2486199102.html")</f>
        <v>https://www.lazada.vn/products/banh-trang-phoi-suong-muoi-sac-sot-me-tac-combo-banh-trang-vo-i2486199102.html</v>
      </c>
      <c r="C5376" s="10" t="s">
        <v>5376</v>
      </c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>
      <c r="A5377" s="8">
        <v>10231.0</v>
      </c>
      <c r="B5377" s="9" t="str">
        <f>HYPERLINK("https://www.lazada.vn/products/combo-5-tui-thach-rau-cau-pudding-cherish-xoai-tui-850g-i2406833497.html", "https://www.lazada.vn/products/combo-5-tui-thach-rau-cau-pudding-cherish-xoai-tui-850g-i2406833497.html")</f>
        <v>https://www.lazada.vn/products/combo-5-tui-thach-rau-cau-pudding-cherish-xoai-tui-850g-i2406833497.html</v>
      </c>
      <c r="C5377" s="10" t="s">
        <v>5377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>
      <c r="A5378" s="8">
        <v>10232.0</v>
      </c>
      <c r="B5378" s="9" t="str">
        <f>HYPERLINK("https://www.lazada.vn/products/loc-6-lon-coca-cola-320ml-i2423389818.html", "https://www.lazada.vn/products/loc-6-lon-coca-cola-320ml-i2423389818.html")</f>
        <v>https://www.lazada.vn/products/loc-6-lon-coca-cola-320ml-i2423389818.html</v>
      </c>
      <c r="C5378" s="10" t="s">
        <v>5378</v>
      </c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>
      <c r="A5379" s="8">
        <v>10233.0</v>
      </c>
      <c r="B5379" s="9" t="str">
        <f>HYPERLINK("https://www.lazada.vn/products/strawberry-dried-freeze-100g-snack-dry-fruit-snowflake-candy-material-dessert-leisurely-sweet-snacks-from-shandong-china-i2923581878.html", "https://www.lazada.vn/products/strawberry-dried-freeze-100g-snack-dry-fruit-snowflake-candy-material-dessert-leisurely-sweet-snacks-from-shandong-china-i2923581878.html")</f>
        <v>https://www.lazada.vn/products/strawberry-dried-freeze-100g-snack-dry-fruit-snowflake-candy-material-dessert-leisurely-sweet-snacks-from-shandong-china-i2923581878.html</v>
      </c>
      <c r="C5379" s="10" t="s">
        <v>5379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>
      <c r="A5380" s="8">
        <v>10234.0</v>
      </c>
      <c r="B5380" s="9" t="str">
        <f>HYPERLINK("https://www.lazada.vn/products/combo-2-thung-12-lon-bia-budweiser-500mllon-i2941349300.html", "https://www.lazada.vn/products/combo-2-thung-12-lon-bia-budweiser-500mllon-i2941349300.html")</f>
        <v>https://www.lazada.vn/products/combo-2-thung-12-lon-bia-budweiser-500mllon-i2941349300.html</v>
      </c>
      <c r="C5380" s="10" t="s">
        <v>5380</v>
      </c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>
      <c r="A5381" s="8">
        <v>10235.0</v>
      </c>
      <c r="B5381" s="9" t="str">
        <f>HYPERLINK("https://www.lazada.vn/products/mam-ca-ro-do-500gr-mam-co-linh-i1919904535.html", "https://www.lazada.vn/products/mam-ca-ro-do-500gr-mam-co-linh-i1919904535.html")</f>
        <v>https://www.lazada.vn/products/mam-ca-ro-do-500gr-mam-co-linh-i1919904535.html</v>
      </c>
      <c r="C5381" s="10" t="s">
        <v>5381</v>
      </c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>
      <c r="A5382" s="8">
        <v>10236.0</v>
      </c>
      <c r="B5382" s="9" t="str">
        <f>HYPERLINK("https://www.lazada.vn/products/thung-24-lon-x-250ml-nuoc-tang-luc-red-bull-bo-huc-chuan-thai-lan-i2427629304.html", "https://www.lazada.vn/products/thung-24-lon-x-250ml-nuoc-tang-luc-red-bull-bo-huc-chuan-thai-lan-i2427629304.html")</f>
        <v>https://www.lazada.vn/products/thung-24-lon-x-250ml-nuoc-tang-luc-red-bull-bo-huc-chuan-thai-lan-i2427629304.html</v>
      </c>
      <c r="C5382" s="10" t="s">
        <v>5382</v>
      </c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>
      <c r="A5383" s="8">
        <v>10237.0</v>
      </c>
      <c r="B5383" s="9" t="str">
        <f>HYPERLINK("https://www.lazada.vn/products/sam-luc-vi-dam-vi-mua-he-i2670738106.html", "https://www.lazada.vn/products/sam-luc-vi-dam-vi-mua-he-i2670738106.html")</f>
        <v>https://www.lazada.vn/products/sam-luc-vi-dam-vi-mua-he-i2670738106.html</v>
      </c>
      <c r="C5383" s="10" t="s">
        <v>5383</v>
      </c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>
      <c r="A5384" s="8">
        <v>10238.0</v>
      </c>
      <c r="B5384" s="9" t="str">
        <f>HYPERLINK("https://www.lazada.vn/products/banh-quy-bo-butter-cookies-no-brand-hop-400g-i1585808153.html", "https://www.lazada.vn/products/banh-quy-bo-butter-cookies-no-brand-hop-400g-i1585808153.html")</f>
        <v>https://www.lazada.vn/products/banh-quy-bo-butter-cookies-no-brand-hop-400g-i1585808153.html</v>
      </c>
      <c r="C5384" s="10" t="s">
        <v>5384</v>
      </c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>
      <c r="A5385" s="8">
        <v>10239.0</v>
      </c>
      <c r="B5385" s="9" t="str">
        <f>HYPERLINK("https://www.lazada.vn/products/ruou-viva-vodka-29-39-750ml-i2714529951.html", "https://www.lazada.vn/products/ruou-viva-vodka-29-39-750ml-i2714529951.html")</f>
        <v>https://www.lazada.vn/products/ruou-viva-vodka-29-39-750ml-i2714529951.html</v>
      </c>
      <c r="C5385" s="10" t="s">
        <v>5385</v>
      </c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>
      <c r="A5386" s="8">
        <v>10240.0</v>
      </c>
      <c r="B5386" s="9" t="str">
        <f>HYPERLINK("https://www.lazada.vn/products/ruou-sake-nhat-sake-koyama-honke-kai-i2392337584.html", "https://www.lazada.vn/products/ruou-sake-nhat-sake-koyama-honke-kai-i2392337584.html")</f>
        <v>https://www.lazada.vn/products/ruou-sake-nhat-sake-koyama-honke-kai-i2392337584.html</v>
      </c>
      <c r="C5386" s="10" t="s">
        <v>5386</v>
      </c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>
      <c r="A5387" s="8">
        <v>10241.0</v>
      </c>
      <c r="B5387" s="9" t="str">
        <f>HYPERLINK("https://www.lazada.vn/products/loc-12-hop-banh-le-chocopiecustastipocosy-moi-hop-co-2-banh-nho-ben-trong-i2893093702.html", "https://www.lazada.vn/products/loc-12-hop-banh-le-chocopiecustastipocosy-moi-hop-co-2-banh-nho-ben-trong-i2893093702.html")</f>
        <v>https://www.lazada.vn/products/loc-12-hop-banh-le-chocopiecustastipocosy-moi-hop-co-2-banh-nho-ben-trong-i2893093702.html</v>
      </c>
      <c r="C5387" s="10" t="s">
        <v>5387</v>
      </c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>
      <c r="A5388" s="8">
        <v>10242.0</v>
      </c>
      <c r="B5388" s="9" t="str">
        <f>HYPERLINK("https://www.lazada.vn/products/aroy-d-lon-400ml-nuoc-cot-dua-thailand-coconut-milk-i2767957262.html", "https://www.lazada.vn/products/aroy-d-lon-400ml-nuoc-cot-dua-thailand-coconut-milk-i2767957262.html")</f>
        <v>https://www.lazada.vn/products/aroy-d-lon-400ml-nuoc-cot-dua-thailand-coconut-milk-i2767957262.html</v>
      </c>
      <c r="C5388" s="10" t="s">
        <v>5388</v>
      </c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>
      <c r="A5389" s="8">
        <v>10243.0</v>
      </c>
      <c r="B5389" s="9" t="str">
        <f>HYPERLINK("https://www.lazada.vn/products/thung-2kg-khoang-29-30cbanh-mi-nhan-kem-chay-vi-socola-sua-chua-yogurt-hang-aidebao-b153-beegin-food-i2641276604.html", "https://www.lazada.vn/products/thung-2kg-khoang-29-30cbanh-mi-nhan-kem-chay-vi-socola-sua-chua-yogurt-hang-aidebao-b153-beegin-food-i2641276604.html")</f>
        <v>https://www.lazada.vn/products/thung-2kg-khoang-29-30cbanh-mi-nhan-kem-chay-vi-socola-sua-chua-yogurt-hang-aidebao-b153-beegin-food-i2641276604.html</v>
      </c>
      <c r="C5389" s="10" t="s">
        <v>5389</v>
      </c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>
      <c r="A5390" s="8">
        <v>10244.0</v>
      </c>
      <c r="B5390" s="9" t="str">
        <f>HYPERLINK("https://www.lazada.vn/products/mi-ly-lau-thai-tom-vifon-60g-i3000193166.html", "https://www.lazada.vn/products/mi-ly-lau-thai-tom-vifon-60g-i3000193166.html")</f>
        <v>https://www.lazada.vn/products/mi-ly-lau-thai-tom-vifon-60g-i3000193166.html</v>
      </c>
      <c r="C5390" s="10" t="s">
        <v>5390</v>
      </c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>
      <c r="A5391" s="8">
        <v>10245.0</v>
      </c>
      <c r="B5391" s="9" t="str">
        <f>HYPERLINK("https://www.lazada.vn/products/bot-kem-beo-thuc-vat-frappe-fr33-luave-500gram-goi-nho-tach-le-chuyen-dung-cho-thuc-uong-da-xay-nguyen-lieu-pha-che-bot-sua-bot-beo-i2674002446.html", "https://www.lazada.vn/products/bot-kem-beo-thuc-vat-frappe-fr33-luave-500gram-goi-nho-tach-le-chuyen-dung-cho-thuc-uong-da-xay-nguyen-lieu-pha-che-bot-sua-bot-beo-i2674002446.html")</f>
        <v>https://www.lazada.vn/products/bot-kem-beo-thuc-vat-frappe-fr33-luave-500gram-goi-nho-tach-le-chuyen-dung-cho-thuc-uong-da-xay-nguyen-lieu-pha-che-bot-sua-bot-beo-i2674002446.html</v>
      </c>
      <c r="C5391" s="10" t="s">
        <v>5391</v>
      </c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>
      <c r="A5392" s="8">
        <v>10246.0</v>
      </c>
      <c r="B5392" s="9" t="str">
        <f>HYPERLINK("https://www.lazada.vn/products/pho-bo-pho-ga-de-nhat-combo-5-goi-i1422334595.html", "https://www.lazada.vn/products/pho-bo-pho-ga-de-nhat-combo-5-goi-i1422334595.html")</f>
        <v>https://www.lazada.vn/products/pho-bo-pho-ga-de-nhat-combo-5-goi-i1422334595.html</v>
      </c>
      <c r="C5392" s="10" t="s">
        <v>5392</v>
      </c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>
      <c r="A5393" s="8">
        <v>10247.0</v>
      </c>
      <c r="B5393" s="9" t="str">
        <f>HYPERLINK("https://www.lazada.vn/products/ca-phe-sua-nescafe-3in1-vi-nguyen-ban-cong-thuc-cai-tien-bich-736g-46-goi-x-16g-tang-them-3-goi-i2685892643.html", "https://www.lazada.vn/products/ca-phe-sua-nescafe-3in1-vi-nguyen-ban-cong-thuc-cai-tien-bich-736g-46-goi-x-16g-tang-them-3-goi-i2685892643.html")</f>
        <v>https://www.lazada.vn/products/ca-phe-sua-nescafe-3in1-vi-nguyen-ban-cong-thuc-cai-tien-bich-736g-46-goi-x-16g-tang-them-3-goi-i2685892643.html</v>
      </c>
      <c r="C5393" s="10" t="s">
        <v>5393</v>
      </c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>
      <c r="A5394" s="8">
        <v>10248.0</v>
      </c>
      <c r="B5394" s="9" t="str">
        <f>HYPERLINK("https://www.lazada.vn/products/si-tinh-bot-chuoi-xanh-say-lanhtinh-bot-khang-tu-nhien-giam-can-tot-cho-da-daytieu-hoa-het-tao-bon-i2673899235.html", "https://www.lazada.vn/products/si-tinh-bot-chuoi-xanh-say-lanhtinh-bot-khang-tu-nhien-giam-can-tot-cho-da-daytieu-hoa-het-tao-bon-i2673899235.html")</f>
        <v>https://www.lazada.vn/products/si-tinh-bot-chuoi-xanh-say-lanhtinh-bot-khang-tu-nhien-giam-can-tot-cho-da-daytieu-hoa-het-tao-bon-i2673899235.html</v>
      </c>
      <c r="C5394" s="10" t="s">
        <v>5394</v>
      </c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>
      <c r="A5395" s="8">
        <v>10249.0</v>
      </c>
      <c r="B5395" s="9" t="str">
        <f>HYPERLINK("https://www.lazada.vn/products/loc-6-chai-bia-bi-chimay-blue-small-330mlchai-i320680387.html", "https://www.lazada.vn/products/loc-6-chai-bia-bi-chimay-blue-small-330mlchai-i320680387.html")</f>
        <v>https://www.lazada.vn/products/loc-6-chai-bia-bi-chimay-blue-small-330mlchai-i320680387.html</v>
      </c>
      <c r="C5395" s="10" t="s">
        <v>5395</v>
      </c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>
      <c r="A5396" s="8">
        <v>10250.0</v>
      </c>
      <c r="B5396" s="9" t="str">
        <f>HYPERLINK("https://www.lazada.vn/products/bot-cacao-nguyen-chat-balanced-khong-duong-heyday-tui-50g-12-bo-cacao-tu-nhien-ho-tro-giam-can-keto-vi-socola-nguyen-ban-khong-huong-lieu-phu-gia-i1951900042.html", "https://www.lazada.vn/products/bot-cacao-nguyen-chat-balanced-khong-duong-heyday-tui-50g-12-bo-cacao-tu-nhien-ho-tro-giam-can-keto-vi-socola-nguyen-ban-khong-huong-lieu-phu-gia-i1951900042.html")</f>
        <v>https://www.lazada.vn/products/bot-cacao-nguyen-chat-balanced-khong-duong-heyday-tui-50g-12-bo-cacao-tu-nhien-ho-tro-giam-can-keto-vi-socola-nguyen-ban-khong-huong-lieu-phu-gia-i1951900042.html</v>
      </c>
      <c r="C5396" s="10" t="s">
        <v>5396</v>
      </c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>
      <c r="A5397" s="8">
        <v>10251.0</v>
      </c>
      <c r="B5397" s="9" t="str">
        <f>HYPERLINK("https://www.lazada.vn/products/chinesefoodmy-tom-khang-su-phu-hao-han-hang-san-i1738005509.html", "https://www.lazada.vn/products/chinesefoodmy-tom-khang-su-phu-hao-han-hang-san-i1738005509.html")</f>
        <v>https://www.lazada.vn/products/chinesefoodmy-tom-khang-su-phu-hao-han-hang-san-i1738005509.html</v>
      </c>
      <c r="C5397" s="10" t="s">
        <v>5397</v>
      </c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>
      <c r="A5398" s="8">
        <v>10252.0</v>
      </c>
      <c r="B5398" s="9" t="str">
        <f>HYPERLINK("https://www.lazada.vn/products/ayam-lon-230g-ca-thu-sot-ca-malaysia-mackerel-in-tomato-sauce-halal-i3036223300.html", "https://www.lazada.vn/products/ayam-lon-230g-ca-thu-sot-ca-malaysia-mackerel-in-tomato-sauce-halal-i3036223300.html")</f>
        <v>https://www.lazada.vn/products/ayam-lon-230g-ca-thu-sot-ca-malaysia-mackerel-in-tomato-sauce-halal-i3036223300.html</v>
      </c>
      <c r="C5398" s="10" t="s">
        <v>5398</v>
      </c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>
      <c r="A5399" s="8">
        <v>10253.0</v>
      </c>
      <c r="B5399" s="9" t="str">
        <f>HYPERLINK("https://www.lazada.vn/products/keo-thoi-hop-45g-bean-boozled-harri-potter-keo-thui-dinh-dam-mua-5-new-2021-i2757828636.html", "https://www.lazada.vn/products/keo-thoi-hop-45g-bean-boozled-harri-potter-keo-thui-dinh-dam-mua-5-new-2021-i2757828636.html")</f>
        <v>https://www.lazada.vn/products/keo-thoi-hop-45g-bean-boozled-harri-potter-keo-thui-dinh-dam-mua-5-new-2021-i2757828636.html</v>
      </c>
      <c r="C5399" s="10" t="s">
        <v>5399</v>
      </c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>
      <c r="A5400" s="8">
        <v>10254.0</v>
      </c>
      <c r="B5400" s="9" t="str">
        <f>HYPERLINK("https://www.lazada.vn/products/ruou-vang-bich-nhap-khau-nam-phi-fives-reserve-cabernet-sauvignon-chat-luong-tuyet-hao-i2625590593.html", "https://www.lazada.vn/products/ruou-vang-bich-nhap-khau-nam-phi-fives-reserve-cabernet-sauvignon-chat-luong-tuyet-hao-i2625590593.html")</f>
        <v>https://www.lazada.vn/products/ruou-vang-bich-nhap-khau-nam-phi-fives-reserve-cabernet-sauvignon-chat-luong-tuyet-hao-i2625590593.html</v>
      </c>
      <c r="C5400" s="10" t="s">
        <v>5400</v>
      </c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>
      <c r="A5401" s="8">
        <v>10255.0</v>
      </c>
      <c r="B5401" s="9" t="str">
        <f>HYPERLINK("https://www.lazada.vn/products/siro-mat-ong-chanh-dao-quat-mat-ong-ho-tro-giam-ho-lam-am-duong-ho-hap-giam-dau-ngua-rat-co-hong-i2519155928.html", "https://www.lazada.vn/products/siro-mat-ong-chanh-dao-quat-mat-ong-ho-tro-giam-ho-lam-am-duong-ho-hap-giam-dau-ngua-rat-co-hong-i2519155928.html")</f>
        <v>https://www.lazada.vn/products/siro-mat-ong-chanh-dao-quat-mat-ong-ho-tro-giam-ho-lam-am-duong-ho-hap-giam-dau-ngua-rat-co-hong-i2519155928.html</v>
      </c>
      <c r="C5401" s="10" t="s">
        <v>5401</v>
      </c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>
      <c r="A5402" s="8">
        <v>10256.0</v>
      </c>
      <c r="B5402" s="9" t="str">
        <f>HYPERLINK("https://www.lazada.vn/products/hop-24-cai-socola-den-dang-nguyen-chat-khong-duong-100-yikanong-an-vat-star-organic-i2914382683.html", "https://www.lazada.vn/products/hop-24-cai-socola-den-dang-nguyen-chat-khong-duong-100-yikanong-an-vat-star-organic-i2914382683.html")</f>
        <v>https://www.lazada.vn/products/hop-24-cai-socola-den-dang-nguyen-chat-khong-duong-100-yikanong-an-vat-star-organic-i2914382683.html</v>
      </c>
      <c r="C5402" s="10" t="s">
        <v>5402</v>
      </c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>
      <c r="A5403" s="8">
        <v>10257.0</v>
      </c>
      <c r="B5403" s="9" t="str">
        <f>HYPERLINK("https://www.lazada.vn/products/banh-trang-phoi-suong-cao-cap-thuong-hieu-dang-cap-hang-dau-banh-trang-ngoc-trinh-i2484940253.html", "https://www.lazada.vn/products/banh-trang-phoi-suong-cao-cap-thuong-hieu-dang-cap-hang-dau-banh-trang-ngoc-trinh-i2484940253.html")</f>
        <v>https://www.lazada.vn/products/banh-trang-phoi-suong-cao-cap-thuong-hieu-dang-cap-hang-dau-banh-trang-ngoc-trinh-i2484940253.html</v>
      </c>
      <c r="C5403" s="10" t="s">
        <v>5403</v>
      </c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>
      <c r="A5404" s="8">
        <v>10258.0</v>
      </c>
      <c r="B5404" s="9" t="str">
        <f>HYPERLINK("https://www.lazada.vn/products/combo-5-tui-thach-rau-cau-pudding-cherish-vi-thom-tui-850g-i2406814718.html", "https://www.lazada.vn/products/combo-5-tui-thach-rau-cau-pudding-cherish-vi-thom-tui-850g-i2406814718.html")</f>
        <v>https://www.lazada.vn/products/combo-5-tui-thach-rau-cau-pudding-cherish-vi-thom-tui-850g-i2406814718.html</v>
      </c>
      <c r="C5404" s="10" t="s">
        <v>5404</v>
      </c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>
      <c r="A5405" s="8">
        <v>10259.0</v>
      </c>
      <c r="B5405" s="9" t="str">
        <f>HYPERLINK("https://www.lazada.vn/products/khoai-tay-rang-dong-lanh-dried-mixed-fruit-cubes-yogurt-blocks-strawberry-crispy-fragments-raspberries-corn-flakes-baking-snowflake-snack-i2923580631.html", "https://www.lazada.vn/products/khoai-tay-rang-dong-lanh-dried-mixed-fruit-cubes-yogurt-blocks-strawberry-crispy-fragments-raspberries-corn-flakes-baking-snowflake-snack-i2923580631.html")</f>
        <v>https://www.lazada.vn/products/khoai-tay-rang-dong-lanh-dried-mixed-fruit-cubes-yogurt-blocks-strawberry-crispy-fragments-raspberries-corn-flakes-baking-snowflake-snack-i2923580631.html</v>
      </c>
      <c r="C5405" s="10" t="s">
        <v>5405</v>
      </c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>
      <c r="A5406" s="8">
        <v>10260.0</v>
      </c>
      <c r="B5406" s="9" t="str">
        <f>HYPERLINK("https://www.lazada.vn/products/soda-chanh-1-goi-500gr-soda-uc-nuoc-uong-giai-khat-co-san-gas-khong-can-siro-va-nuoc-co-gas-du-vi-thom-ngon-de-pha-i2423389653.html", "https://www.lazada.vn/products/soda-chanh-1-goi-500gr-soda-uc-nuoc-uong-giai-khat-co-san-gas-khong-can-siro-va-nuoc-co-gas-du-vi-thom-ngon-de-pha-i2423389653.html")</f>
        <v>https://www.lazada.vn/products/soda-chanh-1-goi-500gr-soda-uc-nuoc-uong-giai-khat-co-san-gas-khong-can-siro-va-nuoc-co-gas-du-vi-thom-ngon-de-pha-i2423389653.html</v>
      </c>
      <c r="C5406" s="10" t="s">
        <v>5406</v>
      </c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>
      <c r="A5407" s="8">
        <v>10261.0</v>
      </c>
      <c r="B5407" s="9" t="str">
        <f>HYPERLINK("https://www.lazada.vn/products/ruou-nep-nguyen-chat-khong-dau-dau-khat-nuoc-cam-ket-khong-pha-con-i2940163115.html", "https://www.lazada.vn/products/ruou-nep-nguyen-chat-khong-dau-dau-khat-nuoc-cam-ket-khong-pha-con-i2940163115.html")</f>
        <v>https://www.lazada.vn/products/ruou-nep-nguyen-chat-khong-dau-dau-khat-nuoc-cam-ket-khong-pha-con-i2940163115.html</v>
      </c>
      <c r="C5407" s="10" t="s">
        <v>5407</v>
      </c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>
      <c r="A5408" s="8">
        <v>10262.0</v>
      </c>
      <c r="B5408" s="9" t="str">
        <f>HYPERLINK("https://www.lazada.vn/products/500gr-mam-ca-tren-loai-1-hang-xuat-khau-i1916808457.html", "https://www.lazada.vn/products/500gr-mam-ca-tren-loai-1-hang-xuat-khau-i1916808457.html")</f>
        <v>https://www.lazada.vn/products/500gr-mam-ca-tren-loai-1-hang-xuat-khau-i1916808457.html</v>
      </c>
      <c r="C5408" s="10" t="s">
        <v>5408</v>
      </c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>
      <c r="A5409" s="8">
        <v>10263.0</v>
      </c>
      <c r="B5409" s="9" t="str">
        <f>HYPERLINK("https://www.lazada.vn/products/banh-quy-bo-butter-cookies-no-brand-hop-400g-i1585764156.html", "https://www.lazada.vn/products/banh-quy-bo-butter-cookies-no-brand-hop-400g-i1585764156.html")</f>
        <v>https://www.lazada.vn/products/banh-quy-bo-butter-cookies-no-brand-hop-400g-i1585764156.html</v>
      </c>
      <c r="C5409" s="10" t="s">
        <v>5409</v>
      </c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>
      <c r="A5410" s="8">
        <v>10264.0</v>
      </c>
      <c r="B5410" s="9" t="str">
        <f>HYPERLINK("https://www.lazada.vn/products/hu-500g-bot-cacao-100-nguyen-chat-dak-lak-i2669610493.html", "https://www.lazada.vn/products/hu-500g-bot-cacao-100-nguyen-chat-dak-lak-i2669610493.html")</f>
        <v>https://www.lazada.vn/products/hu-500g-bot-cacao-100-nguyen-chat-dak-lak-i2669610493.html</v>
      </c>
      <c r="C5410" s="10" t="s">
        <v>5410</v>
      </c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>
      <c r="A5411" s="8">
        <v>10265.0</v>
      </c>
      <c r="B5411" s="9" t="str">
        <f>HYPERLINK("https://www.lazada.vn/products/banh-gooka-cracker-nougat-filling-vi-dua-sau-rieng-bibica-hg-360g-i2892739492.html", "https://www.lazada.vn/products/banh-gooka-cracker-nougat-filling-vi-dua-sau-rieng-bibica-hg-360g-i2892739492.html")</f>
        <v>https://www.lazada.vn/products/banh-gooka-cracker-nougat-filling-vi-dua-sau-rieng-bibica-hg-360g-i2892739492.html</v>
      </c>
      <c r="C5411" s="10" t="s">
        <v>5411</v>
      </c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>
      <c r="A5412" s="8">
        <v>10266.0</v>
      </c>
      <c r="B5412" s="9" t="str">
        <f>HYPERLINK("https://www.lazada.vn/products/ruou-sake-nhat-tsuyahime-junmai-ginjo-aratama-300ml-i2392248804.html", "https://www.lazada.vn/products/ruou-sake-nhat-tsuyahime-junmai-ginjo-aratama-300ml-i2392248804.html")</f>
        <v>https://www.lazada.vn/products/ruou-sake-nhat-tsuyahime-junmai-ginjo-aratama-300ml-i2392248804.html</v>
      </c>
      <c r="C5412" s="10" t="s">
        <v>5412</v>
      </c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>
      <c r="A5413" s="8">
        <v>10267.0</v>
      </c>
      <c r="B5413" s="9" t="str">
        <f>HYPERLINK("https://www.lazada.vn/products/revive-nuoc-uong-dien-giaimau-trang-1loc-6-chai-390ml-i2427056161.html", "https://www.lazada.vn/products/revive-nuoc-uong-dien-giaimau-trang-1loc-6-chai-390ml-i2427056161.html")</f>
        <v>https://www.lazada.vn/products/revive-nuoc-uong-dien-giaimau-trang-1loc-6-chai-390ml-i2427056161.html</v>
      </c>
      <c r="C5413" s="10" t="s">
        <v>5413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>
      <c r="A5414" s="8">
        <v>10268.0</v>
      </c>
      <c r="B5414" s="9" t="str">
        <f>HYPERLINK("https://www.lazada.vn/products/ruou-vodka-finlandia-nong-do-alc-40-750ml-i2696517467.html", "https://www.lazada.vn/products/ruou-vodka-finlandia-nong-do-alc-40-750ml-i2696517467.html")</f>
        <v>https://www.lazada.vn/products/ruou-vodka-finlandia-nong-do-alc-40-750ml-i2696517467.html</v>
      </c>
      <c r="C5414" s="10" t="s">
        <v>5414</v>
      </c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>
      <c r="A5415" s="8">
        <v>10269.0</v>
      </c>
      <c r="B5415" s="9" t="str">
        <f>HYPERLINK("https://www.lazada.vn/products/loc-6-chai-nuoc-uong-sua-trai-cay-viet-quat-tu-nhien-th-true-juice-milk-300ml-24chai-x-300ml-i2767090098.html", "https://www.lazada.vn/products/loc-6-chai-nuoc-uong-sua-trai-cay-viet-quat-tu-nhien-th-true-juice-milk-300ml-24chai-x-300ml-i2767090098.html")</f>
        <v>https://www.lazada.vn/products/loc-6-chai-nuoc-uong-sua-trai-cay-viet-quat-tu-nhien-th-true-juice-milk-300ml-24chai-x-300ml-i2767090098.html</v>
      </c>
      <c r="C5415" s="10" t="s">
        <v>5415</v>
      </c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>
      <c r="A5416" s="8">
        <v>10270.0</v>
      </c>
      <c r="B5416" s="9" t="str">
        <f>HYPERLINK("https://www.lazada.vn/products/mien-mang-vit-vifon-58g-goi-i2965201230.html", "https://www.lazada.vn/products/mien-mang-vit-vifon-58g-goi-i2965201230.html")</f>
        <v>https://www.lazada.vn/products/mien-mang-vit-vifon-58g-goi-i2965201230.html</v>
      </c>
      <c r="C5416" s="10" t="s">
        <v>5416</v>
      </c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>
      <c r="A5417" s="8">
        <v>10271.0</v>
      </c>
      <c r="B5417" s="9" t="str">
        <f>HYPERLINK("https://www.lazada.vn/products/combo-2-banh-bong-lan-quasure-light-gac-bibica-126g-thuc-pham-danh-cho-nguoi-an-kieng-tieu-duong-i2695149368.html", "https://www.lazada.vn/products/combo-2-banh-bong-lan-quasure-light-gac-bibica-126g-thuc-pham-danh-cho-nguoi-an-kieng-tieu-duong-i2695149368.html")</f>
        <v>https://www.lazada.vn/products/combo-2-banh-bong-lan-quasure-light-gac-bibica-126g-thuc-pham-danh-cho-nguoi-an-kieng-tieu-duong-i2695149368.html</v>
      </c>
      <c r="C5417" s="10" t="s">
        <v>5417</v>
      </c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>
      <c r="A5418" s="8">
        <v>10272.0</v>
      </c>
      <c r="B5418" s="9" t="str">
        <f>HYPERLINK("https://www.lazada.vn/products/combo-5-banh-mi-goi-bo-sua-ngan-lop-mini-nhien-loi-b97-tknk-beegin-i2641168054.html", "https://www.lazada.vn/products/combo-5-banh-mi-goi-bo-sua-ngan-lop-mini-nhien-loi-b97-tknk-beegin-i2641168054.html")</f>
        <v>https://www.lazada.vn/products/combo-5-banh-mi-goi-bo-sua-ngan-lop-mini-nhien-loi-b97-tknk-beegin-i2641168054.html</v>
      </c>
      <c r="C5418" s="10" t="s">
        <v>5418</v>
      </c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>
      <c r="A5419" s="8">
        <v>10273.0</v>
      </c>
      <c r="B5419" s="9" t="str">
        <f>HYPERLINK("https://www.lazada.vn/products/10-goi-mi-udon-sukisuki-huong-vi-udon-nhat-i1415917003.html", "https://www.lazada.vn/products/10-goi-mi-udon-sukisuki-huong-vi-udon-nhat-i1415917003.html")</f>
        <v>https://www.lazada.vn/products/10-goi-mi-udon-sukisuki-huong-vi-udon-nhat-i1415917003.html</v>
      </c>
      <c r="C5419" s="10" t="s">
        <v>5419</v>
      </c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>
      <c r="A5420" s="8">
        <v>10274.0</v>
      </c>
      <c r="B5420" s="9" t="str">
        <f>HYPERLINK("https://www.lazada.vn/products/combo-5-bich-ca-phe-sua-wake-up-cafe-sai-gon-456g-24-goi-x-19g-i2685876689.html", "https://www.lazada.vn/products/combo-5-bich-ca-phe-sua-wake-up-cafe-sai-gon-456g-24-goi-x-19g-i2685876689.html")</f>
        <v>https://www.lazada.vn/products/combo-5-bich-ca-phe-sua-wake-up-cafe-sai-gon-456g-24-goi-x-19g-i2685876689.html</v>
      </c>
      <c r="C5420" s="10" t="s">
        <v>5420</v>
      </c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>
      <c r="A5421" s="8">
        <v>10275.0</v>
      </c>
      <c r="B5421" s="9" t="str">
        <f>HYPERLINK("https://www.lazada.vn/products/bot-chuoi-xanh-nguyen-chat-hop-500g-i2673038037.html", "https://www.lazada.vn/products/bot-chuoi-xanh-nguyen-chat-hop-500g-i2673038037.html")</f>
        <v>https://www.lazada.vn/products/bot-chuoi-xanh-nguyen-chat-hop-500g-i2673038037.html</v>
      </c>
      <c r="C5421" s="10" t="s">
        <v>5421</v>
      </c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>
      <c r="A5422" s="8">
        <v>10276.0</v>
      </c>
      <c r="B5422" s="9" t="str">
        <f>HYPERLINK("https://www.lazada.vn/products/ngu-coc-hanh-nhan-oc-cho-han-quoc-thuc-uong-dinh-duong-i1950288319.html", "https://www.lazada.vn/products/ngu-coc-hanh-nhan-oc-cho-han-quoc-thuc-uong-dinh-duong-i1950288319.html")</f>
        <v>https://www.lazada.vn/products/ngu-coc-hanh-nhan-oc-cho-han-quoc-thuc-uong-dinh-duong-i1950288319.html</v>
      </c>
      <c r="C5422" s="10" t="s">
        <v>5422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>
      <c r="A5423" s="8">
        <v>10277.0</v>
      </c>
      <c r="B5423" s="9" t="str">
        <f>HYPERLINK("https://www.lazada.vn/products/theu-toan-bo-sinh-thai-soi-bong-14ct-in-bo-dung-cu-theu-chu-thap-day-mau-sac-28x34cm-i3023987035.html", "https://www.lazada.vn/products/theu-toan-bo-sinh-thai-soi-bong-14ct-in-bo-dung-cu-theu-chu-thap-day-mau-sac-28x34cm-i3023987035.html")</f>
        <v>https://www.lazada.vn/products/theu-toan-bo-sinh-thai-soi-bong-14ct-in-bo-dung-cu-theu-chu-thap-day-mau-sac-28x34cm-i3023987035.html</v>
      </c>
      <c r="C5423" s="10" t="s">
        <v>5423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>
      <c r="A5424" s="8">
        <v>10278.0</v>
      </c>
      <c r="B5424" s="9" t="str">
        <f>HYPERLINK("https://www.lazada.vn/products/chinesefoodcombo-5-goi-tam-cay-sieu-ngon-hang-san-i1738005423.html", "https://www.lazada.vn/products/chinesefoodcombo-5-goi-tam-cay-sieu-ngon-hang-san-i1738005423.html")</f>
        <v>https://www.lazada.vn/products/chinesefoodcombo-5-goi-tam-cay-sieu-ngon-hang-san-i1738005423.html</v>
      </c>
      <c r="C5424" s="10" t="s">
        <v>5424</v>
      </c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>
      <c r="A5425" s="8">
        <v>10279.0</v>
      </c>
      <c r="B5425" s="9" t="str">
        <f>HYPERLINK("https://www.lazada.vn/products/keo-sieu-chua-ribon-70g-i2740108175.html", "https://www.lazada.vn/products/keo-sieu-chua-ribon-70g-i2740108175.html")</f>
        <v>https://www.lazada.vn/products/keo-sieu-chua-ribon-70g-i2740108175.html</v>
      </c>
      <c r="C5425" s="10" t="s">
        <v>5425</v>
      </c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>
      <c r="A5426" s="8">
        <v>10280.0</v>
      </c>
      <c r="B5426" s="9" t="str">
        <f>HYPERLINK("https://www.lazada.vn/products/unmeat-hop-do-330g-thit-burger-chay-dong-hop-philippines-plant-based-meat-free-lucheon-burger-style-i3036211372.html", "https://www.lazada.vn/products/unmeat-hop-do-330g-thit-burger-chay-dong-hop-philippines-plant-based-meat-free-lucheon-burger-style-i3036211372.html")</f>
        <v>https://www.lazada.vn/products/unmeat-hop-do-330g-thit-burger-chay-dong-hop-philippines-plant-based-meat-free-lucheon-burger-style-i3036211372.html</v>
      </c>
      <c r="C5426" s="10" t="s">
        <v>5426</v>
      </c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>
      <c r="A5427" s="8">
        <v>10281.0</v>
      </c>
      <c r="B5427" s="9" t="str">
        <f>HYPERLINK("https://www.lazada.vn/products/vang-condado-de-oriza-crianza-i2621489300.html", "https://www.lazada.vn/products/vang-condado-de-oriza-crianza-i2621489300.html")</f>
        <v>https://www.lazada.vn/products/vang-condado-de-oriza-crianza-i2621489300.html</v>
      </c>
      <c r="C5427" s="10" t="s">
        <v>5427</v>
      </c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>
      <c r="A5428" s="8">
        <v>10282.0</v>
      </c>
      <c r="B5428" s="9" t="str">
        <f>HYPERLINK("https://www.lazada.vn/products/kahlua-huong-ca-phe-nguyen-lieu-pha-che-750ml-i2514300240.html", "https://www.lazada.vn/products/kahlua-huong-ca-phe-nguyen-lieu-pha-che-750ml-i2514300240.html")</f>
        <v>https://www.lazada.vn/products/kahlua-huong-ca-phe-nguyen-lieu-pha-che-750ml-i2514300240.html</v>
      </c>
      <c r="C5428" s="10" t="s">
        <v>5428</v>
      </c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>
      <c r="A5429" s="8">
        <v>10283.0</v>
      </c>
      <c r="B5429" s="9" t="str">
        <f>HYPERLINK("https://www.lazada.vn/products/snack-da-ca-trung-muoi-cay-irvins-105gram-hotboom-salted-egg-fish-skin-hang-chinh-hang-i2722197877.html", "https://www.lazada.vn/products/snack-da-ca-trung-muoi-cay-irvins-105gram-hotboom-salted-egg-fish-skin-hang-chinh-hang-i2722197877.html")</f>
        <v>https://www.lazada.vn/products/snack-da-ca-trung-muoi-cay-irvins-105gram-hotboom-salted-egg-fish-skin-hang-chinh-hang-i2722197877.html</v>
      </c>
      <c r="C5429" s="10" t="s">
        <v>5429</v>
      </c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>
      <c r="A5430" s="8">
        <v>10284.0</v>
      </c>
      <c r="B5430" s="9" t="str">
        <f>HYPERLINK("https://www.lazada.vn/products/keo-ca-phe-capuchino-5d-keo-socola-ca-phe-capuchino-phu-lop-ca-phe-thom-ngon-i2914377285.html", "https://www.lazada.vn/products/keo-ca-phe-capuchino-5d-keo-socola-ca-phe-capuchino-phu-lop-ca-phe-thom-ngon-i2914377285.html")</f>
        <v>https://www.lazada.vn/products/keo-ca-phe-capuchino-5d-keo-socola-ca-phe-capuchino-phu-lop-ca-phe-thom-ngon-i2914377285.html</v>
      </c>
      <c r="C5430" s="10" t="s">
        <v>5430</v>
      </c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>
      <c r="A5431" s="8">
        <v>10285.0</v>
      </c>
      <c r="B5431" s="9" t="str">
        <f>HYPERLINK("https://www.lazada.vn/products/combo-dung-thu-banh-trang-phoi-suong-muoi-tep-hanh-phi-top-mo-kem-bo-sot-tacsot-ot-sieu-ngon-lilifood-i2484477428.html", "https://www.lazada.vn/products/combo-dung-thu-banh-trang-phoi-suong-muoi-tep-hanh-phi-top-mo-kem-bo-sot-tacsot-ot-sieu-ngon-lilifood-i2484477428.html")</f>
        <v>https://www.lazada.vn/products/combo-dung-thu-banh-trang-phoi-suong-muoi-tep-hanh-phi-top-mo-kem-bo-sot-tacsot-ot-sieu-ngon-lilifood-i2484477428.html</v>
      </c>
      <c r="C5431" s="10" t="s">
        <v>5431</v>
      </c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>
      <c r="A5432" s="8">
        <v>10286.0</v>
      </c>
      <c r="B5432" s="9" t="str">
        <f>HYPERLINK("https://www.lazada.vn/products/thach-vitamin-jelly-msmarty-vi-trai-cay-hop-24c-i2404350899.html", "https://www.lazada.vn/products/thach-vitamin-jelly-msmarty-vi-trai-cay-hop-24c-i2404350899.html")</f>
        <v>https://www.lazada.vn/products/thach-vitamin-jelly-msmarty-vi-trai-cay-hop-24c-i2404350899.html</v>
      </c>
      <c r="C5432" s="10" t="s">
        <v>5432</v>
      </c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>
      <c r="A5433" s="8">
        <v>10287.0</v>
      </c>
      <c r="B5433" s="9" t="str">
        <f>HYPERLINK("https://www.lazada.vn/products/bo-suu-tap-trai-cay-kho-orange-slices-chocolate-dried-fruit-snack-tinh-bot-nghe-tay-hat-de-dried-milk-snack-100g-i2923578851.html", "https://www.lazada.vn/products/bo-suu-tap-trai-cay-kho-orange-slices-chocolate-dried-fruit-snack-tinh-bot-nghe-tay-hat-de-dried-milk-snack-100g-i2923578851.html")</f>
        <v>https://www.lazada.vn/products/bo-suu-tap-trai-cay-kho-orange-slices-chocolate-dried-fruit-snack-tinh-bot-nghe-tay-hat-de-dried-milk-snack-100g-i2923578851.html</v>
      </c>
      <c r="C5433" s="10" t="s">
        <v>5433</v>
      </c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>
      <c r="A5434" s="8">
        <v>10288.0</v>
      </c>
      <c r="B5434" s="9" t="str">
        <f>HYPERLINK("https://www.lazada.vn/products/snack-bim-bim-tam-que-thai-lan-dorkbua-cac-vi-goi-20g-pf057-i2719614316.html", "https://www.lazada.vn/products/snack-bim-bim-tam-que-thai-lan-dorkbua-cac-vi-goi-20g-pf057-i2719614316.html")</f>
        <v>https://www.lazada.vn/products/snack-bim-bim-tam-que-thai-lan-dorkbua-cac-vi-goi-20g-pf057-i2719614316.html</v>
      </c>
      <c r="C5434" s="10" t="s">
        <v>5434</v>
      </c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>
      <c r="A5435" s="8">
        <v>10289.0</v>
      </c>
      <c r="B5435" s="9" t="str">
        <f>HYPERLINK("https://www.lazada.vn/products/soda-bien-xanh-1-goi-500gr-soda-uc-nuoc-uong-giai-khat-co-san-gas-khong-can-siro-va-nuoc-co-gas-du-vi-thom-ngon-de-pha-i2423388653.html", "https://www.lazada.vn/products/soda-bien-xanh-1-goi-500gr-soda-uc-nuoc-uong-giai-khat-co-san-gas-khong-can-siro-va-nuoc-co-gas-du-vi-thom-ngon-de-pha-i2423388653.html")</f>
        <v>https://www.lazada.vn/products/soda-bien-xanh-1-goi-500gr-soda-uc-nuoc-uong-giai-khat-co-san-gas-khong-can-siro-va-nuoc-co-gas-du-vi-thom-ngon-de-pha-i2423388653.html</v>
      </c>
      <c r="C5435" s="10" t="s">
        <v>5435</v>
      </c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>
      <c r="A5436" s="8">
        <v>10290.0</v>
      </c>
      <c r="B5436" s="9" t="str">
        <f>HYPERLINK("https://www.lazada.vn/products/combo-2-thung-24-chai-bia-corona-extra-nhap-khau-250mlchai-i2938559216.html", "https://www.lazada.vn/products/combo-2-thung-24-chai-bia-corona-extra-nhap-khau-250mlchai-i2938559216.html")</f>
        <v>https://www.lazada.vn/products/combo-2-thung-24-chai-bia-corona-extra-nhap-khau-250mlchai-i2938559216.html</v>
      </c>
      <c r="C5436" s="10" t="s">
        <v>5436</v>
      </c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>
      <c r="A5437" s="8">
        <v>10291.0</v>
      </c>
      <c r="B5437" s="9" t="str">
        <f>HYPERLINK("https://www.lazada.vn/products/mam-nem-tron-ca-du-du-hu-1kg-mam-co-linh-i1916700320.html", "https://www.lazada.vn/products/mam-nem-tron-ca-du-du-hu-1kg-mam-co-linh-i1916700320.html")</f>
        <v>https://www.lazada.vn/products/mam-nem-tron-ca-du-du-hu-1kg-mam-co-linh-i1916700320.html</v>
      </c>
      <c r="C5437" s="10" t="s">
        <v>5437</v>
      </c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>
      <c r="A5438" s="8">
        <v>10292.0</v>
      </c>
      <c r="B5438" s="9" t="str">
        <f>HYPERLINK("https://www.lazada.vn/products/banh-quy-coconut-cracker-jessica-178g-banh-quy-dua-vuong-boc-giay-bac-i1581753958.html", "https://www.lazada.vn/products/banh-quy-coconut-cracker-jessica-178g-banh-quy-dua-vuong-boc-giay-bac-i1581753958.html")</f>
        <v>https://www.lazada.vn/products/banh-quy-coconut-cracker-jessica-178g-banh-quy-dua-vuong-boc-giay-bac-i1581753958.html</v>
      </c>
      <c r="C5438" s="10" t="s">
        <v>5438</v>
      </c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>
      <c r="A5439" s="8">
        <v>10293.0</v>
      </c>
      <c r="B5439" s="9" t="str">
        <f>HYPERLINK("https://www.lazada.vn/products/1kg-bot-ca-cao-dak-lak-nguyen-chat-100-i2669533623.html", "https://www.lazada.vn/products/1kg-bot-ca-cao-dak-lak-nguyen-chat-100-i2669533623.html")</f>
        <v>https://www.lazada.vn/products/1kg-bot-ca-cao-dak-lak-nguyen-chat-100-i2669533623.html</v>
      </c>
      <c r="C5439" s="10" t="s">
        <v>5439</v>
      </c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>
      <c r="A5440" s="8">
        <v>10294.0</v>
      </c>
      <c r="B5440" s="9" t="str">
        <f>HYPERLINK("https://www.lazada.vn/products/banh-cracker-sieu-gion-vi-ca-ngu-rong-bien-84g-i2892681361.html", "https://www.lazada.vn/products/banh-cracker-sieu-gion-vi-ca-ngu-rong-bien-84g-i2892681361.html")</f>
        <v>https://www.lazada.vn/products/banh-cracker-sieu-gion-vi-ca-ngu-rong-bien-84g-i2892681361.html</v>
      </c>
      <c r="C5440" s="10" t="s">
        <v>5440</v>
      </c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>
      <c r="A5441" s="8">
        <v>10295.0</v>
      </c>
      <c r="B5441" s="9" t="str">
        <f>HYPERLINK("https://www.lazada.vn/products/absolut-700ml-i2424330584.html", "https://www.lazada.vn/products/absolut-700ml-i2424330584.html")</f>
        <v>https://www.lazada.vn/products/absolut-700ml-i2424330584.html</v>
      </c>
      <c r="C5441" s="10" t="s">
        <v>5441</v>
      </c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>
      <c r="A5442" s="8">
        <v>10296.0</v>
      </c>
      <c r="B5442" s="9" t="str">
        <f>HYPERLINK("https://www.lazada.vn/products/ruou-sake-nhat-ban-ikekumo-junmai-daiginjo-720ml-i2390416872.html", "https://www.lazada.vn/products/ruou-sake-nhat-ban-ikekumo-junmai-daiginjo-720ml-i2390416872.html")</f>
        <v>https://www.lazada.vn/products/ruou-sake-nhat-ban-ikekumo-junmai-daiginjo-720ml-i2390416872.html</v>
      </c>
      <c r="C5442" s="10" t="s">
        <v>5442</v>
      </c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>
      <c r="A5443" s="8">
        <v>10297.0</v>
      </c>
      <c r="B5443" s="9" t="str">
        <f>HYPERLINK("https://www.lazada.vn/products/loc-6-chai-nuoc-uong-sua-trai-cay-th-true-juice-milk-huong-chuoi-300ml-i2767021245.html", "https://www.lazada.vn/products/loc-6-chai-nuoc-uong-sua-trai-cay-th-true-juice-milk-huong-chuoi-300ml-i2767021245.html")</f>
        <v>https://www.lazada.vn/products/loc-6-chai-nuoc-uong-sua-trai-cay-th-true-juice-milk-huong-chuoi-300ml-i2767021245.html</v>
      </c>
      <c r="C5443" s="10" t="s">
        <v>5443</v>
      </c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>
      <c r="A5444" s="8">
        <v>10298.0</v>
      </c>
      <c r="B5444" s="9" t="str">
        <f>HYPERLINK("https://www.lazada.vn/products/ruou-ha-noi-halico-nong-do-30-can-pe-2l-khong-kem-hop-i2651383799.html", "https://www.lazada.vn/products/ruou-ha-noi-halico-nong-do-30-can-pe-2l-khong-kem-hop-i2651383799.html")</f>
        <v>https://www.lazada.vn/products/ruou-ha-noi-halico-nong-do-30-can-pe-2l-khong-kem-hop-i2651383799.html</v>
      </c>
      <c r="C5444" s="10" t="s">
        <v>5444</v>
      </c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>
      <c r="A5445" s="8">
        <v>10299.0</v>
      </c>
      <c r="B5445" s="9" t="str">
        <f>HYPERLINK("https://www.lazada.vn/products/combo-5-goi-bun-bo-hue-vifon-65g-goi-i2919401453.html", "https://www.lazada.vn/products/combo-5-goi-bun-bo-hue-vifon-65g-goi-i2919401453.html")</f>
        <v>https://www.lazada.vn/products/combo-5-goi-bun-bo-hue-vifon-65g-goi-i2919401453.html</v>
      </c>
      <c r="C5445" s="10" t="s">
        <v>5445</v>
      </c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>
      <c r="A5446" s="8">
        <v>10300.0</v>
      </c>
      <c r="B5446" s="9" t="str">
        <f>HYPERLINK("https://www.lazada.vn/products/thung-2kg-24c-banh-mi-goi-bo-sua-ngan-lop-mini-nhien-loi-b97-tknk-beegin-i2641063490.html", "https://www.lazada.vn/products/thung-2kg-24c-banh-mi-goi-bo-sua-ngan-lop-mini-nhien-loi-b97-tknk-beegin-i2641063490.html")</f>
        <v>https://www.lazada.vn/products/thung-2kg-24c-banh-mi-goi-bo-sua-ngan-lop-mini-nhien-loi-b97-tknk-beegin-i2641063490.html</v>
      </c>
      <c r="C5446" s="10" t="s">
        <v>5446</v>
      </c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>
      <c r="A5447" s="8">
        <v>10301.0</v>
      </c>
      <c r="B5447" s="9" t="str">
        <f>HYPERLINK("https://www.lazada.vn/products/thung-mi-hao-hao-ga-vang-30-goi-i1415903092.html", "https://www.lazada.vn/products/thung-mi-hao-hao-ga-vang-30-goi-i1415903092.html")</f>
        <v>https://www.lazada.vn/products/thung-mi-hao-hao-ga-vang-30-goi-i1415903092.html</v>
      </c>
      <c r="C5447" s="10" t="s">
        <v>5447</v>
      </c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>
      <c r="A5448" s="8">
        <v>10302.0</v>
      </c>
      <c r="B5448" s="9" t="str">
        <f>HYPERLINK("https://www.lazada.vn/products/bot-chuoi-xanh-ho-tro-tieu-hoa-giam-can-hop-500g-i2672891355.html", "https://www.lazada.vn/products/bot-chuoi-xanh-ho-tro-tieu-hoa-giam-can-hop-500g-i2672891355.html")</f>
        <v>https://www.lazada.vn/products/bot-chuoi-xanh-ho-tro-tieu-hoa-giam-can-hop-500g-i2672891355.html</v>
      </c>
      <c r="C5448" s="10" t="s">
        <v>5448</v>
      </c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>
      <c r="A5449" s="8">
        <v>10303.0</v>
      </c>
      <c r="B5449" s="9" t="str">
        <f>HYPERLINK("https://www.lazada.vn/products/ca-phe-sua-da-maccoffee-cafe-pho-bich-720g-30-goi-x-24g-i2685874487.html", "https://www.lazada.vn/products/ca-phe-sua-da-maccoffee-cafe-pho-bich-720g-30-goi-x-24g-i2685874487.html")</f>
        <v>https://www.lazada.vn/products/ca-phe-sua-da-maccoffee-cafe-pho-bich-720g-30-goi-x-24g-i2685874487.html</v>
      </c>
      <c r="C5449" s="10" t="s">
        <v>5449</v>
      </c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>
      <c r="A5450" s="8">
        <v>10304.0</v>
      </c>
      <c r="B5450" s="9" t="str">
        <f>HYPERLINK("https://www.lazada.vn/products/bot-cacao-sua-classic-dam-cacao-thom-vi-sua-lon-350g-heyday-cacao-i1904623220.html", "https://www.lazada.vn/products/bot-cacao-sua-classic-dam-cacao-thom-vi-sua-lon-350g-heyday-cacao-i1904623220.html")</f>
        <v>https://www.lazada.vn/products/bot-cacao-sua-classic-dam-cacao-thom-vi-sua-lon-350g-heyday-cacao-i1904623220.html</v>
      </c>
      <c r="C5450" s="10" t="s">
        <v>5450</v>
      </c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>
      <c r="A5451" s="8">
        <v>10305.0</v>
      </c>
      <c r="B5451" s="9" t="str">
        <f>HYPERLINK("https://www.lazada.vn/products/theu-toan-bo-sinh-thai-soi-bong-11ct-in-gardenia-binh-cheo-stitch50x40-cm-i3023579480.html", "https://www.lazada.vn/products/theu-toan-bo-sinh-thai-soi-bong-11ct-in-gardenia-binh-cheo-stitch50x40-cm-i3023579480.html")</f>
        <v>https://www.lazada.vn/products/theu-toan-bo-sinh-thai-soi-bong-11ct-in-gardenia-binh-cheo-stitch50x40-cm-i3023579480.html</v>
      </c>
      <c r="C5451" s="10" t="s">
        <v>5451</v>
      </c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>
      <c r="A5452" s="8">
        <v>10306.0</v>
      </c>
      <c r="B5452" s="9" t="str">
        <f>HYPERLINK("https://www.lazada.vn/products/chinesefoodma-1911fmcgsale-giam-8-don-500k-san-chan-ga-cay-yuyu-thuong-hang-210g-i1737990574.html", "https://www.lazada.vn/products/chinesefoodma-1911fmcgsale-giam-8-don-500k-san-chan-ga-cay-yuyu-thuong-hang-210g-i1737990574.html")</f>
        <v>https://www.lazada.vn/products/chinesefoodma-1911fmcgsale-giam-8-don-500k-san-chan-ga-cay-yuyu-thuong-hang-210g-i1737990574.html</v>
      </c>
      <c r="C5452" s="10" t="s">
        <v>5452</v>
      </c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>
      <c r="A5453" s="8">
        <v>10307.0</v>
      </c>
      <c r="B5453" s="9" t="str">
        <f>HYPERLINK("https://www.lazada.vn/products/keo-dua-mix-nhieu-vi-sieu-ngon-100g-250g-500g-i2730927832.html", "https://www.lazada.vn/products/keo-dua-mix-nhieu-vi-sieu-ngon-100g-250g-500g-i2730927832.html")</f>
        <v>https://www.lazada.vn/products/keo-dua-mix-nhieu-vi-sieu-ngon-100g-250g-500g-i2730927832.html</v>
      </c>
      <c r="C5453" s="10" t="s">
        <v>5453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>
      <c r="A5454" s="8">
        <v>10308.0</v>
      </c>
      <c r="B5454" s="9" t="str">
        <f>HYPERLINK("https://www.lazada.vn/products/hop-nguyen-mieng-140g-ca-ngu-ngam-dau-tuna-viet-nam-tuna-chunks-in-soya-oil-i3036210650.html", "https://www.lazada.vn/products/hop-nguyen-mieng-140g-ca-ngu-ngam-dau-tuna-viet-nam-tuna-chunks-in-soya-oil-i3036210650.html")</f>
        <v>https://www.lazada.vn/products/hop-nguyen-mieng-140g-ca-ngu-ngam-dau-tuna-viet-nam-tuna-chunks-in-soya-oil-i3036210650.html</v>
      </c>
      <c r="C5454" s="10" t="s">
        <v>5454</v>
      </c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>
      <c r="A5455" s="8">
        <v>10309.0</v>
      </c>
      <c r="B5455" s="9" t="str">
        <f>HYPERLINK("https://www.lazada.vn/products/vang-tay-ban-nha-mucho-mas-red-blend-i2618817696.html", "https://www.lazada.vn/products/vang-tay-ban-nha-mucho-mas-red-blend-i2618817696.html")</f>
        <v>https://www.lazada.vn/products/vang-tay-ban-nha-mucho-mas-red-blend-i2618817696.html</v>
      </c>
      <c r="C5455" s="10" t="s">
        <v>5455</v>
      </c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>
      <c r="A5456" s="8">
        <v>10310.0</v>
      </c>
      <c r="B5456" s="9" t="str">
        <f>HYPERLINK("https://www.lazada.vn/products/siro-gau-an-ngon-tang-muong-dong-siro-i2513986646.html", "https://www.lazada.vn/products/siro-gau-an-ngon-tang-muong-dong-siro-i2513986646.html")</f>
        <v>https://www.lazada.vn/products/siro-gau-an-ngon-tang-muong-dong-siro-i2513986646.html</v>
      </c>
      <c r="C5456" s="10" t="s">
        <v>5456</v>
      </c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>
      <c r="A5457" s="8">
        <v>10311.0</v>
      </c>
      <c r="B5457" s="9" t="str">
        <f>HYPERLINK("https://www.lazada.vn/products/keo-socola-jinon-vi-matcha-hoa-hong-sua-dau-i2914303810.html", "https://www.lazada.vn/products/keo-socola-jinon-vi-matcha-hoa-hong-sua-dau-i2914303810.html")</f>
        <v>https://www.lazada.vn/products/keo-socola-jinon-vi-matcha-hoa-hong-sua-dau-i2914303810.html</v>
      </c>
      <c r="C5457" s="10" t="s">
        <v>5457</v>
      </c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>
      <c r="A5458" s="8">
        <v>10312.0</v>
      </c>
      <c r="B5458" s="9" t="str">
        <f>HYPERLINK("https://www.lazada.vn/products/hop-24-goi-snack-mi-tom-enaak-tre-em-vi-ga-truyen-thong-30g-m04-beegin-mart-i2483371099.html", "https://www.lazada.vn/products/hop-24-goi-snack-mi-tom-enaak-tre-em-vi-ga-truyen-thong-30g-m04-beegin-mart-i2483371099.html")</f>
        <v>https://www.lazada.vn/products/hop-24-goi-snack-mi-tom-enaak-tre-em-vi-ga-truyen-thong-30g-m04-beegin-mart-i2483371099.html</v>
      </c>
      <c r="C5458" s="10" t="s">
        <v>5458</v>
      </c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>
      <c r="A5459" s="8">
        <v>10313.0</v>
      </c>
      <c r="B5459" s="9" t="str">
        <f>HYPERLINK("https://www.lazada.vn/products/thach-pudding-vi-dao-kem-hop-qua-tang-gau-dau-lotso-i2400917441.html", "https://www.lazada.vn/products/thach-pudding-vi-dao-kem-hop-qua-tang-gau-dau-lotso-i2400917441.html")</f>
        <v>https://www.lazada.vn/products/thach-pudding-vi-dao-kem-hop-qua-tang-gau-dau-lotso-i2400917441.html</v>
      </c>
      <c r="C5459" s="10" t="s">
        <v>5459</v>
      </c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>
      <c r="A5460" s="8">
        <v>10314.0</v>
      </c>
      <c r="B5460" s="9" t="str">
        <f>HYPERLINK("https://www.lazada.vn/products/chocolate-white-strawberry-dried-freeze-snack-milk-matcha-heart-ball-strawberry-crisp-chocolate-milk-green-tea-flavor-snack-i2923575779.html", "https://www.lazada.vn/products/chocolate-white-strawberry-dried-freeze-snack-milk-matcha-heart-ball-strawberry-crisp-chocolate-milk-green-tea-flavor-snack-i2923575779.html")</f>
        <v>https://www.lazada.vn/products/chocolate-white-strawberry-dried-freeze-snack-milk-matcha-heart-ball-strawberry-crisp-chocolate-milk-green-tea-flavor-snack-i2923575779.html</v>
      </c>
      <c r="C5460" s="10" t="s">
        <v>5460</v>
      </c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>
      <c r="A5461" s="8">
        <v>10315.0</v>
      </c>
      <c r="B5461" s="9" t="str">
        <f>HYPERLINK("https://www.lazada.vn/products/do-an-nhe-nhang-dried-strawberry-bits-frozen-dry-baking-snack-fruit-powder-commercially-packaged-for-tea-shops-500g-i2923574558.html", "https://www.lazada.vn/products/do-an-nhe-nhang-dried-strawberry-bits-frozen-dry-baking-snack-fruit-powder-commercially-packaged-for-tea-shops-500g-i2923574558.html")</f>
        <v>https://www.lazada.vn/products/do-an-nhe-nhang-dried-strawberry-bits-frozen-dry-baking-snack-fruit-powder-commercially-packaged-for-tea-shops-500g-i2923574558.html</v>
      </c>
      <c r="C5461" s="10" t="s">
        <v>5461</v>
      </c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>
      <c r="A5462" s="8">
        <v>10316.0</v>
      </c>
      <c r="B5462" s="9" t="str">
        <f>HYPERLINK("https://www.lazada.vn/products/combo-2-thung-24-chai-bia-corona-extra-nhap-khau-300mlchai-i2938514339.html", "https://www.lazada.vn/products/combo-2-thung-24-chai-bia-corona-extra-nhap-khau-300mlchai-i2938514339.html")</f>
        <v>https://www.lazada.vn/products/combo-2-thung-24-chai-bia-corona-extra-nhap-khau-300mlchai-i2938514339.html</v>
      </c>
      <c r="C5462" s="10" t="s">
        <v>5462</v>
      </c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>
      <c r="A5463" s="8">
        <v>10317.0</v>
      </c>
      <c r="B5463" s="9" t="str">
        <f>HYPERLINK("https://www.lazada.vn/products/mre-do-an-quan-doi-my-case-b-12-goi-i2719536187.html", "https://www.lazada.vn/products/mre-do-an-quan-doi-my-case-b-12-goi-i2719536187.html")</f>
        <v>https://www.lazada.vn/products/mre-do-an-quan-doi-my-case-b-12-goi-i2719536187.html</v>
      </c>
      <c r="C5463" s="10" t="s">
        <v>5463</v>
      </c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>
      <c r="A5464" s="8">
        <v>10318.0</v>
      </c>
      <c r="B5464" s="9" t="str">
        <f>HYPERLINK("https://www.lazada.vn/products/mam-ca-com-pha-san-hu-500gr-mam-co-linh-i1916677343.html", "https://www.lazada.vn/products/mam-ca-com-pha-san-hu-500gr-mam-co-linh-i1916677343.html")</f>
        <v>https://www.lazada.vn/products/mam-ca-com-pha-san-hu-500gr-mam-co-linh-i1916677343.html</v>
      </c>
      <c r="C5464" s="10" t="s">
        <v>5464</v>
      </c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>
      <c r="A5465" s="8">
        <v>10319.0</v>
      </c>
      <c r="B5465" s="9" t="str">
        <f>HYPERLINK("https://www.lazada.vn/products/banh-pia-dua-sau-rieng-tan-hue-vien-banh-pia-mini-goi-12-cai-dac-san-soc-trang-i1581259446.html", "https://www.lazada.vn/products/banh-pia-dua-sau-rieng-tan-hue-vien-banh-pia-mini-goi-12-cai-dac-san-soc-trang-i1581259446.html")</f>
        <v>https://www.lazada.vn/products/banh-pia-dua-sau-rieng-tan-hue-vien-banh-pia-mini-goi-12-cai-dac-san-soc-trang-i1581259446.html</v>
      </c>
      <c r="C5465" s="10" t="s">
        <v>5465</v>
      </c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>
      <c r="A5466" s="8">
        <v>10320.0</v>
      </c>
      <c r="B5466" s="9" t="str">
        <f>HYPERLINK("https://www.lazada.vn/products/mam-ruoc-kho-thit-400gr-i1916567959.html", "https://www.lazada.vn/products/mam-ruoc-kho-thit-400gr-i1916567959.html")</f>
        <v>https://www.lazada.vn/products/mam-ruoc-kho-thit-400gr-i1916567959.html</v>
      </c>
      <c r="C5466" s="10" t="s">
        <v>5466</v>
      </c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>
      <c r="A5467" s="8">
        <v>10321.0</v>
      </c>
      <c r="B5467" s="9" t="str">
        <f>HYPERLINK("https://www.lazada.vn/products/450glon-pet-banh-ong-nhan-dau-phong-thom-ngon-gion-beo-i1578937447.html", "https://www.lazada.vn/products/450glon-pet-banh-ong-nhan-dau-phong-thom-ngon-gion-beo-i1578937447.html")</f>
        <v>https://www.lazada.vn/products/450glon-pet-banh-ong-nhan-dau-phong-thom-ngon-gion-beo-i1578937447.html</v>
      </c>
      <c r="C5467" s="10" t="s">
        <v>5467</v>
      </c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>
      <c r="A5468" s="8">
        <v>10322.0</v>
      </c>
      <c r="B5468" s="9" t="str">
        <f>HYPERLINK("https://www.lazada.vn/products/hat-no-tran-chau-dua-vi-sua-chua-lon-850g-i2669444836.html", "https://www.lazada.vn/products/hat-no-tran-chau-dua-vi-sua-chua-lon-850g-i2669444836.html")</f>
        <v>https://www.lazada.vn/products/hat-no-tran-chau-dua-vi-sua-chua-lon-850g-i2669444836.html</v>
      </c>
      <c r="C5468" s="10" t="s">
        <v>5468</v>
      </c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>
      <c r="A5469" s="8">
        <v>10323.0</v>
      </c>
      <c r="B5469" s="9" t="str">
        <f>HYPERLINK("https://www.lazada.vn/products/sake-nhat-ban-koshihikari-junmai-sinjo-muroka-genshu-720ml-i2364415236.html", "https://www.lazada.vn/products/sake-nhat-ban-koshihikari-junmai-sinjo-muroka-genshu-720ml-i2364415236.html")</f>
        <v>https://www.lazada.vn/products/sake-nhat-ban-koshihikari-junmai-sinjo-muroka-genshu-720ml-i2364415236.html</v>
      </c>
      <c r="C5469" s="10" t="s">
        <v>5469</v>
      </c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>
      <c r="A5470" s="8">
        <v>10324.0</v>
      </c>
      <c r="B5470" s="9" t="str">
        <f>HYPERLINK("https://www.lazada.vn/products/combo-mix-vodka-absolut-vodka-40-vol-700ml-kahllua-nong-do-16-vol-700ml-havana-club-original-aejo-3-a-os-nong-do-40vol-700ml-i2650760483.html", "https://www.lazada.vn/products/combo-mix-vodka-absolut-vodka-40-vol-700ml-kahllua-nong-do-16-vol-700ml-havana-club-original-aejo-3-a-os-nong-do-40vol-700ml-i2650760483.html")</f>
        <v>https://www.lazada.vn/products/combo-mix-vodka-absolut-vodka-40-vol-700ml-kahllua-nong-do-16-vol-700ml-havana-club-original-aejo-3-a-os-nong-do-40vol-700ml-i2650760483.html</v>
      </c>
      <c r="C5470" s="10" t="s">
        <v>5470</v>
      </c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>
      <c r="A5471" s="8">
        <v>10325.0</v>
      </c>
      <c r="B5471" s="9" t="str">
        <f>HYPERLINK("https://www.lazada.vn/products/nuoc-gao-len-men-makgeolli-chai-nhua-750ml-i2353868753.html", "https://www.lazada.vn/products/nuoc-gao-len-men-makgeolli-chai-nhua-750ml-i2353868753.html")</f>
        <v>https://www.lazada.vn/products/nuoc-gao-len-men-makgeolli-chai-nhua-750ml-i2353868753.html</v>
      </c>
      <c r="C5471" s="10" t="s">
        <v>5471</v>
      </c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>
      <c r="A5472" s="8">
        <v>10326.0</v>
      </c>
      <c r="B5472" s="9" t="str">
        <f>HYPERLINK("https://www.lazada.vn/products/hang-moi-ve-sinh-to-berrino-chai-120ml-vi-chanh-day-dau-dao-viet-quat-xoai-kiwi-nguyen-lieu-hucha-i2766933172.html", "https://www.lazada.vn/products/hang-moi-ve-sinh-to-berrino-chai-120ml-vi-chanh-day-dau-dao-viet-quat-xoai-kiwi-nguyen-lieu-hucha-i2766933172.html")</f>
        <v>https://www.lazada.vn/products/hang-moi-ve-sinh-to-berrino-chai-120ml-vi-chanh-day-dau-dao-viet-quat-xoai-kiwi-nguyen-lieu-hucha-i2766933172.html</v>
      </c>
      <c r="C5472" s="10" t="s">
        <v>5472</v>
      </c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>
      <c r="A5473" s="8">
        <v>10327.0</v>
      </c>
      <c r="B5473" s="9" t="str">
        <f>HYPERLINK("https://www.lazada.vn/products/nuoc-giai-ruou-han-quoc-chai-100ml-goodshot-i2423996013.html", "https://www.lazada.vn/products/nuoc-giai-ruou-han-quoc-chai-100ml-goodshot-i2423996013.html")</f>
        <v>https://www.lazada.vn/products/nuoc-giai-ruou-han-quoc-chai-100ml-goodshot-i2423996013.html</v>
      </c>
      <c r="C5473" s="10" t="s">
        <v>5473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>
      <c r="A5474" s="8">
        <v>10328.0</v>
      </c>
      <c r="B5474" s="9" t="str">
        <f>HYPERLINK("https://www.lazada.vn/products/combo-10-goi-bun-bo-hue-vifon-65g-goi-i2919379478.html", "https://www.lazada.vn/products/combo-10-goi-bun-bo-hue-vifon-65g-goi-i2919379478.html")</f>
        <v>https://www.lazada.vn/products/combo-10-goi-bun-bo-hue-vifon-65g-goi-i2919379478.html</v>
      </c>
      <c r="C5474" s="10" t="s">
        <v>5474</v>
      </c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>
      <c r="A5475" s="8">
        <v>10329.0</v>
      </c>
      <c r="B5475" s="9" t="str">
        <f>HYPERLINK("https://www.lazada.vn/products/banh-cracker-sieu-gion-vi-tom-rong-bien-84g-i2892560917.html", "https://www.lazada.vn/products/banh-cracker-sieu-gion-vi-tom-rong-bien-84g-i2892560917.html")</f>
        <v>https://www.lazada.vn/products/banh-cracker-sieu-gion-vi-tom-rong-bien-84g-i2892560917.html</v>
      </c>
      <c r="C5475" s="10" t="s">
        <v>5475</v>
      </c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>
      <c r="A5476" s="8">
        <v>10330.0</v>
      </c>
      <c r="B5476" s="9" t="str">
        <f>HYPERLINK("https://www.lazada.vn/products/thung-1kg-12c-banh-mi-goi-bo-sua-ngan-lop-mini-nhien-loi-b97-chuyen-si-tpnk-i2641033628.html", "https://www.lazada.vn/products/thung-1kg-12c-banh-mi-goi-bo-sua-ngan-lop-mini-nhien-loi-b97-chuyen-si-tpnk-i2641033628.html")</f>
        <v>https://www.lazada.vn/products/thung-1kg-12c-banh-mi-goi-bo-sua-ngan-lop-mini-nhien-loi-b97-chuyen-si-tpnk-i2641033628.html</v>
      </c>
      <c r="C5476" s="10" t="s">
        <v>5476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>
      <c r="A5477" s="8">
        <v>10331.0</v>
      </c>
      <c r="B5477" s="9" t="str">
        <f>HYPERLINK("https://www.lazada.vn/products/combo-5-banh-mi-goi-bo-sua-ngan-lop-mini-nhien-loi-b97-chuyen-si-tpnk-i2641001785.html", "https://www.lazada.vn/products/combo-5-banh-mi-goi-bo-sua-ngan-lop-mini-nhien-loi-b97-chuyen-si-tpnk-i2641001785.html")</f>
        <v>https://www.lazada.vn/products/combo-5-banh-mi-goi-bo-sua-ngan-lop-mini-nhien-loi-b97-chuyen-si-tpnk-i2641001785.html</v>
      </c>
      <c r="C5477" s="10" t="s">
        <v>5477</v>
      </c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>
      <c r="A5478" s="8">
        <v>10332.0</v>
      </c>
      <c r="B5478" s="9" t="str">
        <f>HYPERLINK("https://www.lazada.vn/products/mi-tom-hao-hao-acecook-goi-75g-cac-vi-i1415893146.html", "https://www.lazada.vn/products/mi-tom-hao-hao-acecook-goi-75g-cac-vi-i1415893146.html")</f>
        <v>https://www.lazada.vn/products/mi-tom-hao-hao-acecook-goi-75g-cac-vi-i1415893146.html</v>
      </c>
      <c r="C5478" s="10" t="s">
        <v>5478</v>
      </c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>
      <c r="A5479" s="8">
        <v>10333.0</v>
      </c>
      <c r="B5479" s="9" t="str">
        <f>HYPERLINK("https://www.lazada.vn/products/theu-toan-bo-soi-bong-11ct-in-buc-tranh-truu-tuong-cheo-stitch40x60-cm-i3023294528.html", "https://www.lazada.vn/products/theu-toan-bo-soi-bong-11ct-in-buc-tranh-truu-tuong-cheo-stitch40x60-cm-i3023294528.html")</f>
        <v>https://www.lazada.vn/products/theu-toan-bo-soi-bong-11ct-in-buc-tranh-truu-tuong-cheo-stitch40x60-cm-i3023294528.html</v>
      </c>
      <c r="C5479" s="10" t="s">
        <v>5479</v>
      </c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>
      <c r="A5480" s="8">
        <v>10334.0</v>
      </c>
      <c r="B5480" s="9" t="str">
        <f>HYPERLINK("https://www.lazada.vn/products/bot-cacao-sua-dua-tu-nhien-thuan-chay-lon-350g-heyday-cacao-i1904615820.html", "https://www.lazada.vn/products/bot-cacao-sua-dua-tu-nhien-thuan-chay-lon-350g-heyday-cacao-i1904615820.html")</f>
        <v>https://www.lazada.vn/products/bot-cacao-sua-dua-tu-nhien-thuan-chay-lon-350g-heyday-cacao-i1904615820.html</v>
      </c>
      <c r="C5480" s="10" t="s">
        <v>5480</v>
      </c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>
      <c r="A5481" s="8">
        <v>10335.0</v>
      </c>
      <c r="B5481" s="9" t="str">
        <f>HYPERLINK("https://www.lazada.vn/products/combo-5-bich-ca-phe-den-da-nescafe-cafe-viet-bich-560g-35-goi-x-16g-i2685864975.html", "https://www.lazada.vn/products/combo-5-bich-ca-phe-den-da-nescafe-cafe-viet-bich-560g-35-goi-x-16g-i2685864975.html")</f>
        <v>https://www.lazada.vn/products/combo-5-bich-ca-phe-den-da-nescafe-cafe-viet-bich-560g-35-goi-x-16g-i2685864975.html</v>
      </c>
      <c r="C5481" s="10" t="s">
        <v>5481</v>
      </c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>
      <c r="A5482" s="8">
        <v>10336.0</v>
      </c>
      <c r="B5482" s="9" t="str">
        <f>HYPERLINK("https://www.lazada.vn/products/bot-rau-cau-pha-san-konnyaku-cac-vi-tui-560gr-i2670545172.html", "https://www.lazada.vn/products/bot-rau-cau-pha-san-konnyaku-cac-vi-tui-560gr-i2670545172.html")</f>
        <v>https://www.lazada.vn/products/bot-rau-cau-pha-san-konnyaku-cac-vi-tui-560gr-i2670545172.html</v>
      </c>
      <c r="C5482" s="10" t="s">
        <v>5482</v>
      </c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>
      <c r="A5483" s="8">
        <v>10337.0</v>
      </c>
      <c r="B5483" s="9" t="str">
        <f>HYPERLINK("https://www.lazada.vn/products/chinesefoodchan-vit-muoi-cay-dacheng-sieu-hot-goi-1-chan-32gram-i1737990573.html", "https://www.lazada.vn/products/chinesefoodchan-vit-muoi-cay-dacheng-sieu-hot-goi-1-chan-32gram-i1737990573.html")</f>
        <v>https://www.lazada.vn/products/chinesefoodchan-vit-muoi-cay-dacheng-sieu-hot-goi-1-chan-32gram-i1737990573.html</v>
      </c>
      <c r="C5483" s="10" t="s">
        <v>5483</v>
      </c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>
      <c r="A5484" s="8">
        <v>10338.0</v>
      </c>
      <c r="B5484" s="9" t="str">
        <f>HYPERLINK("https://www.lazada.vn/products/20-my-spaghetti-bistro-vi-bo-bam-i1415884163.html", "https://www.lazada.vn/products/20-my-spaghetti-bistro-vi-bo-bam-i1415884163.html")</f>
        <v>https://www.lazada.vn/products/20-my-spaghetti-bistro-vi-bo-bam-i1415884163.html</v>
      </c>
      <c r="C5484" s="10" t="s">
        <v>5484</v>
      </c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>
      <c r="A5485" s="8">
        <v>10339.0</v>
      </c>
      <c r="B5485" s="9" t="str">
        <f>HYPERLINK("https://www.lazada.vn/products/1-day-10-goi-keo-deo-canxi-d-ich-nhi-cao-hon-cung-cap-hon-i2730886748.html", "https://www.lazada.vn/products/1-day-10-goi-keo-deo-canxi-d-ich-nhi-cao-hon-cung-cap-hon-i2730886748.html")</f>
        <v>https://www.lazada.vn/products/1-day-10-goi-keo-deo-canxi-d-ich-nhi-cao-hon-cung-cap-hon-i2730886748.html</v>
      </c>
      <c r="C5485" s="10" t="s">
        <v>5485</v>
      </c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>
      <c r="A5486" s="8">
        <v>10340.0</v>
      </c>
      <c r="B5486" s="9" t="str">
        <f>HYPERLINK("https://www.lazada.vn/products/sea-crown-hop-tron-cam-140g-ca-ngu-ngam-dau-dau-nanh-tha-lan-tuna-chunks-in-soybean-oil-halal-i3036210550.html", "https://www.lazada.vn/products/sea-crown-hop-tron-cam-140g-ca-ngu-ngam-dau-dau-nanh-tha-lan-tuna-chunks-in-soybean-oil-halal-i3036210550.html")</f>
        <v>https://www.lazada.vn/products/sea-crown-hop-tron-cam-140g-ca-ngu-ngam-dau-dau-nanh-tha-lan-tuna-chunks-in-soybean-oil-halal-i3036210550.html</v>
      </c>
      <c r="C5486" s="10" t="s">
        <v>5486</v>
      </c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>
      <c r="A5487" s="8">
        <v>10341.0</v>
      </c>
      <c r="B5487" s="9" t="str">
        <f>HYPERLINK("https://www.lazada.vn/products/syrup-torani-vai-chai-750ml-i2512394134.html", "https://www.lazada.vn/products/syrup-torani-vai-chai-750ml-i2512394134.html")</f>
        <v>https://www.lazada.vn/products/syrup-torani-vai-chai-750ml-i2512394134.html</v>
      </c>
      <c r="C5487" s="10" t="s">
        <v>5487</v>
      </c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>
      <c r="A5488" s="8">
        <v>10342.0</v>
      </c>
      <c r="B5488" s="9" t="str">
        <f>HYPERLINK("https://www.lazada.vn/products/ruou-vang-do-les-hauts-de-mademoiselle-i2615259840.html", "https://www.lazada.vn/products/ruou-vang-do-les-hauts-de-mademoiselle-i2615259840.html")</f>
        <v>https://www.lazada.vn/products/ruou-vang-do-les-hauts-de-mademoiselle-i2615259840.html</v>
      </c>
      <c r="C5488" s="10" t="s">
        <v>5488</v>
      </c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>
      <c r="A5489" s="8">
        <v>10343.0</v>
      </c>
      <c r="B5489" s="9" t="str">
        <f>HYPERLINK("https://www.lazada.vn/products/hang-my-socola-nhan-ruou-anthon-berg-64-chai-gom-8-vi-khac-nhau-i2911841113.html", "https://www.lazada.vn/products/hang-my-socola-nhan-ruou-anthon-berg-64-chai-gom-8-vi-khac-nhau-i2911841113.html")</f>
        <v>https://www.lazada.vn/products/hang-my-socola-nhan-ruou-anthon-berg-64-chai-gom-8-vi-khac-nhau-i2911841113.html</v>
      </c>
      <c r="C5489" s="10" t="s">
        <v>5489</v>
      </c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>
      <c r="A5490" s="8">
        <v>10344.0</v>
      </c>
      <c r="B5490" s="9" t="str">
        <f>HYPERLINK("https://www.lazada.vn/products/thach-sua-long-thanh-vi-trai-cay-i2396689129.html", "https://www.lazada.vn/products/thach-sua-long-thanh-vi-trai-cay-i2396689129.html")</f>
        <v>https://www.lazada.vn/products/thach-sua-long-thanh-vi-trai-cay-i2396689129.html</v>
      </c>
      <c r="C5490" s="10" t="s">
        <v>5490</v>
      </c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>
      <c r="A5491" s="8">
        <v>10345.0</v>
      </c>
      <c r="B5491" s="9" t="str">
        <f>HYPERLINK("https://www.lazada.vn/products/combo-10-goi-snack-mi-tom-enaak-tre-em-vi-ga-truyen-thong-30g-m04-an-vat-beegin-i2483341176.html", "https://www.lazada.vn/products/combo-10-goi-snack-mi-tom-enaak-tre-em-vi-ga-truyen-thong-30g-m04-an-vat-beegin-i2483341176.html")</f>
        <v>https://www.lazada.vn/products/combo-10-goi-snack-mi-tom-enaak-tre-em-vi-ga-truyen-thong-30g-m04-an-vat-beegin-i2483341176.html</v>
      </c>
      <c r="C5491" s="10" t="s">
        <v>5491</v>
      </c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>
      <c r="A5492" s="8">
        <v>10346.0</v>
      </c>
      <c r="B5492" s="9" t="str">
        <f>HYPERLINK("https://www.lazada.vn/products/combo-2-thung-24-chai-bia-budweiser-chinh-hang-330mlchai-i2938499206.html", "https://www.lazada.vn/products/combo-2-thung-24-chai-bia-budweiser-chinh-hang-330mlchai-i2938499206.html")</f>
        <v>https://www.lazada.vn/products/combo-2-thung-24-chai-bia-budweiser-chinh-hang-330mlchai-i2938499206.html</v>
      </c>
      <c r="C5492" s="10" t="s">
        <v>5492</v>
      </c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>
      <c r="A5493" s="8">
        <v>10347.0</v>
      </c>
      <c r="B5493" s="9" t="str">
        <f>HYPERLINK("https://www.lazada.vn/products/banh-ca-bim-bim-marine-boy-vi-tao-bien-nori-goi-56g-i2715419227.html", "https://www.lazada.vn/products/banh-ca-bim-bim-marine-boy-vi-tao-bien-nori-goi-56g-i2715419227.html")</f>
        <v>https://www.lazada.vn/products/banh-ca-bim-bim-marine-boy-vi-tao-bien-nori-goi-56g-i2715419227.html</v>
      </c>
      <c r="C5493" s="10" t="s">
        <v>5493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>
      <c r="A5494" s="8">
        <v>10348.0</v>
      </c>
      <c r="B5494" s="9" t="str">
        <f>HYPERLINK("https://www.lazada.vn/products/bot-suong-sao-dong-kho-dried-strawberry-crumble-baking-ice-cream-snack-dried-fruit-bot-dong-kho-cho-banh-kem-va-keo-i2923573911.html", "https://www.lazada.vn/products/bot-suong-sao-dong-kho-dried-strawberry-crumble-baking-ice-cream-snack-dried-fruit-bot-dong-kho-cho-banh-kem-va-keo-i2923573911.html")</f>
        <v>https://www.lazada.vn/products/bot-suong-sao-dong-kho-dried-strawberry-crumble-baking-ice-cream-snack-dried-fruit-bot-dong-kho-cho-banh-kem-va-keo-i2923573911.html</v>
      </c>
      <c r="C5494" s="10" t="s">
        <v>5494</v>
      </c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>
      <c r="A5495" s="8">
        <v>10349.0</v>
      </c>
      <c r="B5495" s="9" t="str">
        <f>HYPERLINK("https://www.lazada.vn/products/sinh-to-vina-mut-chai-1l-vi-dao-oi-hong-mang-cau-chanh-day-kiwi-dau-viet-quat-xoai-dam-vi-de-dang-pha-che-i2669163696.html", "https://www.lazada.vn/products/sinh-to-vina-mut-chai-1l-vi-dao-oi-hong-mang-cau-chanh-day-kiwi-dau-viet-quat-xoai-dam-vi-de-dang-pha-che-i2669163696.html")</f>
        <v>https://www.lazada.vn/products/sinh-to-vina-mut-chai-1l-vi-dao-oi-hong-mang-cau-chanh-day-kiwi-dau-viet-quat-xoai-dam-vi-de-dang-pha-che-i2669163696.html</v>
      </c>
      <c r="C5495" s="10" t="s">
        <v>5495</v>
      </c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>
      <c r="A5496" s="8">
        <v>10350.0</v>
      </c>
      <c r="B5496" s="9" t="str">
        <f>HYPERLINK("https://www.lazada.vn/products/banh-gooka-cracker-nougat-filling-vi-dua-sau-rieng-tui-120g-i2892552997.html", "https://www.lazada.vn/products/banh-gooka-cracker-nougat-filling-vi-dua-sau-rieng-tui-120g-i2892552997.html")</f>
        <v>https://www.lazada.vn/products/banh-gooka-cracker-nougat-filling-vi-dua-sau-rieng-tui-120g-i2892552997.html</v>
      </c>
      <c r="C5496" s="10" t="s">
        <v>5496</v>
      </c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>
      <c r="A5497" s="8">
        <v>10351.0</v>
      </c>
      <c r="B5497" s="9" t="str">
        <f>HYPERLINK("https://www.lazada.vn/products/le-1-lo-nuoc-uong-di-tau-xe-han-quoc-30ml-i2423707940.html", "https://www.lazada.vn/products/le-1-lo-nuoc-uong-di-tau-xe-han-quoc-30ml-i2423707940.html")</f>
        <v>https://www.lazada.vn/products/le-1-lo-nuoc-uong-di-tau-xe-han-quoc-30ml-i2423707940.html</v>
      </c>
      <c r="C5497" s="10" t="s">
        <v>5497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>
      <c r="A5498" s="8">
        <v>10352.0</v>
      </c>
      <c r="B5498" s="9" t="str">
        <f>HYPERLINK("https://www.lazada.vn/products/thung-nuoc-uong-sua-trai-cay-viet-quat-tu-nhien-th-true-juice-milk-300ml-24chai-x-300ml-i2766895704.html", "https://www.lazada.vn/products/thung-nuoc-uong-sua-trai-cay-viet-quat-tu-nhien-th-true-juice-milk-300ml-24chai-x-300ml-i2766895704.html")</f>
        <v>https://www.lazada.vn/products/thung-nuoc-uong-sua-trai-cay-viet-quat-tu-nhien-th-true-juice-milk-300ml-24chai-x-300ml-i2766895704.html</v>
      </c>
      <c r="C5498" s="10" t="s">
        <v>5498</v>
      </c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>
      <c r="A5499" s="8">
        <v>10353.0</v>
      </c>
      <c r="B5499" s="9" t="str">
        <f>HYPERLINK("https://www.lazada.vn/products/thung-8-hop-masan-mi-lau-tu-soi-omachi-xot-bo-ham-mi-lau-hop-tu-soi-huong-vi-xot-bo-ham-omachi-an-lien-273ghop-i2891793539.html", "https://www.lazada.vn/products/thung-8-hop-masan-mi-lau-tu-soi-omachi-xot-bo-ham-mi-lau-hop-tu-soi-huong-vi-xot-bo-ham-omachi-an-lien-273ghop-i2891793539.html")</f>
        <v>https://www.lazada.vn/products/thung-8-hop-masan-mi-lau-tu-soi-omachi-xot-bo-ham-mi-lau-hop-tu-soi-huong-vi-xot-bo-ham-omachi-an-lien-273ghop-i2891793539.html</v>
      </c>
      <c r="C5499" s="10" t="s">
        <v>5499</v>
      </c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>
      <c r="A5500" s="8">
        <v>10354.0</v>
      </c>
      <c r="B5500" s="9" t="str">
        <f>HYPERLINK("https://www.lazada.vn/products/banh-que-ticky-72k-loc-i1575833935.html", "https://www.lazada.vn/products/banh-que-ticky-72k-loc-i1575833935.html")</f>
        <v>https://www.lazada.vn/products/banh-que-ticky-72k-loc-i1575833935.html</v>
      </c>
      <c r="C5500" s="10" t="s">
        <v>5500</v>
      </c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>
      <c r="A5501" s="8">
        <v>10355.0</v>
      </c>
      <c r="B5501" s="9" t="str">
        <f>HYPERLINK("https://www.lazada.vn/products/thung-1kg12c-banh-mi-goi-bo-sua-ngan-lop-mini-nhien-loi-b97-tknk-beegin-i2640963858.html", "https://www.lazada.vn/products/thung-1kg12c-banh-mi-goi-bo-sua-ngan-lop-mini-nhien-loi-b97-tknk-beegin-i2640963858.html")</f>
        <v>https://www.lazada.vn/products/thung-1kg12c-banh-mi-goi-bo-sua-ngan-lop-mini-nhien-loi-b97-tknk-beegin-i2640963858.html</v>
      </c>
      <c r="C5501" s="10" t="s">
        <v>5501</v>
      </c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>
      <c r="A5502" s="8">
        <v>10356.0</v>
      </c>
      <c r="B5502" s="9" t="str">
        <f>HYPERLINK("https://www.lazada.vn/products/combo-mix-vodka-absolut-vodka-40vol-beefeater-london-dry-gin-nong-do-40-vol-ruou-khai-vi-lillet-blanc-17vol-i2650715418.html", "https://www.lazada.vn/products/combo-mix-vodka-absolut-vodka-40vol-beefeater-london-dry-gin-nong-do-40-vol-ruou-khai-vi-lillet-blanc-17vol-i2650715418.html")</f>
        <v>https://www.lazada.vn/products/combo-mix-vodka-absolut-vodka-40vol-beefeater-london-dry-gin-nong-do-40-vol-ruou-khai-vi-lillet-blanc-17vol-i2650715418.html</v>
      </c>
      <c r="C5502" s="10" t="s">
        <v>5502</v>
      </c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>
      <c r="A5503" s="8">
        <v>10357.0</v>
      </c>
      <c r="B5503" s="9" t="str">
        <f>HYPERLINK("https://www.lazada.vn/products/ruou-mo-choya-single-year-vintage-720ml-i2308677260.html", "https://www.lazada.vn/products/ruou-mo-choya-single-year-vintage-720ml-i2308677260.html")</f>
        <v>https://www.lazada.vn/products/ruou-mo-choya-single-year-vintage-720ml-i2308677260.html</v>
      </c>
      <c r="C5503" s="10" t="s">
        <v>5503</v>
      </c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>
      <c r="A5504" s="8">
        <v>10358.0</v>
      </c>
      <c r="B5504" s="9" t="str">
        <f>HYPERLINK("https://www.lazada.vn/products/vodka-danzka-chai-nhom-750cl-i2647803296.html", "https://www.lazada.vn/products/vodka-danzka-chai-nhom-750cl-i2647803296.html")</f>
        <v>https://www.lazada.vn/products/vodka-danzka-chai-nhom-750cl-i2647803296.html</v>
      </c>
      <c r="C5504" s="10" t="s">
        <v>5504</v>
      </c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>
      <c r="A5505" s="8">
        <v>10359.0</v>
      </c>
      <c r="B5505" s="9" t="str">
        <f>HYPERLINK("https://www.lazada.vn/products/tom-ngam-mam-toi-ot-hu-500gr-mam-co-linh-i1916505167.html", "https://www.lazada.vn/products/tom-ngam-mam-toi-ot-hu-500gr-mam-co-linh-i1916505167.html")</f>
        <v>https://www.lazada.vn/products/tom-ngam-mam-toi-ot-hu-500gr-mam-co-linh-i1916505167.html</v>
      </c>
      <c r="C5505" s="10" t="s">
        <v>5505</v>
      </c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>
      <c r="A5506" s="8">
        <v>10360.0</v>
      </c>
      <c r="B5506" s="9" t="str">
        <f>HYPERLINK("https://www.lazada.vn/products/ruou-mo-xanh-choya-kishu-720ml-i2308592709.html", "https://www.lazada.vn/products/ruou-mo-xanh-choya-kishu-720ml-i2308592709.html")</f>
        <v>https://www.lazada.vn/products/ruou-mo-xanh-choya-kishu-720ml-i2308592709.html</v>
      </c>
      <c r="C5506" s="10" t="s">
        <v>5506</v>
      </c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>
      <c r="A5507" s="8">
        <v>10361.0</v>
      </c>
      <c r="B5507" s="9" t="str">
        <f>HYPERLINK("https://www.lazada.vn/products/ca-phe-sua-wake-up-cafe-sai-gon-456g-24-goi-x-19g-i2685855923.html", "https://www.lazada.vn/products/ca-phe-sua-wake-up-cafe-sai-gon-456g-24-goi-x-19g-i2685855923.html")</f>
        <v>https://www.lazada.vn/products/ca-phe-sua-wake-up-cafe-sai-gon-456g-24-goi-x-19g-i2685855923.html</v>
      </c>
      <c r="C5507" s="10" t="s">
        <v>5507</v>
      </c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>
      <c r="A5508" s="8">
        <v>10362.0</v>
      </c>
      <c r="B5508" s="9" t="str">
        <f>HYPERLINK("https://www.lazada.vn/products/4-thung-thuc-uong-sua-socola-lua-mach-vinamilk-susu-tui-110ml-24-tuithung-i1902223259.html", "https://www.lazada.vn/products/4-thung-thuc-uong-sua-socola-lua-mach-vinamilk-susu-tui-110ml-24-tuithung-i1902223259.html")</f>
        <v>https://www.lazada.vn/products/4-thung-thuc-uong-sua-socola-lua-mach-vinamilk-susu-tui-110ml-24-tuithung-i1902223259.html</v>
      </c>
      <c r="C5508" s="10" t="s">
        <v>5508</v>
      </c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>
      <c r="A5509" s="8">
        <v>10363.0</v>
      </c>
      <c r="B5509" s="9" t="str">
        <f>HYPERLINK("https://www.lazada.vn/products/theu-toan-bo-sinh-thai-soi-bong-11ct-in-gardenia-binh-cheo-stitch50x40-cm-i3023287384.html", "https://www.lazada.vn/products/theu-toan-bo-sinh-thai-soi-bong-11ct-in-gardenia-binh-cheo-stitch50x40-cm-i3023287384.html")</f>
        <v>https://www.lazada.vn/products/theu-toan-bo-sinh-thai-soi-bong-11ct-in-gardenia-binh-cheo-stitch50x40-cm-i3023287384.html</v>
      </c>
      <c r="C5509" s="10" t="s">
        <v>5509</v>
      </c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>
      <c r="A5510" s="8">
        <v>10364.0</v>
      </c>
      <c r="B5510" s="9" t="str">
        <f>HYPERLINK("https://www.lazada.vn/products/2-thung-sua-tiet-trung-vinamilk-adm-socola-180ml-48-hopthung-i1900795267.html", "https://www.lazada.vn/products/2-thung-sua-tiet-trung-vinamilk-adm-socola-180ml-48-hopthung-i1900795267.html")</f>
        <v>https://www.lazada.vn/products/2-thung-sua-tiet-trung-vinamilk-adm-socola-180ml-48-hopthung-i1900795267.html</v>
      </c>
      <c r="C5510" s="10" t="s">
        <v>5510</v>
      </c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>
      <c r="A5511" s="8">
        <v>10365.0</v>
      </c>
      <c r="B5511" s="9" t="str">
        <f>HYPERLINK("https://www.lazada.vn/products/chinesefoodma-1911fmcgsale-giam-8-don-500k-banh-nabati-nextar-socola-sieu-ngon-hop-112g-8-cai-hang-san-i1737989610.html", "https://www.lazada.vn/products/chinesefoodma-1911fmcgsale-giam-8-don-500k-banh-nabati-nextar-socola-sieu-ngon-hop-112g-8-cai-hang-san-i1737989610.html")</f>
        <v>https://www.lazada.vn/products/chinesefoodma-1911fmcgsale-giam-8-don-500k-banh-nabati-nextar-socola-sieu-ngon-hop-112g-8-cai-hang-san-i1737989610.html</v>
      </c>
      <c r="C5511" s="10" t="s">
        <v>5511</v>
      </c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>
      <c r="A5512" s="8">
        <v>10366.0</v>
      </c>
      <c r="B5512" s="9" t="str">
        <f>HYPERLINK("https://www.lazada.vn/products/10-mi-spaghetti-bistro-xot-kem-pho-mai-kieu-y-goi-100g-i1415852382.html", "https://www.lazada.vn/products/10-mi-spaghetti-bistro-xot-kem-pho-mai-kieu-y-goi-100g-i1415852382.html")</f>
        <v>https://www.lazada.vn/products/10-mi-spaghetti-bistro-xot-kem-pho-mai-kieu-y-goi-100g-i1415852382.html</v>
      </c>
      <c r="C5512" s="10" t="s">
        <v>5512</v>
      </c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>
      <c r="A5513" s="8">
        <v>10367.0</v>
      </c>
      <c r="B5513" s="9" t="str">
        <f>HYPERLINK("https://www.lazada.vn/products/thach-calci-ich-nhi-thach-mat-den-ich-nhi-thach-an-ngon-ich-hop-21-tui-x-30gr-i2730865826.html", "https://www.lazada.vn/products/thach-calci-ich-nhi-thach-mat-den-ich-nhi-thach-an-ngon-ich-hop-21-tui-x-30gr-i2730865826.html")</f>
        <v>https://www.lazada.vn/products/thach-calci-ich-nhi-thach-mat-den-ich-nhi-thach-an-ngon-ich-hop-21-tui-x-30gr-i2730865826.html</v>
      </c>
      <c r="C5513" s="10" t="s">
        <v>5513</v>
      </c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>
      <c r="A5514" s="8">
        <v>10368.0</v>
      </c>
      <c r="B5514" s="9" t="str">
        <f>HYPERLINK("https://www.lazada.vn/products/doi-sun-videli-bich-500g-giao-tphcm-i3036207112.html", "https://www.lazada.vn/products/doi-sun-videli-bich-500g-giao-tphcm-i3036207112.html")</f>
        <v>https://www.lazada.vn/products/doi-sun-videli-bich-500g-giao-tphcm-i3036207112.html</v>
      </c>
      <c r="C5514" s="10" t="s">
        <v>5514</v>
      </c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>
      <c r="A5515" s="8">
        <v>10369.0</v>
      </c>
      <c r="B5515" s="9" t="str">
        <f>HYPERLINK("https://www.lazada.vn/products/syrup-torani-caramel-chai-750ml-i2511438785.html", "https://www.lazada.vn/products/syrup-torani-caramel-chai-750ml-i2511438785.html")</f>
        <v>https://www.lazada.vn/products/syrup-torani-caramel-chai-750ml-i2511438785.html</v>
      </c>
      <c r="C5515" s="10" t="s">
        <v>5515</v>
      </c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>
      <c r="A5516" s="8">
        <v>10370.0</v>
      </c>
      <c r="B5516" s="9" t="str">
        <f>HYPERLINK("https://www.lazada.vn/products/ruou-vang-do-les-hauts-de-mademoiselle-i2615242924.html", "https://www.lazada.vn/products/ruou-vang-do-les-hauts-de-mademoiselle-i2615242924.html")</f>
        <v>https://www.lazada.vn/products/ruou-vang-do-les-hauts-de-mademoiselle-i2615242924.html</v>
      </c>
      <c r="C5516" s="10" t="s">
        <v>5516</v>
      </c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>
      <c r="A5517" s="8">
        <v>10371.0</v>
      </c>
      <c r="B5517" s="9" t="str">
        <f>HYPERLINK("https://www.lazada.vn/products/hang-my-socola-nhan-ruoi-anthon-berg-64-chai-gom-8-vi-khac-nhau-i2911506808.html", "https://www.lazada.vn/products/hang-my-socola-nhan-ruoi-anthon-berg-64-chai-gom-8-vi-khac-nhau-i2911506808.html")</f>
        <v>https://www.lazada.vn/products/hang-my-socola-nhan-ruoi-anthon-berg-64-chai-gom-8-vi-khac-nhau-i2911506808.html</v>
      </c>
      <c r="C5517" s="10" t="s">
        <v>5517</v>
      </c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>
      <c r="A5518" s="8">
        <v>10372.0</v>
      </c>
      <c r="B5518" s="9" t="str">
        <f>HYPERLINK("https://www.lazada.vn/products/hop-24-goi-snack-mi-tom-enaak-tre-em-vi-ga-truyen-thong-30g-m04-an-vat-beegin-i2483324231.html", "https://www.lazada.vn/products/hop-24-goi-snack-mi-tom-enaak-tre-em-vi-ga-truyen-thong-30g-m04-an-vat-beegin-i2483324231.html")</f>
        <v>https://www.lazada.vn/products/hop-24-goi-snack-mi-tom-enaak-tre-em-vi-ga-truyen-thong-30g-m04-an-vat-beegin-i2483324231.html</v>
      </c>
      <c r="C5518" s="10" t="s">
        <v>5518</v>
      </c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>
      <c r="A5519" s="8">
        <v>10373.0</v>
      </c>
      <c r="B5519" s="9" t="str">
        <f>HYPERLINK("https://www.lazada.vn/products/thach-sua-long-thanh-10-thanh-vi-trai-cay-i2396611905.html", "https://www.lazada.vn/products/thach-sua-long-thanh-10-thanh-vi-trai-cay-i2396611905.html")</f>
        <v>https://www.lazada.vn/products/thach-sua-long-thanh-10-thanh-vi-trai-cay-i2396611905.html</v>
      </c>
      <c r="C5519" s="10" t="s">
        <v>5519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>
      <c r="A5520" s="8">
        <v>10374.0</v>
      </c>
      <c r="B5520" s="9" t="str">
        <f>HYPERLINK("https://www.lazada.vn/products/bo-qua-tet-2025black-whisky-lao-bo-gom-2-chai-nhu-hinh-i2932451362.html", "https://www.lazada.vn/products/bo-qua-tet-2025black-whisky-lao-bo-gom-2-chai-nhu-hinh-i2932451362.html")</f>
        <v>https://www.lazada.vn/products/bo-qua-tet-2025black-whisky-lao-bo-gom-2-chai-nhu-hinh-i2932451362.html</v>
      </c>
      <c r="C5520" s="10" t="s">
        <v>5520</v>
      </c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>
      <c r="A5521" s="8">
        <v>10375.0</v>
      </c>
      <c r="B5521" s="9" t="str">
        <f>HYPERLINK("https://www.lazada.vn/products/tang-10-tui-combo-10-chai-nuoc-yen-that-justnest-8-yen-chung-chai-x-160ml-i2669063890.html", "https://www.lazada.vn/products/tang-10-tui-combo-10-chai-nuoc-yen-that-justnest-8-yen-chung-chai-x-160ml-i2669063890.html")</f>
        <v>https://www.lazada.vn/products/tang-10-tui-combo-10-chai-nuoc-yen-that-justnest-8-yen-chung-chai-x-160ml-i2669063890.html</v>
      </c>
      <c r="C5521" s="10" t="s">
        <v>5521</v>
      </c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>
      <c r="A5522" s="8">
        <v>10376.0</v>
      </c>
      <c r="B5522" s="9" t="str">
        <f>HYPERLINK("https://www.lazada.vn/products/sua-dong-kho-dau-tay-ice-sugar-coated-strawberry-dried-hawthorn-com-dried-yam-snack-special-local-food-giai-tri-i2923570508.html", "https://www.lazada.vn/products/sua-dong-kho-dau-tay-ice-sugar-coated-strawberry-dried-hawthorn-com-dried-yam-snack-special-local-food-giai-tri-i2923570508.html")</f>
        <v>https://www.lazada.vn/products/sua-dong-kho-dau-tay-ice-sugar-coated-strawberry-dried-hawthorn-com-dried-yam-snack-special-local-food-giai-tri-i2923570508.html</v>
      </c>
      <c r="C5522" s="10" t="s">
        <v>5522</v>
      </c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>
      <c r="A5523" s="8">
        <v>10377.0</v>
      </c>
      <c r="B5523" s="9" t="str">
        <f>HYPERLINK("https://www.lazada.vn/products/roku-700ml-i2422385624.html", "https://www.lazada.vn/products/roku-700ml-i2422385624.html")</f>
        <v>https://www.lazada.vn/products/roku-700ml-i2422385624.html</v>
      </c>
      <c r="C5523" s="10" t="s">
        <v>5523</v>
      </c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>
      <c r="A5524" s="8">
        <v>10378.0</v>
      </c>
      <c r="B5524" s="9" t="str">
        <f>HYPERLINK("https://www.lazada.vn/products/snack-khoai-tay-cay-pringles-lon-102g-i2714629410.html", "https://www.lazada.vn/products/snack-khoai-tay-cay-pringles-lon-102g-i2714629410.html")</f>
        <v>https://www.lazada.vn/products/snack-khoai-tay-cay-pringles-lon-102g-i2714629410.html</v>
      </c>
      <c r="C5524" s="10" t="s">
        <v>5524</v>
      </c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>
      <c r="A5525" s="8">
        <v>10379.0</v>
      </c>
      <c r="B5525" s="9" t="str">
        <f>HYPERLINK("https://www.lazada.vn/products/thung-12-hop-nuoc-vfresh-tao-ep-100-hop-giay-1l-i2766859329.html", "https://www.lazada.vn/products/thung-12-hop-nuoc-vfresh-tao-ep-100-hop-giay-1l-i2766859329.html")</f>
        <v>https://www.lazada.vn/products/thung-12-hop-nuoc-vfresh-tao-ep-100-hop-giay-1l-i2766859329.html</v>
      </c>
      <c r="C5525" s="10" t="s">
        <v>5525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>
      <c r="A5526" s="8">
        <v>10380.0</v>
      </c>
      <c r="B5526" s="9" t="str">
        <f>HYPERLINK("https://www.lazada.vn/products/de-banh-dong-tien-gion-ngon-500gr-i2891450081.html", "https://www.lazada.vn/products/de-banh-dong-tien-gion-ngon-500gr-i2891450081.html")</f>
        <v>https://www.lazada.vn/products/de-banh-dong-tien-gion-ngon-500gr-i2891450081.html</v>
      </c>
      <c r="C5526" s="10" t="s">
        <v>5526</v>
      </c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>
      <c r="A5527" s="8">
        <v>10381.0</v>
      </c>
      <c r="B5527" s="9" t="str">
        <f>HYPERLINK("https://www.lazada.vn/products/banh-bong-lan-shougong-mong-lep-dai-loan-b34-i2640751725.html", "https://www.lazada.vn/products/banh-bong-lan-shougong-mong-lep-dai-loan-b34-i2640751725.html")</f>
        <v>https://www.lazada.vn/products/banh-bong-lan-shougong-mong-lep-dai-loan-b34-i2640751725.html</v>
      </c>
      <c r="C5527" s="10" t="s">
        <v>5527</v>
      </c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>
      <c r="A5528" s="8">
        <v>10382.0</v>
      </c>
      <c r="B5528" s="9" t="str">
        <f>HYPERLINK("https://www.lazada.vn/products/thung-24-chai-nuoc-uong-sua-trai-cay-th-true-juice-milk-huong-chuoi-300ml-i2766829847.html", "https://www.lazada.vn/products/thung-24-chai-nuoc-uong-sua-trai-cay-th-true-juice-milk-huong-chuoi-300ml-i2766829847.html")</f>
        <v>https://www.lazada.vn/products/thung-24-chai-nuoc-uong-sua-trai-cay-th-true-juice-milk-huong-chuoi-300ml-i2766829847.html</v>
      </c>
      <c r="C5528" s="10" t="s">
        <v>5528</v>
      </c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>
      <c r="A5529" s="8">
        <v>10383.0</v>
      </c>
      <c r="B5529" s="9" t="str">
        <f>HYPERLINK("https://www.lazada.vn/products/hop-700gr-banh-phuc-linh-sau-rieng-nguyen-chat-i1554061126.html", "https://www.lazada.vn/products/hop-700gr-banh-phuc-linh-sau-rieng-nguyen-chat-i1554061126.html")</f>
        <v>https://www.lazada.vn/products/hop-700gr-banh-phuc-linh-sau-rieng-nguyen-chat-i1554061126.html</v>
      </c>
      <c r="C5529" s="10" t="s">
        <v>5529</v>
      </c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>
      <c r="A5530" s="8">
        <v>10384.0</v>
      </c>
      <c r="B5530" s="9" t="str">
        <f>HYPERLINK("https://www.lazada.vn/products/smirnoff-vodka-i2647696513.html", "https://www.lazada.vn/products/smirnoff-vodka-i2647696513.html")</f>
        <v>https://www.lazada.vn/products/smirnoff-vodka-i2647696513.html</v>
      </c>
      <c r="C5530" s="10" t="s">
        <v>5530</v>
      </c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>
      <c r="A5531" s="8">
        <v>10385.0</v>
      </c>
      <c r="B5531" s="9" t="str">
        <f>HYPERLINK("https://www.lazada.vn/products/combo-5-goi-mi-cay-sasin-dac-biet-bset0085-i2849085544.html", "https://www.lazada.vn/products/combo-5-goi-mi-cay-sasin-dac-biet-bset0085-i2849085544.html")</f>
        <v>https://www.lazada.vn/products/combo-5-goi-mi-cay-sasin-dac-biet-bset0085-i2849085544.html</v>
      </c>
      <c r="C5531" s="10" t="s">
        <v>5531</v>
      </c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>
      <c r="A5532" s="8">
        <v>10386.0</v>
      </c>
      <c r="B5532" s="9" t="str">
        <f>HYPERLINK("https://www.lazada.vn/products/sake-nhat-ban-sasanokawa-junmaiginjo-720ml-15-i2277755921.html", "https://www.lazada.vn/products/sake-nhat-ban-sasanokawa-junmaiginjo-720ml-15-i2277755921.html")</f>
        <v>https://www.lazada.vn/products/sake-nhat-ban-sasanokawa-junmaiginjo-720ml-15-i2277755921.html</v>
      </c>
      <c r="C5532" s="10" t="s">
        <v>5532</v>
      </c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>
      <c r="A5533" s="8">
        <v>10387.0</v>
      </c>
      <c r="B5533" s="9" t="str">
        <f>HYPERLINK("https://www.lazada.vn/products/theu-toan-bo-sinh-thai-soi-bong-11ct-in-gardenia-binh-cheo-stitch50x40-cm-i3023233212.html", "https://www.lazada.vn/products/theu-toan-bo-sinh-thai-soi-bong-11ct-in-gardenia-binh-cheo-stitch50x40-cm-i3023233212.html")</f>
        <v>https://www.lazada.vn/products/theu-toan-bo-sinh-thai-soi-bong-11ct-in-gardenia-binh-cheo-stitch50x40-cm-i3023233212.html</v>
      </c>
      <c r="C5533" s="10" t="s">
        <v>5533</v>
      </c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>
      <c r="A5534" s="8">
        <v>10388.0</v>
      </c>
      <c r="B5534" s="9" t="str">
        <f>HYPERLINK("https://www.lazada.vn/products/ca-phe-sua-g7-3in1-bich-800g-50-goi-x-16g-i2685850748.html", "https://www.lazada.vn/products/ca-phe-sua-g7-3in1-bich-800g-50-goi-x-16g-i2685850748.html")</f>
        <v>https://www.lazada.vn/products/ca-phe-sua-g7-3in1-bich-800g-50-goi-x-16g-i2685850748.html</v>
      </c>
      <c r="C5534" s="10" t="s">
        <v>5534</v>
      </c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>
      <c r="A5535" s="8">
        <v>10389.0</v>
      </c>
      <c r="B5535" s="9" t="str">
        <f>HYPERLINK("https://www.lazada.vn/products/combo-5-bich-ca-phe-sua-good-morning-tran-quang-3in1-bich-24-goi-x-20g-i2685833740.html", "https://www.lazada.vn/products/combo-5-bich-ca-phe-sua-good-morning-tran-quang-3in1-bich-24-goi-x-20g-i2685833740.html")</f>
        <v>https://www.lazada.vn/products/combo-5-bich-ca-phe-sua-good-morning-tran-quang-3in1-bich-24-goi-x-20g-i2685833740.html</v>
      </c>
      <c r="C5535" s="10" t="s">
        <v>5535</v>
      </c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>
      <c r="A5536" s="8">
        <v>10390.0</v>
      </c>
      <c r="B5536" s="9" t="str">
        <f>HYPERLINK("https://www.lazada.vn/products/tom-chua-hue-hu-500gr-mam-co-linh-i1916484281.html", "https://www.lazada.vn/products/tom-chua-hue-hu-500gr-mam-co-linh-i1916484281.html")</f>
        <v>https://www.lazada.vn/products/tom-chua-hue-hu-500gr-mam-co-linh-i1916484281.html</v>
      </c>
      <c r="C5536" s="10" t="s">
        <v>5536</v>
      </c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>
      <c r="A5537" s="8">
        <v>10391.0</v>
      </c>
      <c r="B5537" s="9" t="str">
        <f>HYPERLINK("https://www.lazada.vn/products/bo-san-pham-cacao-that-natural-bold-classic-sua-dua-heydaycacao-i1894470253.html", "https://www.lazada.vn/products/bo-san-pham-cacao-that-natural-bold-classic-sua-dua-heydaycacao-i1894470253.html")</f>
        <v>https://www.lazada.vn/products/bo-san-pham-cacao-that-natural-bold-classic-sua-dua-heydaycacao-i1894470253.html</v>
      </c>
      <c r="C5537" s="10" t="s">
        <v>5537</v>
      </c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>
      <c r="A5538" s="8">
        <v>10392.0</v>
      </c>
      <c r="B5538" s="9" t="str">
        <f>HYPERLINK("https://www.lazada.vn/products/thung-mi-hao-hao-sa-te-hanh-tim-75g-30-goi-i1415838527.html", "https://www.lazada.vn/products/thung-mi-hao-hao-sa-te-hanh-tim-75g-30-goi-i1415838527.html")</f>
        <v>https://www.lazada.vn/products/thung-mi-hao-hao-sa-te-hanh-tim-75g-30-goi-i1415838527.html</v>
      </c>
      <c r="C5538" s="10" t="s">
        <v>5538</v>
      </c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>
      <c r="A5539" s="8">
        <v>10393.0</v>
      </c>
      <c r="B5539" s="9" t="str">
        <f>HYPERLINK("https://www.lazada.vn/products/chinesefoodtong-hop-do-an-vat-sieu-giam-gia-sieu-ngon-hang-san-i1737988616.html", "https://www.lazada.vn/products/chinesefoodtong-hop-do-an-vat-sieu-giam-gia-sieu-ngon-hang-san-i1737988616.html")</f>
        <v>https://www.lazada.vn/products/chinesefoodtong-hop-do-an-vat-sieu-giam-gia-sieu-ngon-hang-san-i1737988616.html</v>
      </c>
      <c r="C5539" s="10" t="s">
        <v>5539</v>
      </c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>
      <c r="A5540" s="8">
        <v>10394.0</v>
      </c>
      <c r="B5540" s="9" t="str">
        <f>HYPERLINK("https://www.lazada.vn/products/keo-sap-nhan-trai-cay-nhieu-vi-12-vien-i2730823410.html", "https://www.lazada.vn/products/keo-sap-nhan-trai-cay-nhieu-vi-12-vien-i2730823410.html")</f>
        <v>https://www.lazada.vn/products/keo-sap-nhan-trai-cay-nhieu-vi-12-vien-i2730823410.html</v>
      </c>
      <c r="C5540" s="10" t="s">
        <v>5540</v>
      </c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>
      <c r="A5541" s="8">
        <v>10395.0</v>
      </c>
      <c r="B5541" s="9" t="str">
        <f>HYPERLINK("https://www.lazada.vn/products/bristol-hop-do-340g-thit-ham-xat-nho-my-chopped-ham-i3036203956.html", "https://www.lazada.vn/products/bristol-hop-do-340g-thit-ham-xat-nho-my-chopped-ham-i3036203956.html")</f>
        <v>https://www.lazada.vn/products/bristol-hop-do-340g-thit-ham-xat-nho-my-chopped-ham-i3036203956.html</v>
      </c>
      <c r="C5541" s="10" t="s">
        <v>5541</v>
      </c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>
      <c r="A5542" s="8">
        <v>10396.0</v>
      </c>
      <c r="B5542" s="9" t="str">
        <f>HYPERLINK("https://www.lazada.vn/products/vang-fyi-red-blend-tay-ban-nha-i2613619149.html", "https://www.lazada.vn/products/vang-fyi-red-blend-tay-ban-nha-i2613619149.html")</f>
        <v>https://www.lazada.vn/products/vang-fyi-red-blend-tay-ban-nha-i2613619149.html</v>
      </c>
      <c r="C5542" s="10" t="s">
        <v>5542</v>
      </c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>
      <c r="A5543" s="8">
        <v>10397.0</v>
      </c>
      <c r="B5543" s="9" t="str">
        <f>HYPERLINK("https://www.lazada.vn/products/mao-dai-lang-que-do-nhi-phong-canh-2500ml-25lit-i2507887298.html", "https://www.lazada.vn/products/mao-dai-lang-que-do-nhi-phong-canh-2500ml-25lit-i2507887298.html")</f>
        <v>https://www.lazada.vn/products/mao-dai-lang-que-do-nhi-phong-canh-2500ml-25lit-i2507887298.html</v>
      </c>
      <c r="C5543" s="10" t="s">
        <v>5543</v>
      </c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>
      <c r="A5544" s="8">
        <v>10398.0</v>
      </c>
      <c r="B5544" s="9" t="str">
        <f>HYPERLINK("https://www.lazada.vn/products/keo-socola-nhan-hat-de_-loai-ngon_hang-viet-thai_keo-tet-i2910914955.html", "https://www.lazada.vn/products/keo-socola-nhan-hat-de_-loai-ngon_hang-viet-thai_keo-tet-i2910914955.html")</f>
        <v>https://www.lazada.vn/products/keo-socola-nhan-hat-de_-loai-ngon_hang-viet-thai_keo-tet-i2910914955.html</v>
      </c>
      <c r="C5544" s="10" t="s">
        <v>5544</v>
      </c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>
      <c r="A5545" s="8">
        <v>10399.0</v>
      </c>
      <c r="B5545" s="9" t="str">
        <f>HYPERLINK("https://www.lazada.vn/products/combo-5-goi-snack-mi-tom-enaak-tre-em-vi-ga-truyen-thong-30g-m04-beegin-mart-i2483295687.html", "https://www.lazada.vn/products/combo-5-goi-snack-mi-tom-enaak-tre-em-vi-ga-truyen-thong-30g-m04-beegin-mart-i2483295687.html")</f>
        <v>https://www.lazada.vn/products/combo-5-goi-snack-mi-tom-enaak-tre-em-vi-ga-truyen-thong-30g-m04-beegin-mart-i2483295687.html</v>
      </c>
      <c r="C5545" s="10" t="s">
        <v>5545</v>
      </c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>
      <c r="A5546" s="8">
        <v>10400.0</v>
      </c>
      <c r="B5546" s="9" t="str">
        <f>HYPERLINK("https://www.lazada.vn/products/hop-24-goi-snack-mi-tom-enaak-tre-em-vi-ga-truyen-thong-30g-m04-gia-ngan-food-i2483288443.html", "https://www.lazada.vn/products/hop-24-goi-snack-mi-tom-enaak-tre-em-vi-ga-truyen-thong-30g-m04-gia-ngan-food-i2483288443.html")</f>
        <v>https://www.lazada.vn/products/hop-24-goi-snack-mi-tom-enaak-tre-em-vi-ga-truyen-thong-30g-m04-gia-ngan-food-i2483288443.html</v>
      </c>
      <c r="C5546" s="10" t="s">
        <v>5546</v>
      </c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>
      <c r="A5547" s="8">
        <v>10401.0</v>
      </c>
      <c r="B5547" s="9" t="str">
        <f>HYPERLINK("https://www.lazada.vn/products/hop-thach-rau-cau-tot-cho-he-tieu-hoa-hop-12-chiec-i2393778311.html", "https://www.lazada.vn/products/hop-thach-rau-cau-tot-cho-he-tieu-hoa-hop-12-chiec-i2393778311.html")</f>
        <v>https://www.lazada.vn/products/hop-thach-rau-cau-tot-cho-he-tieu-hoa-hop-12-chiec-i2393778311.html</v>
      </c>
      <c r="C5547" s="10" t="s">
        <v>5547</v>
      </c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>
      <c r="A5548" s="8">
        <v>10402.0</v>
      </c>
      <c r="B5548" s="9" t="str">
        <f>HYPERLINK("https://www.lazada.vn/products/bia-kaiserin-lager-date-moi-i2931321153.html", "https://www.lazada.vn/products/bia-kaiserin-lager-date-moi-i2931321153.html")</f>
        <v>https://www.lazada.vn/products/bia-kaiserin-lager-date-moi-i2931321153.html</v>
      </c>
      <c r="C5548" s="10" t="s">
        <v>5548</v>
      </c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>
      <c r="A5549" s="8">
        <v>10403.0</v>
      </c>
      <c r="B5549" s="9" t="str">
        <f>HYPERLINK("https://www.lazada.vn/products/thach-rau-cau-caramel-lapatie-long-hai-goi-400g-i2393740218.html", "https://www.lazada.vn/products/thach-rau-cau-caramel-lapatie-long-hai-goi-400g-i2393740218.html")</f>
        <v>https://www.lazada.vn/products/thach-rau-cau-caramel-lapatie-long-hai-goi-400g-i2393740218.html</v>
      </c>
      <c r="C5549" s="10" t="s">
        <v>5549</v>
      </c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>
      <c r="A5550" s="8">
        <v>10404.0</v>
      </c>
      <c r="B5550" s="9" t="str">
        <f>HYPERLINK("https://www.lazada.vn/products/sua-tai-loc-cong-ty-vinamilk-1284g-i2668540460.html", "https://www.lazada.vn/products/sua-tai-loc-cong-ty-vinamilk-1284g-i2668540460.html")</f>
        <v>https://www.lazada.vn/products/sua-tai-loc-cong-ty-vinamilk-1284g-i2668540460.html</v>
      </c>
      <c r="C5550" s="10" t="s">
        <v>5550</v>
      </c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>
      <c r="A5551" s="8">
        <v>10405.0</v>
      </c>
      <c r="B5551" s="9" t="str">
        <f>HYPERLINK("https://www.lazada.vn/products/bimbim-khong-lo-one-bite-vi-ca-chua-vi-tom-hum-168g-i2714226200.html", "https://www.lazada.vn/products/bimbim-khong-lo-one-bite-vi-ca-chua-vi-tom-hum-168g-i2714226200.html")</f>
        <v>https://www.lazada.vn/products/bimbim-khong-lo-one-bite-vi-ca-chua-vi-tom-hum-168g-i2714226200.html</v>
      </c>
      <c r="C5551" s="10" t="s">
        <v>5551</v>
      </c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>
      <c r="A5552" s="8">
        <v>10406.0</v>
      </c>
      <c r="B5552" s="9" t="str">
        <f>HYPERLINK("https://www.lazada.vn/products/combo-1-thung-24-lon-bia-cambodia-premium-dinh-cao-huong-vi-den-tu-dat-nuoc-chua-thap-i2930790210.html", "https://www.lazada.vn/products/combo-1-thung-24-lon-bia-cambodia-premium-dinh-cao-huong-vi-den-tu-dat-nuoc-chua-thap-i2930790210.html")</f>
        <v>https://www.lazada.vn/products/combo-1-thung-24-lon-bia-cambodia-premium-dinh-cao-huong-vi-den-tu-dat-nuoc-chua-thap-i2930790210.html</v>
      </c>
      <c r="C5552" s="10" t="s">
        <v>5552</v>
      </c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>
      <c r="A5553" s="8">
        <v>10407.0</v>
      </c>
      <c r="B5553" s="9" t="str">
        <f>HYPERLINK("https://www.lazada.vn/products/strawberry-dried-freeze-100g-baking-snack-leisure-snowflake-caramel-sugar-yogurt-use-dried-fruit-date-baking-i2923569801.html", "https://www.lazada.vn/products/strawberry-dried-freeze-100g-baking-snack-leisure-snowflake-caramel-sugar-yogurt-use-dried-fruit-date-baking-i2923569801.html")</f>
        <v>https://www.lazada.vn/products/strawberry-dried-freeze-100g-baking-snack-leisure-snowflake-caramel-sugar-yogurt-use-dried-fruit-date-baking-i2923569801.html</v>
      </c>
      <c r="C5553" s="10" t="s">
        <v>5553</v>
      </c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>
      <c r="A5554" s="8">
        <v>10408.0</v>
      </c>
      <c r="B5554" s="9" t="str">
        <f>HYPERLINK("https://www.lazada.vn/products/pocari-sweat-bu-nuoc-va-dien-giai-hop-5-goisachest-i2422198122.html", "https://www.lazada.vn/products/pocari-sweat-bu-nuoc-va-dien-giai-hop-5-goisachest-i2422198122.html")</f>
        <v>https://www.lazada.vn/products/pocari-sweat-bu-nuoc-va-dien-giai-hop-5-goisachest-i2422198122.html</v>
      </c>
      <c r="C5554" s="10" t="s">
        <v>5554</v>
      </c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>
      <c r="A5555" s="8">
        <v>10409.0</v>
      </c>
      <c r="B5555" s="9" t="str">
        <f>HYPERLINK("https://www.lazada.vn/products/loc-6-chai-nuoc-uong-sua-trai-cay-mang-cau-tu-nhien-th-true-juice-milk-300ml-i2766624052.html", "https://www.lazada.vn/products/loc-6-chai-nuoc-uong-sua-trai-cay-mang-cau-tu-nhien-th-true-juice-milk-300ml-i2766624052.html")</f>
        <v>https://www.lazada.vn/products/loc-6-chai-nuoc-uong-sua-trai-cay-mang-cau-tu-nhien-th-true-juice-milk-300ml-i2766624052.html</v>
      </c>
      <c r="C5555" s="10" t="s">
        <v>5555</v>
      </c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>
      <c r="A5556" s="8">
        <v>10410.0</v>
      </c>
      <c r="B5556" s="9" t="str">
        <f>HYPERLINK("https://www.lazada.vn/products/banh-men-bi-trung-mini-ibo-100g-dang-hu-co-nap-day-date-moi-banh-men-ibo-i2891327708.html", "https://www.lazada.vn/products/banh-men-bi-trung-mini-ibo-100g-dang-hu-co-nap-day-date-moi-banh-men-ibo-i2891327708.html")</f>
        <v>https://www.lazada.vn/products/banh-men-bi-trung-mini-ibo-100g-dang-hu-co-nap-day-date-moi-banh-men-ibo-i2891327708.html</v>
      </c>
      <c r="C5556" s="10" t="s">
        <v>5556</v>
      </c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>
      <c r="A5557" s="8">
        <v>10411.0</v>
      </c>
      <c r="B5557" s="9" t="str">
        <f>HYPERLINK("https://www.lazada.vn/products/banh-gau-nhan-kem-tui-300g-i1549610862.html", "https://www.lazada.vn/products/banh-gau-nhan-kem-tui-300g-i1549610862.html")</f>
        <v>https://www.lazada.vn/products/banh-gau-nhan-kem-tui-300g-i1549610862.html</v>
      </c>
      <c r="C5557" s="10" t="s">
        <v>5557</v>
      </c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>
      <c r="A5558" s="8">
        <v>10412.0</v>
      </c>
      <c r="B5558" s="9" t="str">
        <f>HYPERLINK("https://www.lazada.vn/products/combo-5-banh-bong-lan-shougong-mong-lep-dai-loan-b34-tknk-beegin-i2639011435.html", "https://www.lazada.vn/products/combo-5-banh-bong-lan-shougong-mong-lep-dai-loan-b34-tknk-beegin-i2639011435.html")</f>
        <v>https://www.lazada.vn/products/combo-5-banh-bong-lan-shougong-mong-lep-dai-loan-b34-tknk-beegin-i2639011435.html</v>
      </c>
      <c r="C5558" s="10" t="s">
        <v>5558</v>
      </c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>
      <c r="A5559" s="8">
        <v>10413.0</v>
      </c>
      <c r="B5559" s="9" t="str">
        <f>HYPERLINK("https://www.lazada.vn/products/vodka-ha-noi-300ml-i2647687082.html", "https://www.lazada.vn/products/vodka-ha-noi-300ml-i2647687082.html")</f>
        <v>https://www.lazada.vn/products/vodka-ha-noi-300ml-i2647687082.html</v>
      </c>
      <c r="C5559" s="10" t="s">
        <v>5559</v>
      </c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>
      <c r="A5560" s="8">
        <v>10414.0</v>
      </c>
      <c r="B5560" s="9" t="str">
        <f>HYPERLINK("https://www.lazada.vn/products/mi-cay-han-quoc-my-cay-samyang-i1415837567.html", "https://www.lazada.vn/products/mi-cay-han-quoc-my-cay-samyang-i1415837567.html")</f>
        <v>https://www.lazada.vn/products/mi-cay-han-quoc-my-cay-samyang-i1415837567.html</v>
      </c>
      <c r="C5560" s="10" t="s">
        <v>5560</v>
      </c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>
      <c r="A5561" s="8">
        <v>10415.0</v>
      </c>
      <c r="B5561" s="9" t="str">
        <f>HYPERLINK("https://www.lazada.vn/products/sake-nhat-hachitsuru-junmai-namachozou-720-ml-15-16-i2257576847.html", "https://www.lazada.vn/products/sake-nhat-hachitsuru-junmai-namachozou-720-ml-15-16-i2257576847.html")</f>
        <v>https://www.lazada.vn/products/sake-nhat-hachitsuru-junmai-namachozou-720-ml-15-16-i2257576847.html</v>
      </c>
      <c r="C5561" s="10" t="s">
        <v>5561</v>
      </c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>
      <c r="A5562" s="8">
        <v>10416.0</v>
      </c>
      <c r="B5562" s="9" t="str">
        <f>HYPERLINK("https://www.lazada.vn/products/thung-1kg-banh-mi-bi-vien-pho-mai-dai-loan-b53-chuyen-si-tpnk-i2638196867.html", "https://www.lazada.vn/products/thung-1kg-banh-mi-bi-vien-pho-mai-dai-loan-b53-chuyen-si-tpnk-i2638196867.html")</f>
        <v>https://www.lazada.vn/products/thung-1kg-banh-mi-bi-vien-pho-mai-dai-loan-b53-chuyen-si-tpnk-i2638196867.html</v>
      </c>
      <c r="C5562" s="10" t="s">
        <v>5562</v>
      </c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>
      <c r="A5563" s="8">
        <v>10417.0</v>
      </c>
      <c r="B5563" s="9" t="str">
        <f>HYPERLINK("https://www.lazada.vn/products/set-4-goi-mi-tron-vifon-kimchoo-vi-ga-cay-tuong-den-xot-han-quoc-135g180g-co-thit-that-i2849059616.html", "https://www.lazada.vn/products/set-4-goi-mi-tron-vifon-kimchoo-vi-ga-cay-tuong-den-xot-han-quoc-135g180g-co-thit-that-i2849059616.html")</f>
        <v>https://www.lazada.vn/products/set-4-goi-mi-tron-vifon-kimchoo-vi-ga-cay-tuong-den-xot-han-quoc-135g180g-co-thit-that-i2849059616.html</v>
      </c>
      <c r="C5563" s="10" t="s">
        <v>5563</v>
      </c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>
      <c r="A5564" s="8">
        <v>10418.0</v>
      </c>
      <c r="B5564" s="9" t="str">
        <f>HYPERLINK("https://www.lazada.vn/products/theu-toan-bo-sinh-thai-soi-bong-14ct-in-bo-dung-cu-theu-chu-thap-day-mau-sac-28x34cm-i3023229435.html", "https://www.lazada.vn/products/theu-toan-bo-sinh-thai-soi-bong-14ct-in-bo-dung-cu-theu-chu-thap-day-mau-sac-28x34cm-i3023229435.html")</f>
        <v>https://www.lazada.vn/products/theu-toan-bo-sinh-thai-soi-bong-14ct-in-bo-dung-cu-theu-chu-thap-day-mau-sac-28x34cm-i3023229435.html</v>
      </c>
      <c r="C5564" s="10" t="s">
        <v>5564</v>
      </c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>
      <c r="A5565" s="8">
        <v>10419.0</v>
      </c>
      <c r="B5565" s="9" t="str">
        <f>HYPERLINK("https://www.lazada.vn/products/ca-phe-sua-good-morning-tran-quang-3in1-bich-24-goi-x-20g-i2685828699.html", "https://www.lazada.vn/products/ca-phe-sua-good-morning-tran-quang-3in1-bich-24-goi-x-20g-i2685828699.html")</f>
        <v>https://www.lazada.vn/products/ca-phe-sua-good-morning-tran-quang-3in1-bich-24-goi-x-20g-i2685828699.html</v>
      </c>
      <c r="C5565" s="10" t="s">
        <v>5565</v>
      </c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>
      <c r="A5566" s="8">
        <v>10420.0</v>
      </c>
      <c r="B5566" s="9" t="str">
        <f>HYPERLINK("https://www.lazada.vn/products/theu-toan-bo-soi-bong-11ct-in-buc-tranh-truu-tuong-cheo-stitch40x60-cm-i3023195433.html", "https://www.lazada.vn/products/theu-toan-bo-soi-bong-11ct-in-buc-tranh-truu-tuong-cheo-stitch40x60-cm-i3023195433.html")</f>
        <v>https://www.lazada.vn/products/theu-toan-bo-soi-bong-11ct-in-buc-tranh-truu-tuong-cheo-stitch40x60-cm-i3023195433.html</v>
      </c>
      <c r="C5566" s="10" t="s">
        <v>5566</v>
      </c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>
      <c r="A5567" s="8">
        <v>10421.0</v>
      </c>
      <c r="B5567" s="9" t="str">
        <f>HYPERLINK("https://www.lazada.vn/products/combo-5-bich-ca-phe-sua-g7-3in1-bich-800g-50-goi-x-16g-i2685815957.html", "https://www.lazada.vn/products/combo-5-bich-ca-phe-sua-g7-3in1-bich-800g-50-goi-x-16g-i2685815957.html")</f>
        <v>https://www.lazada.vn/products/combo-5-bich-ca-phe-sua-g7-3in1-bich-800g-50-goi-x-16g-i2685815957.html</v>
      </c>
      <c r="C5567" s="10" t="s">
        <v>5567</v>
      </c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>
      <c r="A5568" s="8">
        <v>10422.0</v>
      </c>
      <c r="B5568" s="9" t="str">
        <f>HYPERLINK("https://www.lazada.vn/products/mam-nem-tron-ca-du-du-hu-500g-mam-co-linh-i1916416408.html", "https://www.lazada.vn/products/mam-nem-tron-ca-du-du-hu-500g-mam-co-linh-i1916416408.html")</f>
        <v>https://www.lazada.vn/products/mam-nem-tron-ca-du-du-hu-500g-mam-co-linh-i1916416408.html</v>
      </c>
      <c r="C5568" s="10" t="s">
        <v>5568</v>
      </c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>
      <c r="A5569" s="8">
        <v>10423.0</v>
      </c>
      <c r="B5569" s="9" t="str">
        <f>HYPERLINK("https://www.lazada.vn/products/combo-3-chocolate-sua-choco-cacao-hoa-tan-archcafe-so-co-la-hop-12-goi-x-20g-i1890835369.html", "https://www.lazada.vn/products/combo-3-chocolate-sua-choco-cacao-hoa-tan-archcafe-so-co-la-hop-12-goi-x-20g-i1890835369.html")</f>
        <v>https://www.lazada.vn/products/combo-3-chocolate-sua-choco-cacao-hoa-tan-archcafe-so-co-la-hop-12-goi-x-20g-i1890835369.html</v>
      </c>
      <c r="C5569" s="10" t="s">
        <v>5569</v>
      </c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>
      <c r="A5570" s="8">
        <v>10424.0</v>
      </c>
      <c r="B5570" s="9" t="str">
        <f>HYPERLINK("https://www.lazada.vn/products/mi-tron-indomie-4-vi-i1369317664.html", "https://www.lazada.vn/products/mi-tron-indomie-4-vi-i1369317664.html")</f>
        <v>https://www.lazada.vn/products/mi-tron-indomie-4-vi-i1369317664.html</v>
      </c>
      <c r="C5570" s="10" t="s">
        <v>5570</v>
      </c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>
      <c r="A5571" s="8">
        <v>10425.0</v>
      </c>
      <c r="B5571" s="9" t="str">
        <f>HYPERLINK("https://www.lazada.vn/products/chinesefoodxuc-xich-khong-lo-vi-suon-heo-vi-toi-130g-ngon-nhuc-nach-i1737987616.html", "https://www.lazada.vn/products/chinesefoodxuc-xich-khong-lo-vi-suon-heo-vi-toi-130g-ngon-nhuc-nach-i1737987616.html")</f>
        <v>https://www.lazada.vn/products/chinesefoodxuc-xich-khong-lo-vi-suon-heo-vi-toi-130g-ngon-nhuc-nach-i1737987616.html</v>
      </c>
      <c r="C5571" s="10" t="s">
        <v>5571</v>
      </c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>
      <c r="A5572" s="8">
        <v>10426.0</v>
      </c>
      <c r="B5572" s="9" t="str">
        <f>HYPERLINK("https://www.lazada.vn/products/combo-5-cuc-keo-ca-phe-kopiko-den-i2728483056.html", "https://www.lazada.vn/products/combo-5-cuc-keo-ca-phe-kopiko-den-i2728483056.html")</f>
        <v>https://www.lazada.vn/products/combo-5-cuc-keo-ca-phe-kopiko-den-i2728483056.html</v>
      </c>
      <c r="C5572" s="10" t="s">
        <v>5572</v>
      </c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>
      <c r="A5573" s="8">
        <v>10427.0</v>
      </c>
      <c r="B5573" s="9" t="str">
        <f>HYPERLINK("https://www.lazada.vn/products/countree-lon-400g-hon-hop-rau-cu-dong-hop-trng-quoc-mixed-vegetables-in-brine-i3036197691.html", "https://www.lazada.vn/products/countree-lon-400g-hon-hop-rau-cu-dong-hop-trng-quoc-mixed-vegetables-in-brine-i3036197691.html")</f>
        <v>https://www.lazada.vn/products/countree-lon-400g-hon-hop-rau-cu-dong-hop-trng-quoc-mixed-vegetables-in-brine-i3036197691.html</v>
      </c>
      <c r="C5573" s="10" t="s">
        <v>5573</v>
      </c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>
      <c r="A5574" s="8">
        <v>10428.0</v>
      </c>
      <c r="B5574" s="9" t="str">
        <f>HYPERLINK("https://www.lazada.vn/products/tavernello-montepulciano-dabruzzo-vang-do-y-i2611262013.html", "https://www.lazada.vn/products/tavernello-montepulciano-dabruzzo-vang-do-y-i2611262013.html")</f>
        <v>https://www.lazada.vn/products/tavernello-montepulciano-dabruzzo-vang-do-y-i2611262013.html</v>
      </c>
      <c r="C5574" s="10" t="s">
        <v>5574</v>
      </c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>
      <c r="A5575" s="8">
        <v>10429.0</v>
      </c>
      <c r="B5575" s="9" t="str">
        <f>HYPERLINK("https://www.lazada.vn/products/mao-dai-gom-4-binh-x-500ml-i2507725979.html", "https://www.lazada.vn/products/mao-dai-gom-4-binh-x-500ml-i2507725979.html")</f>
        <v>https://www.lazada.vn/products/mao-dai-gom-4-binh-x-500ml-i2507725979.html</v>
      </c>
      <c r="C5575" s="10" t="s">
        <v>5575</v>
      </c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>
      <c r="A5576" s="8">
        <v>10430.0</v>
      </c>
      <c r="B5576" s="9" t="str">
        <f>HYPERLINK("https://www.lazada.vn/products/chocolate-nhan-ruou-64-chai-anthon-berg-since-1884-date-725-i2909998104.html", "https://www.lazada.vn/products/chocolate-nhan-ruou-64-chai-anthon-berg-since-1884-date-725-i2909998104.html")</f>
        <v>https://www.lazada.vn/products/chocolate-nhan-ruou-64-chai-anthon-berg-since-1884-date-725-i2909998104.html</v>
      </c>
      <c r="C5576" s="10" t="s">
        <v>5576</v>
      </c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>
      <c r="A5577" s="8">
        <v>10431.0</v>
      </c>
      <c r="B5577" s="9" t="str">
        <f>HYPERLINK("https://www.lazada.vn/products/combo-10-goi-snack-mi-tom-enaak-tre-em-vi-ga-truyen-thong-30g-m04-gia-ngan-food-i2483286492.html", "https://www.lazada.vn/products/combo-10-goi-snack-mi-tom-enaak-tre-em-vi-ga-truyen-thong-30g-m04-gia-ngan-food-i2483286492.html")</f>
        <v>https://www.lazada.vn/products/combo-10-goi-snack-mi-tom-enaak-tre-em-vi-ga-truyen-thong-30g-m04-gia-ngan-food-i2483286492.html</v>
      </c>
      <c r="C5577" s="10" t="s">
        <v>5577</v>
      </c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>
      <c r="A5578" s="8">
        <v>10432.0</v>
      </c>
      <c r="B5578" s="9" t="str">
        <f>HYPERLINK("https://www.lazada.vn/products/1-thanh-thach-rau-cau-tot-cho-he-tieu-hoa-i2393695375.html", "https://www.lazada.vn/products/1-thanh-thach-rau-cau-tot-cho-he-tieu-hoa-i2393695375.html")</f>
        <v>https://www.lazada.vn/products/1-thanh-thach-rau-cau-tot-cho-he-tieu-hoa-i2393695375.html</v>
      </c>
      <c r="C5578" s="10" t="s">
        <v>5578</v>
      </c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>
      <c r="A5579" s="8">
        <v>10433.0</v>
      </c>
      <c r="B5579" s="9" t="str">
        <f>HYPERLINK("https://www.lazada.vn/products/combo-1-thung-24-lon-bia-chang-classic-bieu-tuong-am-thuc-thai-lan-i2930717361.html", "https://www.lazada.vn/products/combo-1-thung-24-lon-bia-chang-classic-bieu-tuong-am-thuc-thai-lan-i2930717361.html")</f>
        <v>https://www.lazada.vn/products/combo-1-thung-24-lon-bia-chang-classic-bieu-tuong-am-thuc-thai-lan-i2930717361.html</v>
      </c>
      <c r="C5579" s="10" t="s">
        <v>5579</v>
      </c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>
      <c r="A5580" s="8">
        <v>10434.0</v>
      </c>
      <c r="B5580" s="9" t="str">
        <f>HYPERLINK("https://www.lazada.vn/products/three-squirrels-dried-frozen-durian-golden-pillow-durian-dry-fruit-snack-crispy-blocks-in-can-durian-candy-from-zhejiang-china-i2923561973.html", "https://www.lazada.vn/products/three-squirrels-dried-frozen-durian-golden-pillow-durian-dry-fruit-snack-crispy-blocks-in-can-durian-candy-from-zhejiang-china-i2923561973.html")</f>
        <v>https://www.lazada.vn/products/three-squirrels-dried-frozen-durian-golden-pillow-durian-dry-fruit-snack-crispy-blocks-in-can-durian-candy-from-zhejiang-china-i2923561973.html</v>
      </c>
      <c r="C5580" s="10" t="s">
        <v>5580</v>
      </c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>
      <c r="A5581" s="8">
        <v>10435.0</v>
      </c>
      <c r="B5581" s="9" t="str">
        <f>HYPERLINK("https://www.lazada.vn/products/si-thach-dua-minh-chau-goi-1kg-dung-lam-topping-tra-sua-i2392779285.html", "https://www.lazada.vn/products/si-thach-dua-minh-chau-goi-1kg-dung-lam-topping-tra-sua-i2392779285.html")</f>
        <v>https://www.lazada.vn/products/si-thach-dua-minh-chau-goi-1kg-dung-lam-topping-tra-sua-i2392779285.html</v>
      </c>
      <c r="C5581" s="10" t="s">
        <v>5581</v>
      </c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>
      <c r="A5582" s="8">
        <v>10436.0</v>
      </c>
      <c r="B5582" s="9" t="str">
        <f>HYPERLINK("https://www.lazada.vn/products/thung-24-chai-nuoc-tang-luc-sting-huong-dau-330ml-i2421828770.html", "https://www.lazada.vn/products/thung-24-chai-nuoc-tang-luc-sting-huong-dau-330ml-i2421828770.html")</f>
        <v>https://www.lazada.vn/products/thung-24-chai-nuoc-tang-luc-sting-huong-dau-330ml-i2421828770.html</v>
      </c>
      <c r="C5582" s="10" t="s">
        <v>5582</v>
      </c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>
      <c r="A5583" s="8">
        <v>10437.0</v>
      </c>
      <c r="B5583" s="9" t="str">
        <f>HYPERLINK("https://www.lazada.vn/products/500g-bim-bim-khoai-tay-swing-ostar-vo-canh-gion-tan-do-an-vat-tuoi-tho-cong-truong-tam-vi-pf032-i2712438585.html", "https://www.lazada.vn/products/500g-bim-bim-khoai-tay-swing-ostar-vo-canh-gion-tan-do-an-vat-tuoi-tho-cong-truong-tam-vi-pf032-i2712438585.html")</f>
        <v>https://www.lazada.vn/products/500g-bim-bim-khoai-tay-swing-ostar-vo-canh-gion-tan-do-an-vat-tuoi-tho-cong-truong-tam-vi-pf032-i2712438585.html</v>
      </c>
      <c r="C5583" s="10" t="s">
        <v>5583</v>
      </c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>
      <c r="A5584" s="8">
        <v>10438.0</v>
      </c>
      <c r="B5584" s="9" t="str">
        <f>HYPERLINK("https://www.lazada.vn/products/banh-que-cham-socola-kem-min-origo-ngot-ngao-bung-no-vi-giac-i2890315984.html", "https://www.lazada.vn/products/banh-que-cham-socola-kem-min-origo-ngot-ngao-bung-no-vi-giac-i2890315984.html")</f>
        <v>https://www.lazada.vn/products/banh-que-cham-socola-kem-min-origo-ngot-ngao-bung-no-vi-giac-i2890315984.html</v>
      </c>
      <c r="C5584" s="10" t="s">
        <v>5584</v>
      </c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>
      <c r="A5585" s="8">
        <v>10439.0</v>
      </c>
      <c r="B5585" s="9" t="str">
        <f>HYPERLINK("https://www.lazada.vn/products/sua-tao-xoan-vimy-vimy-sua-chay-sua-thuc-duong-i2668496572.html", "https://www.lazada.vn/products/sua-tao-xoan-vimy-vimy-sua-chay-sua-thuc-duong-i2668496572.html")</f>
        <v>https://www.lazada.vn/products/sua-tao-xoan-vimy-vimy-sua-chay-sua-thuc-duong-i2668496572.html</v>
      </c>
      <c r="C5585" s="10" t="s">
        <v>5585</v>
      </c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>
      <c r="A5586" s="8">
        <v>10440.0</v>
      </c>
      <c r="B5586" s="9" t="str">
        <f>HYPERLINK("https://www.lazada.vn/products/loc-6-chai-nuoc-uong-sua-trai-cay-cam-tu-nhien-th-true-juice-milk-300ml-i2766569498.html", "https://www.lazada.vn/products/loc-6-chai-nuoc-uong-sua-trai-cay-cam-tu-nhien-th-true-juice-milk-300ml-i2766569498.html")</f>
        <v>https://www.lazada.vn/products/loc-6-chai-nuoc-uong-sua-trai-cay-cam-tu-nhien-th-true-juice-milk-300ml-i2766569498.html</v>
      </c>
      <c r="C5586" s="10" t="s">
        <v>5586</v>
      </c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>
      <c r="A5587" s="8">
        <v>10441.0</v>
      </c>
      <c r="B5587" s="9" t="str">
        <f>HYPERLINK("https://www.lazada.vn/products/vodka-ha-noi-xanh-700ml-i2647601879.html", "https://www.lazada.vn/products/vodka-ha-noi-xanh-700ml-i2647601879.html")</f>
        <v>https://www.lazada.vn/products/vodka-ha-noi-xanh-700ml-i2647601879.html</v>
      </c>
      <c r="C5587" s="10" t="s">
        <v>5587</v>
      </c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>
      <c r="A5588" s="8">
        <v>10442.0</v>
      </c>
      <c r="B5588" s="9" t="str">
        <f>HYPERLINK("https://www.lazada.vn/products/thung-1kg-banh-cuon-bong-lan-cuon-oc-vi-pho-mai-socola-b150-chuyen-si-tpnk-i2637987348.html", "https://www.lazada.vn/products/thung-1kg-banh-cuon-bong-lan-cuon-oc-vi-pho-mai-socola-b150-chuyen-si-tpnk-i2637987348.html")</f>
        <v>https://www.lazada.vn/products/thung-1kg-banh-cuon-bong-lan-cuon-oc-vi-pho-mai-socola-b150-chuyen-si-tpnk-i2637987348.html</v>
      </c>
      <c r="C5588" s="10" t="s">
        <v>5588</v>
      </c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>
      <c r="A5589" s="8">
        <v>10443.0</v>
      </c>
      <c r="B5589" s="9" t="str">
        <f>HYPERLINK("https://www.lazada.vn/products/banh-nutella-b-ready-hop-6-cai-i1549457935.html", "https://www.lazada.vn/products/banh-nutella-b-ready-hop-6-cai-i1549457935.html")</f>
        <v>https://www.lazada.vn/products/banh-nutella-b-ready-hop-6-cai-i1549457935.html</v>
      </c>
      <c r="C5589" s="10" t="s">
        <v>5589</v>
      </c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>
      <c r="A5590" s="8">
        <v>10444.0</v>
      </c>
      <c r="B5590" s="9" t="str">
        <f>HYPERLINK("https://www.lazada.vn/products/combo-5-goi-mi-sasin-dac-biet-5-goi-xot-muoi-ot-xanh-sasin-bset0086-i2847888879.html", "https://www.lazada.vn/products/combo-5-goi-mi-sasin-dac-biet-5-goi-xot-muoi-ot-xanh-sasin-bset0086-i2847888879.html")</f>
        <v>https://www.lazada.vn/products/combo-5-goi-mi-sasin-dac-biet-5-goi-xot-muoi-ot-xanh-sasin-bset0086-i2847888879.html</v>
      </c>
      <c r="C5590" s="10" t="s">
        <v>5590</v>
      </c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>
      <c r="A5591" s="8">
        <v>10445.0</v>
      </c>
      <c r="B5591" s="9" t="str">
        <f>HYPERLINK("https://www.lazada.vn/products/hop-qua-bia-nhap-khau-duc-12-lon-500ml-i2929115474.html", "https://www.lazada.vn/products/hop-qua-bia-nhap-khau-duc-12-lon-500ml-i2929115474.html")</f>
        <v>https://www.lazada.vn/products/hop-qua-bia-nhap-khau-duc-12-lon-500ml-i2929115474.html</v>
      </c>
      <c r="C5591" s="10" t="s">
        <v>5591</v>
      </c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>
      <c r="A5592" s="8">
        <v>10446.0</v>
      </c>
      <c r="B5592" s="9" t="str">
        <f>HYPERLINK("https://www.lazada.vn/products/ca-phe-nguyen-chat-lam-dong-i2682438627.html", "https://www.lazada.vn/products/ca-phe-nguyen-chat-lam-dong-i2682438627.html")</f>
        <v>https://www.lazada.vn/products/ca-phe-nguyen-chat-lam-dong-i2682438627.html</v>
      </c>
      <c r="C5592" s="10" t="s">
        <v>5592</v>
      </c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>
      <c r="A5593" s="8">
        <v>10447.0</v>
      </c>
      <c r="B5593" s="9" t="str">
        <f>HYPERLINK("https://www.lazada.vn/products/mam-ba-khia-tron-san-hu-400gr-mam-co-linh-i1916375703.html", "https://www.lazada.vn/products/mam-ba-khia-tron-san-hu-400gr-mam-co-linh-i1916375703.html")</f>
        <v>https://www.lazada.vn/products/mam-ba-khia-tron-san-hu-400gr-mam-co-linh-i1916375703.html</v>
      </c>
      <c r="C5593" s="10" t="s">
        <v>5593</v>
      </c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>
      <c r="A5594" s="8">
        <v>10448.0</v>
      </c>
      <c r="B5594" s="9" t="str">
        <f>HYPERLINK("https://www.lazada.vn/products/chi-giao-mien-bac-thung-mi-hao-hao-tom-chua-cay-30-goi-i1365845285.html", "https://www.lazada.vn/products/chi-giao-mien-bac-thung-mi-hao-hao-tom-chua-cay-30-goi-i1365845285.html")</f>
        <v>https://www.lazada.vn/products/chi-giao-mien-bac-thung-mi-hao-hao-tom-chua-cay-30-goi-i1365845285.html</v>
      </c>
      <c r="C5594" s="10" t="s">
        <v>5594</v>
      </c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>
      <c r="A5595" s="8">
        <v>10449.0</v>
      </c>
      <c r="B5595" s="9" t="str">
        <f>HYPERLINK("https://www.lazada.vn/products/combo-2-chocolate-sua-choco-cacao-hoa-tan-archcafe-so-co-la-hop-12-goi-x-20g-i1890788562.html", "https://www.lazada.vn/products/combo-2-chocolate-sua-choco-cacao-hoa-tan-archcafe-so-co-la-hop-12-goi-x-20g-i1890788562.html")</f>
        <v>https://www.lazada.vn/products/combo-2-chocolate-sua-choco-cacao-hoa-tan-archcafe-so-co-la-hop-12-goi-x-20g-i1890788562.html</v>
      </c>
      <c r="C5595" s="10" t="s">
        <v>5595</v>
      </c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>
      <c r="A5596" s="8">
        <v>10450.0</v>
      </c>
      <c r="B5596" s="9" t="str">
        <f>HYPERLINK("https://www.lazada.vn/products/chinesefoodban-si-bich-chan-vit-dacheng-30-goi-chan-ga-tu-xuyen-30-goi-goi-32g-i1737980628.html", "https://www.lazada.vn/products/chinesefoodban-si-bich-chan-vit-dacheng-30-goi-chan-ga-tu-xuyen-30-goi-goi-32g-i1737980628.html")</f>
        <v>https://www.lazada.vn/products/chinesefoodban-si-bich-chan-vit-dacheng-30-goi-chan-ga-tu-xuyen-30-goi-goi-32g-i1737980628.html</v>
      </c>
      <c r="C5596" s="10" t="s">
        <v>5596</v>
      </c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>
      <c r="A5597" s="8">
        <v>10451.0</v>
      </c>
      <c r="B5597" s="9" t="str">
        <f>HYPERLINK("https://www.lazada.vn/products/combo-5-cuc-keo-ca-phe-sua-kopiko-cappuchino-i2728465115.html", "https://www.lazada.vn/products/combo-5-cuc-keo-ca-phe-sua-kopiko-cappuchino-i2728465115.html")</f>
        <v>https://www.lazada.vn/products/combo-5-cuc-keo-ca-phe-sua-kopiko-cappuchino-i2728465115.html</v>
      </c>
      <c r="C5597" s="10" t="s">
        <v>5597</v>
      </c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>
      <c r="A5598" s="8">
        <v>10452.0</v>
      </c>
      <c r="B5598" s="9" t="str">
        <f>HYPERLINK("https://www.lazada.vn/products/bristol-hop-vang-340g-thit-ga-hop-nguyen-vi-my-chicken-luncheon-meat-i3036189628.html", "https://www.lazada.vn/products/bristol-hop-vang-340g-thit-ga-hop-nguyen-vi-my-chicken-luncheon-meat-i3036189628.html")</f>
        <v>https://www.lazada.vn/products/bristol-hop-vang-340g-thit-ga-hop-nguyen-vi-my-chicken-luncheon-meat-i3036189628.html</v>
      </c>
      <c r="C5598" s="10" t="s">
        <v>5598</v>
      </c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>
      <c r="A5599" s="8">
        <v>10453.0</v>
      </c>
      <c r="B5599" s="9" t="str">
        <f>HYPERLINK("https://www.lazada.vn/products/vang-casas-patronales-reserva-cabernet-sauvignon-i2610713788.html", "https://www.lazada.vn/products/vang-casas-patronales-reserva-cabernet-sauvignon-i2610713788.html")</f>
        <v>https://www.lazada.vn/products/vang-casas-patronales-reserva-cabernet-sauvignon-i2610713788.html</v>
      </c>
      <c r="C5599" s="10" t="s">
        <v>5599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>
      <c r="A5600" s="8">
        <v>10454.0</v>
      </c>
      <c r="B5600" s="9" t="str">
        <f>HYPERLINK("https://www.lazada.vn/products/siro-oi-vina-chai-750ml-i2507384104.html", "https://www.lazada.vn/products/siro-oi-vina-chai-750ml-i2507384104.html")</f>
        <v>https://www.lazada.vn/products/siro-oi-vina-chai-750ml-i2507384104.html</v>
      </c>
      <c r="C5600" s="10" t="s">
        <v>5600</v>
      </c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>
      <c r="A5601" s="8">
        <v>10455.0</v>
      </c>
      <c r="B5601" s="9" t="str">
        <f>HYPERLINK("https://www.lazada.vn/products/keo-socola-nhan-hat-de-viet-thai_keo-tet-i2909871867.html", "https://www.lazada.vn/products/keo-socola-nhan-hat-de-viet-thai_keo-tet-i2909871867.html")</f>
        <v>https://www.lazada.vn/products/keo-socola-nhan-hat-de-viet-thai_keo-tet-i2909871867.html</v>
      </c>
      <c r="C5601" s="10" t="s">
        <v>5601</v>
      </c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>
      <c r="A5602" s="8">
        <v>10456.0</v>
      </c>
      <c r="B5602" s="9" t="str">
        <f>HYPERLINK("https://www.lazada.vn/products/thung-24-chai-nuoc-tang-luc-number-one-chai-330-ml-bach-hoa-tong-hop-nhu-ngoc-i2420377528.html", "https://www.lazada.vn/products/thung-24-chai-nuoc-tang-luc-number-one-chai-330-ml-bach-hoa-tong-hop-nhu-ngoc-i2420377528.html")</f>
        <v>https://www.lazada.vn/products/thung-24-chai-nuoc-tang-luc-number-one-chai-330-ml-bach-hoa-tong-hop-nhu-ngoc-i2420377528.html</v>
      </c>
      <c r="C5602" s="10" t="s">
        <v>5602</v>
      </c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>
      <c r="A5603" s="8">
        <v>10457.0</v>
      </c>
      <c r="B5603" s="9" t="str">
        <f>HYPERLINK("https://www.lazada.vn/products/combo-5-goi-snack-mi-tom-enaak-tre-em-vi-ga-truyen-thong-30g-m04-gia-ngan-food-i2483226610.html", "https://www.lazada.vn/products/combo-5-goi-snack-mi-tom-enaak-tre-em-vi-ga-truyen-thong-30g-m04-gia-ngan-food-i2483226610.html")</f>
        <v>https://www.lazada.vn/products/combo-5-goi-snack-mi-tom-enaak-tre-em-vi-ga-truyen-thong-30g-m04-gia-ngan-food-i2483226610.html</v>
      </c>
      <c r="C5603" s="10" t="s">
        <v>5603</v>
      </c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>
      <c r="A5604" s="8">
        <v>10458.0</v>
      </c>
      <c r="B5604" s="9" t="str">
        <f>HYPERLINK("https://www.lazada.vn/products/500g-snack-bim-bim-tam-dau-ha-lan-do-an-vat-hoc-sinh-tuoi-tho-pf034-i2712396811.html", "https://www.lazada.vn/products/500g-snack-bim-bim-tam-dau-ha-lan-do-an-vat-hoc-sinh-tuoi-tho-pf034-i2712396811.html")</f>
        <v>https://www.lazada.vn/products/500g-snack-bim-bim-tam-dau-ha-lan-do-an-vat-hoc-sinh-tuoi-tho-pf034-i2712396811.html</v>
      </c>
      <c r="C5604" s="10" t="s">
        <v>5604</v>
      </c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>
      <c r="A5605" s="8">
        <v>10459.0</v>
      </c>
      <c r="B5605" s="9" t="str">
        <f>HYPERLINK("https://www.lazada.vn/products/qq-bong-da-menta-mints-deo-kho-sot-trai-cay-lanh-ngot-menta-deo-deo-ruou-bac-kilo-thuong-hieu-malaysia-big-fat-i2923560617.html", "https://www.lazada.vn/products/qq-bong-da-menta-mints-deo-kho-sot-trai-cay-lanh-ngot-menta-deo-deo-ruou-bac-kilo-thuong-hieu-malaysia-big-fat-i2923560617.html")</f>
        <v>https://www.lazada.vn/products/qq-bong-da-menta-mints-deo-kho-sot-trai-cay-lanh-ngot-menta-deo-deo-ruou-bac-kilo-thuong-hieu-malaysia-big-fat-i2923560617.html</v>
      </c>
      <c r="C5605" s="10" t="s">
        <v>5605</v>
      </c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>
      <c r="A5606" s="8">
        <v>10460.0</v>
      </c>
      <c r="B5606" s="9" t="str">
        <f>HYPERLINK("https://www.lazada.vn/products/dung-thu-le-1-lon-bia-trung-quoc-uong-thu-bia-liquan-bia-co-lao-gia-i2930278414.html", "https://www.lazada.vn/products/dung-thu-le-1-lon-bia-trung-quoc-uong-thu-bia-liquan-bia-co-lao-gia-i2930278414.html")</f>
        <v>https://www.lazada.vn/products/dung-thu-le-1-lon-bia-trung-quoc-uong-thu-bia-liquan-bia-co-lao-gia-i2930278414.html</v>
      </c>
      <c r="C5606" s="10" t="s">
        <v>5606</v>
      </c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>
      <c r="A5607" s="8">
        <v>10461.0</v>
      </c>
      <c r="B5607" s="9" t="str">
        <f>HYPERLINK("https://www.lazada.vn/products/thach-thuy-tinh-cu-nang-boduo-goi-1kg-dung-ngay-khong-can-nau-i2384432101.html", "https://www.lazada.vn/products/thach-thuy-tinh-cu-nang-boduo-goi-1kg-dung-ngay-khong-can-nau-i2384432101.html")</f>
        <v>https://www.lazada.vn/products/thach-thuy-tinh-cu-nang-boduo-goi-1kg-dung-ngay-khong-can-nau-i2384432101.html</v>
      </c>
      <c r="C5607" s="10" t="s">
        <v>5607</v>
      </c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>
      <c r="A5608" s="8">
        <v>10462.0</v>
      </c>
      <c r="B5608" s="9" t="str">
        <f>HYPERLINK("https://www.lazada.vn/products/banh-quy-muoi-bibizan-banh-quy-muoi-man-gion-kieu-nhat-3-vi-ngon-bich-408g-i2886132306.html", "https://www.lazada.vn/products/banh-quy-muoi-bibizan-banh-quy-muoi-man-gion-kieu-nhat-3-vi-ngon-bich-408g-i2886132306.html")</f>
        <v>https://www.lazada.vn/products/banh-quy-muoi-bibizan-banh-quy-muoi-man-gion-kieu-nhat-3-vi-ngon-bich-408g-i2886132306.html</v>
      </c>
      <c r="C5608" s="10" t="s">
        <v>5608</v>
      </c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>
      <c r="A5609" s="8">
        <v>10463.0</v>
      </c>
      <c r="B5609" s="9" t="str">
        <f>HYPERLINK("https://www.lazada.vn/products/bim-bim-bach-tuoc-nuong-cay-gion-snack-do-an-vat-noi-dia-trung-goi-to-40g-pf030-i2712338731.html", "https://www.lazada.vn/products/bim-bim-bach-tuoc-nuong-cay-gion-snack-do-an-vat-noi-dia-trung-goi-to-40g-pf030-i2712338731.html")</f>
        <v>https://www.lazada.vn/products/bim-bim-bach-tuoc-nuong-cay-gion-snack-do-an-vat-noi-dia-trung-goi-to-40g-pf030-i2712338731.html</v>
      </c>
      <c r="C5609" s="10" t="s">
        <v>5609</v>
      </c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>
      <c r="A5610" s="8">
        <v>10464.0</v>
      </c>
      <c r="B5610" s="9" t="str">
        <f>HYPERLINK("https://www.lazada.vn/products/5-goi-nho-tra-sua-hoa-thach-an-cung-ba-tuyet-i2667266071.html", "https://www.lazada.vn/products/5-goi-nho-tra-sua-hoa-thach-an-cung-ba-tuyet-i2667266071.html")</f>
        <v>https://www.lazada.vn/products/5-goi-nho-tra-sua-hoa-thach-an-cung-ba-tuyet-i2667266071.html</v>
      </c>
      <c r="C5610" s="10" t="s">
        <v>5610</v>
      </c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>
      <c r="A5611" s="8">
        <v>10465.0</v>
      </c>
      <c r="B5611" s="9" t="str">
        <f>HYPERLINK("https://www.lazada.vn/products/vodka-absolut-i2647558156.html", "https://www.lazada.vn/products/vodka-absolut-i2647558156.html")</f>
        <v>https://www.lazada.vn/products/vodka-absolut-i2647558156.html</v>
      </c>
      <c r="C5611" s="10" t="s">
        <v>5611</v>
      </c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>
      <c r="A5612" s="8">
        <v>10466.0</v>
      </c>
      <c r="B5612" s="9" t="str">
        <f>HYPERLINK("https://www.lazada.vn/products/thung-1kg-banh-cuon-bong-lan-cuon-oc-vi-pho-mai-socola-b150-gia-ngan-food-i2637956069.html", "https://www.lazada.vn/products/thung-1kg-banh-cuon-bong-lan-cuon-oc-vi-pho-mai-socola-b150-gia-ngan-food-i2637956069.html")</f>
        <v>https://www.lazada.vn/products/thung-1kg-banh-cuon-bong-lan-cuon-oc-vi-pho-mai-socola-b150-gia-ngan-food-i2637956069.html</v>
      </c>
      <c r="C5612" s="10" t="s">
        <v>5612</v>
      </c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>
      <c r="A5613" s="8">
        <v>10467.0</v>
      </c>
      <c r="B5613" s="9" t="str">
        <f>HYPERLINK("https://www.lazada.vn/products/thung-24-chai-nuoc-uong-sua-trai-cay-cam-tu-nhien-th-true-juice-milk-300ml-i2766543566.html", "https://www.lazada.vn/products/thung-24-chai-nuoc-uong-sua-trai-cay-cam-tu-nhien-th-true-juice-milk-300ml-i2766543566.html")</f>
        <v>https://www.lazada.vn/products/thung-24-chai-nuoc-uong-sua-trai-cay-cam-tu-nhien-th-true-juice-milk-300ml-i2766543566.html</v>
      </c>
      <c r="C5613" s="10" t="s">
        <v>5613</v>
      </c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>
      <c r="A5614" s="8">
        <v>10468.0</v>
      </c>
      <c r="B5614" s="9" t="str">
        <f>HYPERLINK("https://www.lazada.vn/products/430g-banh-gau-nhan-kem-i1549141288.html", "https://www.lazada.vn/products/430g-banh-gau-nhan-kem-i1549141288.html")</f>
        <v>https://www.lazada.vn/products/430g-banh-gau-nhan-kem-i1549141288.html</v>
      </c>
      <c r="C5614" s="10" t="s">
        <v>5614</v>
      </c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>
      <c r="A5615" s="8">
        <v>10469.0</v>
      </c>
      <c r="B5615" s="9" t="str">
        <f>HYPERLINK("https://www.lazada.vn/products/vodka-danzka-chai-nhom-1-lit-i2647416388.html", "https://www.lazada.vn/products/vodka-danzka-chai-nhom-1-lit-i2647416388.html")</f>
        <v>https://www.lazada.vn/products/vodka-danzka-chai-nhom-1-lit-i2647416388.html</v>
      </c>
      <c r="C5615" s="10" t="s">
        <v>5615</v>
      </c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>
      <c r="A5616" s="8">
        <v>10470.0</v>
      </c>
      <c r="B5616" s="9" t="str">
        <f>HYPERLINK("https://www.lazada.vn/products/thung-mi-kokomi-dai-90-xao-vi-bo-xot-ca-hai-san-cay-te-30-goi-x-95gr-i2847340801.html", "https://www.lazada.vn/products/thung-mi-kokomi-dai-90-xao-vi-bo-xot-ca-hai-san-cay-te-30-goi-x-95gr-i2847340801.html")</f>
        <v>https://www.lazada.vn/products/thung-mi-kokomi-dai-90-xao-vi-bo-xot-ca-hai-san-cay-te-30-goi-x-95gr-i2847340801.html</v>
      </c>
      <c r="C5616" s="10" t="s">
        <v>5616</v>
      </c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>
      <c r="A5617" s="8">
        <v>10471.0</v>
      </c>
      <c r="B5617" s="9" t="str">
        <f>HYPERLINK("https://www.lazada.vn/products/mi-tom-thay-kang-goi-117g-i1351966080.html", "https://www.lazada.vn/products/mi-tom-thay-kang-goi-117g-i1351966080.html")</f>
        <v>https://www.lazada.vn/products/mi-tom-thay-kang-goi-117g-i1351966080.html</v>
      </c>
      <c r="C5617" s="10" t="s">
        <v>5617</v>
      </c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>
      <c r="A5618" s="8">
        <v>10472.0</v>
      </c>
      <c r="B5618" s="9" t="str">
        <f>HYPERLINK("https://www.lazada.vn/products/mam-ca-linh-chau-doc-nguyen-chat-chua-gia-vi-500gr-mam-nau-lau-mam-mam-co-linh-i1916359656.html", "https://www.lazada.vn/products/mam-ca-linh-chau-doc-nguyen-chat-chua-gia-vi-500gr-mam-nau-lau-mam-mam-co-linh-i1916359656.html")</f>
        <v>https://www.lazada.vn/products/mam-ca-linh-chau-doc-nguyen-chat-chua-gia-vi-500gr-mam-nau-lau-mam-mam-co-linh-i1916359656.html</v>
      </c>
      <c r="C5618" s="10" t="s">
        <v>5618</v>
      </c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>
      <c r="A5619" s="8">
        <v>10473.0</v>
      </c>
      <c r="B5619" s="9" t="str">
        <f>HYPERLINK("https://www.lazada.vn/products/thung-24-lon-bia-heineken-silver-330ml-heineken-bac-i2921014976.html", "https://www.lazada.vn/products/thung-24-lon-bia-heineken-silver-330ml-heineken-bac-i2921014976.html")</f>
        <v>https://www.lazada.vn/products/thung-24-lon-bia-heineken-silver-330ml-heineken-bac-i2921014976.html</v>
      </c>
      <c r="C5619" s="10" t="s">
        <v>5619</v>
      </c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>
      <c r="A5620" s="8">
        <v>10474.0</v>
      </c>
      <c r="B5620" s="9" t="str">
        <f>HYPERLINK("https://www.lazada.vn/products/ca-phe-robusta-arabica-nguyen-chat-huu-co-the-organic-coffee-thom-dam-vua-beo-nhe-500-gram-i2681323143.html", "https://www.lazada.vn/products/ca-phe-robusta-arabica-nguyen-chat-huu-co-the-organic-coffee-thom-dam-vua-beo-nhe-500-gram-i2681323143.html")</f>
        <v>https://www.lazada.vn/products/ca-phe-robusta-arabica-nguyen-chat-huu-co-the-organic-coffee-thom-dam-vua-beo-nhe-500-gram-i2681323143.html</v>
      </c>
      <c r="C5620" s="10" t="s">
        <v>5620</v>
      </c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>
      <c r="A5621" s="8">
        <v>10475.0</v>
      </c>
      <c r="B5621" s="9" t="str">
        <f>HYPERLINK("https://www.lazada.vn/products/bot-ca-cao-nguyen-chat-khong-duong-cacao-mi-tui-80g250g-ho-tro-giam-can-an-chay-an-kieng-keto-eat-clean-i1887766815.html", "https://www.lazada.vn/products/bot-ca-cao-nguyen-chat-khong-duong-cacao-mi-tui-80g250g-ho-tro-giam-can-an-chay-an-kieng-keto-eat-clean-i1887766815.html")</f>
        <v>https://www.lazada.vn/products/bot-ca-cao-nguyen-chat-khong-duong-cacao-mi-tui-80g250g-ho-tro-giam-can-an-chay-an-kieng-keto-eat-clean-i1887766815.html</v>
      </c>
      <c r="C5621" s="10" t="s">
        <v>5621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>
      <c r="A5622" s="8">
        <v>10476.0</v>
      </c>
      <c r="B5622" s="9" t="str">
        <f>HYPERLINK("https://www.lazada.vn/products/chinesefoodcombo-10-xuc-xich-cay-xuc-xich-ngo-32g-i1737963818.html", "https://www.lazada.vn/products/chinesefoodcombo-10-xuc-xich-cay-xuc-xich-ngo-32g-i1737963818.html")</f>
        <v>https://www.lazada.vn/products/chinesefoodcombo-10-xuc-xich-cay-xuc-xich-ngo-32g-i1737963818.html</v>
      </c>
      <c r="C5622" s="10" t="s">
        <v>5622</v>
      </c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>
      <c r="A5623" s="8">
        <v>10477.0</v>
      </c>
      <c r="B5623" s="9" t="str">
        <f>HYPERLINK("https://www.lazada.vn/products/combo-100-vien-mini-keo-sap-hinh-de-thuong-12-vi-trai-cay-i2724348060.html", "https://www.lazada.vn/products/combo-100-vien-mini-keo-sap-hinh-de-thuong-12-vi-trai-cay-i2724348060.html")</f>
        <v>https://www.lazada.vn/products/combo-100-vien-mini-keo-sap-hinh-de-thuong-12-vi-trai-cay-i2724348060.html</v>
      </c>
      <c r="C5623" s="10" t="s">
        <v>5623</v>
      </c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>
      <c r="A5624" s="8">
        <v>10478.0</v>
      </c>
      <c r="B5624" s="9" t="str">
        <f>HYPERLINK("https://www.lazada.vn/products/sea-crown-hop-det-cam-125g-ca-trich-ngam-dau-sardines-in-vegetable-oil-halal-i3036178744.html", "https://www.lazada.vn/products/sea-crown-hop-det-cam-125g-ca-trich-ngam-dau-sardines-in-vegetable-oil-halal-i3036178744.html")</f>
        <v>https://www.lazada.vn/products/sea-crown-hop-det-cam-125g-ca-trich-ngam-dau-sardines-in-vegetable-oil-halal-i3036178744.html</v>
      </c>
      <c r="C5624" s="10" t="s">
        <v>5624</v>
      </c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>
      <c r="A5625" s="8">
        <v>10479.0</v>
      </c>
      <c r="B5625" s="9" t="str">
        <f>HYPERLINK("https://www.lazada.vn/products/vang-san-vincenti-chianti-classico-i2610617231.html", "https://www.lazada.vn/products/vang-san-vincenti-chianti-classico-i2610617231.html")</f>
        <v>https://www.lazada.vn/products/vang-san-vincenti-chianti-classico-i2610617231.html</v>
      </c>
      <c r="C5625" s="10" t="s">
        <v>5625</v>
      </c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>
      <c r="A5626" s="8">
        <v>10480.0</v>
      </c>
      <c r="B5626" s="9" t="str">
        <f>HYPERLINK("https://www.lazada.vn/products/siro-cam-vina-chai-750ml-i2507360222.html", "https://www.lazada.vn/products/siro-cam-vina-chai-750ml-i2507360222.html")</f>
        <v>https://www.lazada.vn/products/siro-cam-vina-chai-750ml-i2507360222.html</v>
      </c>
      <c r="C5626" s="10" t="s">
        <v>5626</v>
      </c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>
      <c r="A5627" s="8">
        <v>10481.0</v>
      </c>
      <c r="B5627" s="9" t="str">
        <f>HYPERLINK("https://www.lazada.vn/products/keo-socola-nhan-hat-de_-loai-ngon_hang-viet-thai_keo-tet-i2909214091.html", "https://www.lazada.vn/products/keo-socola-nhan-hat-de_-loai-ngon_hang-viet-thai_keo-tet-i2909214091.html")</f>
        <v>https://www.lazada.vn/products/keo-socola-nhan-hat-de_-loai-ngon_hang-viet-thai_keo-tet-i2909214091.html</v>
      </c>
      <c r="C5627" s="10" t="s">
        <v>5627</v>
      </c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>
      <c r="A5628" s="8">
        <v>10482.0</v>
      </c>
      <c r="B5628" s="9" t="str">
        <f>HYPERLINK("https://www.lazada.vn/products/combo-5-goi-snack-mi-tom-enaak-tre-em-vi-ga-truyen-thong-30g-m04-an-vat-beegin-i2483107990.html", "https://www.lazada.vn/products/combo-5-goi-snack-mi-tom-enaak-tre-em-vi-ga-truyen-thong-30g-m04-an-vat-beegin-i2483107990.html")</f>
        <v>https://www.lazada.vn/products/combo-5-goi-snack-mi-tom-enaak-tre-em-vi-ga-truyen-thong-30g-m04-an-vat-beegin-i2483107990.html</v>
      </c>
      <c r="C5628" s="10" t="s">
        <v>5628</v>
      </c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>
      <c r="A5629" s="8">
        <v>10483.0</v>
      </c>
      <c r="B5629" s="9" t="str">
        <f>HYPERLINK("https://www.lazada.vn/products/loc-6-lon-nuoc-tang-luc-number-one-wake-up-247-chai-330-ml-bach-hoa-tong-hop-nhu-ngoc-i2420369582.html", "https://www.lazada.vn/products/loc-6-lon-nuoc-tang-luc-number-one-wake-up-247-chai-330-ml-bach-hoa-tong-hop-nhu-ngoc-i2420369582.html")</f>
        <v>https://www.lazada.vn/products/loc-6-lon-nuoc-tang-luc-number-one-wake-up-247-chai-330-ml-bach-hoa-tong-hop-nhu-ngoc-i2420369582.html</v>
      </c>
      <c r="C5629" s="10" t="s">
        <v>5629</v>
      </c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>
      <c r="A5630" s="8">
        <v>10484.0</v>
      </c>
      <c r="B5630" s="9" t="str">
        <f>HYPERLINK("https://www.lazada.vn/products/banh-gao-want-want-senbei-vi-nuoc-tuong-kieu-nhat-52gr-i2885629789.html", "https://www.lazada.vn/products/banh-gao-want-want-senbei-vi-nuoc-tuong-kieu-nhat-52gr-i2885629789.html")</f>
        <v>https://www.lazada.vn/products/banh-gao-want-want-senbei-vi-nuoc-tuong-kieu-nhat-52gr-i2885629789.html</v>
      </c>
      <c r="C5630" s="10" t="s">
        <v>5630</v>
      </c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>
      <c r="A5631" s="8">
        <v>10485.0</v>
      </c>
      <c r="B5631" s="9" t="str">
        <f>HYPERLINK("https://www.lazada.vn/products/thach-thuy-tinh-cu-nang-boduo-goi-1kg-i2384375366.html", "https://www.lazada.vn/products/thach-thuy-tinh-cu-nang-boduo-goi-1kg-i2384375366.html")</f>
        <v>https://www.lazada.vn/products/thach-thuy-tinh-cu-nang-boduo-goi-1kg-i2384375366.html</v>
      </c>
      <c r="C5631" s="10" t="s">
        <v>5631</v>
      </c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>
      <c r="A5632" s="8">
        <v>10486.0</v>
      </c>
      <c r="B5632" s="9" t="str">
        <f>HYPERLINK("https://www.lazada.vn/products/10-goi-nho-tra-sua-hoa-thach-an-cung-ba-tuyet-i2667253166.html", "https://www.lazada.vn/products/10-goi-nho-tra-sua-hoa-thach-an-cung-ba-tuyet-i2667253166.html")</f>
        <v>https://www.lazada.vn/products/10-goi-nho-tra-sua-hoa-thach-an-cung-ba-tuyet-i2667253166.html</v>
      </c>
      <c r="C5632" s="10" t="s">
        <v>5632</v>
      </c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>
      <c r="A5633" s="8">
        <v>10487.0</v>
      </c>
      <c r="B5633" s="9" t="str">
        <f>HYPERLINK("https://www.lazada.vn/products/bim-bim-que-khoai-tay-huong-ngo-sen-combo-2-goi-dam-da-hap-dan-hang-loai-1-an-vat-hula-i2708664123.html", "https://www.lazada.vn/products/bim-bim-que-khoai-tay-huong-ngo-sen-combo-2-goi-dam-da-hap-dan-hang-loai-1-an-vat-hula-i2708664123.html")</f>
        <v>https://www.lazada.vn/products/bim-bim-que-khoai-tay-huong-ngo-sen-combo-2-goi-dam-da-hap-dan-hang-loai-1-an-vat-hula-i2708664123.html</v>
      </c>
      <c r="C5633" s="10" t="s">
        <v>5633</v>
      </c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>
      <c r="A5634" s="8">
        <v>10488.0</v>
      </c>
      <c r="B5634" s="9" t="str">
        <f>HYPERLINK("https://www.lazada.vn/products/hop-qua-bia-thay-tu-ha-lan-la-trape-750ml-i2929780303.html", "https://www.lazada.vn/products/hop-qua-bia-thay-tu-ha-lan-la-trape-750ml-i2929780303.html")</f>
        <v>https://www.lazada.vn/products/hop-qua-bia-thay-tu-ha-lan-la-trape-750ml-i2929780303.html</v>
      </c>
      <c r="C5634" s="10" t="s">
        <v>5634</v>
      </c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>
      <c r="A5635" s="8">
        <v>10489.0</v>
      </c>
      <c r="B5635" s="9" t="str">
        <f>HYPERLINK("https://www.lazada.vn/products/bo-doi-do-trung-quoc-tui-nhieu-apple-dried-fruit-snack-cong-so-giai-tri-tui-nhieu-red-date-dried-fruit-snack-tui-nhieu-i2923559808.html", "https://www.lazada.vn/products/bo-doi-do-trung-quoc-tui-nhieu-apple-dried-fruit-snack-cong-so-giai-tri-tui-nhieu-red-date-dried-fruit-snack-tui-nhieu-i2923559808.html")</f>
        <v>https://www.lazada.vn/products/bo-doi-do-trung-quoc-tui-nhieu-apple-dried-fruit-snack-cong-so-giai-tri-tui-nhieu-red-date-dried-fruit-snack-tui-nhieu-i2923559808.html</v>
      </c>
      <c r="C5635" s="10" t="s">
        <v>5635</v>
      </c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>
      <c r="A5636" s="8">
        <v>10490.0</v>
      </c>
      <c r="B5636" s="9" t="str">
        <f>HYPERLINK("https://www.lazada.vn/products/thung-24-chai-nuoc-uong-sua-trai-cay-mang-cau-tu-nhien-th-true-juice-milk-300ml-x-24-i2766510352.html", "https://www.lazada.vn/products/thung-24-chai-nuoc-uong-sua-trai-cay-mang-cau-tu-nhien-th-true-juice-milk-300ml-x-24-i2766510352.html")</f>
        <v>https://www.lazada.vn/products/thung-24-chai-nuoc-uong-sua-trai-cay-mang-cau-tu-nhien-th-true-juice-milk-300ml-x-24-i2766510352.html</v>
      </c>
      <c r="C5636" s="10" t="s">
        <v>5636</v>
      </c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>
      <c r="A5637" s="8">
        <v>10491.0</v>
      </c>
      <c r="B5637" s="9" t="str">
        <f>HYPERLINK("https://www.lazada.vn/products/thung-1kg-banh-mi-hamburger-nhan-khoai-mon-haalvde-b152-beegin-food-store-i2637884267.html", "https://www.lazada.vn/products/thung-1kg-banh-mi-hamburger-nhan-khoai-mon-haalvde-b152-beegin-food-store-i2637884267.html")</f>
        <v>https://www.lazada.vn/products/thung-1kg-banh-mi-hamburger-nhan-khoai-mon-haalvde-b152-beegin-food-store-i2637884267.html</v>
      </c>
      <c r="C5637" s="10" t="s">
        <v>5637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>
      <c r="A5638" s="8">
        <v>10492.0</v>
      </c>
      <c r="B5638" s="9" t="str">
        <f>HYPERLINK("https://www.lazada.vn/products/vodka-men-500ml-i2647003106.html", "https://www.lazada.vn/products/vodka-men-500ml-i2647003106.html")</f>
        <v>https://www.lazada.vn/products/vodka-men-500ml-i2647003106.html</v>
      </c>
      <c r="C5638" s="10" t="s">
        <v>5638</v>
      </c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>
      <c r="A5639" s="8">
        <v>10493.0</v>
      </c>
      <c r="B5639" s="9" t="str">
        <f>HYPERLINK("https://www.lazada.vn/products/thung-1kg-banh-cuon-bong-lan-cuon-oc-vi-pho-mai-socola-b150-beegin-food-store-i2637882304.html", "https://www.lazada.vn/products/thung-1kg-banh-cuon-bong-lan-cuon-oc-vi-pho-mai-socola-b150-beegin-food-store-i2637882304.html")</f>
        <v>https://www.lazada.vn/products/thung-1kg-banh-cuon-bong-lan-cuon-oc-vi-pho-mai-socola-b150-beegin-food-store-i2637882304.html</v>
      </c>
      <c r="C5639" s="10" t="s">
        <v>5639</v>
      </c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>
      <c r="A5640" s="8">
        <v>10494.0</v>
      </c>
      <c r="B5640" s="9" t="str">
        <f>HYPERLINK("https://www.lazada.vn/products/nuoc-soda-co-ga-sangaria-chai-nhom-500g-hang-noi-dia-nhat-ban-thenewlife0909-i2765473762.html", "https://www.lazada.vn/products/nuoc-soda-co-ga-sangaria-chai-nhom-500g-hang-noi-dia-nhat-ban-thenewlife0909-i2765473762.html")</f>
        <v>https://www.lazada.vn/products/nuoc-soda-co-ga-sangaria-chai-nhom-500g-hang-noi-dia-nhat-ban-thenewlife0909-i2765473762.html</v>
      </c>
      <c r="C5640" s="10" t="s">
        <v>5640</v>
      </c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>
      <c r="A5641" s="8">
        <v>10495.0</v>
      </c>
      <c r="B5641" s="9" t="str">
        <f>HYPERLINK("https://www.lazada.vn/products/mi-tom-tre-em-shogun-han-quoc-vi-ga-phu-pho-mai-khong-cay-hop-30-goi-nho-18gmi-tre-em-han-quoc-an-liendo-an-vat-cho-be-i2846810160.html", "https://www.lazada.vn/products/mi-tom-tre-em-shogun-han-quoc-vi-ga-phu-pho-mai-khong-cay-hop-30-goi-nho-18gmi-tre-em-han-quoc-an-liendo-an-vat-cho-be-i2846810160.html")</f>
        <v>https://www.lazada.vn/products/mi-tom-tre-em-shogun-han-quoc-vi-ga-phu-pho-mai-khong-cay-hop-30-goi-nho-18gmi-tre-em-han-quoc-an-liendo-an-vat-cho-be-i2846810160.html</v>
      </c>
      <c r="C5641" s="10" t="s">
        <v>5641</v>
      </c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>
      <c r="A5642" s="8">
        <v>10496.0</v>
      </c>
      <c r="B5642" s="9" t="str">
        <f>HYPERLINK("https://www.lazada.vn/products/banh-gau-nhan-kem-tui-313g-i1548972408.html", "https://www.lazada.vn/products/banh-gau-nhan-kem-tui-313g-i1548972408.html")</f>
        <v>https://www.lazada.vn/products/banh-gau-nhan-kem-tui-313g-i1548972408.html</v>
      </c>
      <c r="C5642" s="10" t="s">
        <v>5642</v>
      </c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>
      <c r="A5643" s="8">
        <v>10497.0</v>
      </c>
      <c r="B5643" s="9" t="str">
        <f>HYPERLINK("https://www.lazada.vn/products/mam-tep-tron-du-du-500gr-mam-co-linh-i1915692383.html", "https://www.lazada.vn/products/mam-tep-tron-du-du-500gr-mam-co-linh-i1915692383.html")</f>
        <v>https://www.lazada.vn/products/mam-tep-tron-du-du-500gr-mam-co-linh-i1915692383.html</v>
      </c>
      <c r="C5643" s="10" t="s">
        <v>5643</v>
      </c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>
      <c r="A5644" s="8">
        <v>10498.0</v>
      </c>
      <c r="B5644" s="9" t="str">
        <f>HYPERLINK("https://www.lazada.vn/products/thung-36goi-mi-fitme-3-vi-lau-hai-san-chua-cay-suon-heo-bo-ham-80g-tang-kem-6hop-nhua-cao-cap-i1307358264.html", "https://www.lazada.vn/products/thung-36goi-mi-fitme-3-vi-lau-hai-san-chua-cay-suon-heo-bo-ham-80g-tang-kem-6hop-nhua-cao-cap-i1307358264.html")</f>
        <v>https://www.lazada.vn/products/thung-36goi-mi-fitme-3-vi-lau-hai-san-chua-cay-suon-heo-bo-ham-80g-tang-kem-6hop-nhua-cao-cap-i1307358264.html</v>
      </c>
      <c r="C5644" s="10" t="s">
        <v>5644</v>
      </c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>
      <c r="A5645" s="8">
        <v>10499.0</v>
      </c>
      <c r="B5645" s="9" t="str">
        <f>HYPERLINK("https://www.lazada.vn/products/ca-phe-truyen-thong-the-organic-coffee-vi-dam-da-thom-beo-sanh-nuoc-500-gram-i2681306146.html", "https://www.lazada.vn/products/ca-phe-truyen-thong-the-organic-coffee-vi-dam-da-thom-beo-sanh-nuoc-500-gram-i2681306146.html")</f>
        <v>https://www.lazada.vn/products/ca-phe-truyen-thong-the-organic-coffee-vi-dam-da-thom-beo-sanh-nuoc-500-gram-i2681306146.html</v>
      </c>
      <c r="C5645" s="10" t="s">
        <v>5645</v>
      </c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>
      <c r="A5646" s="8">
        <v>10500.0</v>
      </c>
      <c r="B5646" s="9" t="str">
        <f>HYPERLINK("https://www.lazada.vn/products/date-42025-giao-hoa-toc-bia-heineken-ha-lan-bom-5-lit-i2864876279.html", "https://www.lazada.vn/products/date-42025-giao-hoa-toc-bia-heineken-ha-lan-bom-5-lit-i2864876279.html")</f>
        <v>https://www.lazada.vn/products/date-42025-giao-hoa-toc-bia-heineken-ha-lan-bom-5-lit-i2864876279.html</v>
      </c>
      <c r="C5646" s="10" t="s">
        <v>5646</v>
      </c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>
      <c r="A5647" s="8">
        <v>10501.0</v>
      </c>
      <c r="B5647" s="9" t="str">
        <f>HYPERLINK("https://www.lazada.vn/products/nhap-rs0722-giam-30k-cho-don-99kmam-loc-thai-an-giang-500gr-mam-co-linh-i1915663847.html", "https://www.lazada.vn/products/nhap-rs0722-giam-30k-cho-don-99kmam-loc-thai-an-giang-500gr-mam-co-linh-i1915663847.html")</f>
        <v>https://www.lazada.vn/products/nhap-rs0722-giam-30k-cho-don-99kmam-loc-thai-an-giang-500gr-mam-co-linh-i1915663847.html</v>
      </c>
      <c r="C5647" s="10" t="s">
        <v>5647</v>
      </c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>
      <c r="A5648" s="8">
        <v>10502.0</v>
      </c>
      <c r="B5648" s="9" t="str">
        <f>HYPERLINK("https://www.lazada.vn/products/mi-an-lien-tokyo-noodle-nhat-ban-vi-ga-cho-be-bich-480g-bich-16-goi-by-shop-locngo-i860736512.html", "https://www.lazada.vn/products/mi-an-lien-tokyo-noodle-nhat-ban-vi-ga-cho-be-bich-480g-bich-16-goi-by-shop-locngo-i860736512.html")</f>
        <v>https://www.lazada.vn/products/mi-an-lien-tokyo-noodle-nhat-ban-vi-ga-cho-be-bich-480g-bich-16-goi-by-shop-locngo-i860736512.html</v>
      </c>
      <c r="C5648" s="10" t="s">
        <v>5648</v>
      </c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>
      <c r="A5649" s="8">
        <v>10503.0</v>
      </c>
      <c r="B5649" s="9" t="str">
        <f>HYPERLINK("https://www.lazada.vn/products/ca-phe-robusta-arabica-the-organic-coffee-dam-vua-beo-nhe-hau-can-bang-dung-pha-may-500gram-i2681251421.html", "https://www.lazada.vn/products/ca-phe-robusta-arabica-the-organic-coffee-dam-vua-beo-nhe-hau-can-bang-dung-pha-may-500gram-i2681251421.html")</f>
        <v>https://www.lazada.vn/products/ca-phe-robusta-arabica-the-organic-coffee-dam-vua-beo-nhe-hau-can-bang-dung-pha-may-500gram-i2681251421.html</v>
      </c>
      <c r="C5649" s="10" t="s">
        <v>5649</v>
      </c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>
      <c r="A5650" s="8">
        <v>10504.0</v>
      </c>
      <c r="B5650" s="9" t="str">
        <f>HYPERLINK("https://www.lazada.vn/products/han-dung-3042025-giao-hoa-toc-bia-heineken-ha-lan-bom-5-lit-i2864850346.html", "https://www.lazada.vn/products/han-dung-3042025-giao-hoa-toc-bia-heineken-ha-lan-bom-5-lit-i2864850346.html")</f>
        <v>https://www.lazada.vn/products/han-dung-3042025-giao-hoa-toc-bia-heineken-ha-lan-bom-5-lit-i2864850346.html</v>
      </c>
      <c r="C5650" s="10" t="s">
        <v>5650</v>
      </c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>
      <c r="A5651" s="8">
        <v>10505.0</v>
      </c>
      <c r="B5651" s="9" t="str">
        <f>HYPERLINK("https://www.lazada.vn/products/bot-cacao-nguyen-chat-100-dchi-gu-dam-da-thom-nong-khong-duong-chuan-utz-xuat-khau-500gr-i1874581548.html", "https://www.lazada.vn/products/bot-cacao-nguyen-chat-100-dchi-gu-dam-da-thom-nong-khong-duong-chuan-utz-xuat-khau-500gr-i1874581548.html")</f>
        <v>https://www.lazada.vn/products/bot-cacao-nguyen-chat-100-dchi-gu-dam-da-thom-nong-khong-duong-chuan-utz-xuat-khau-500gr-i1874581548.html</v>
      </c>
      <c r="C5651" s="10" t="s">
        <v>5651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>
      <c r="A5652" s="8">
        <v>10506.0</v>
      </c>
      <c r="B5652" s="9" t="str">
        <f>HYPERLINK("https://www.lazada.vn/products/chinesefoodnuoc-soda-co-ga-vi-trai-cay-khong-duong-khong-chat-beokhong-calo-i1737960658.html", "https://www.lazada.vn/products/chinesefoodnuoc-soda-co-ga-vi-trai-cay-khong-duong-khong-chat-beokhong-calo-i1737960658.html")</f>
        <v>https://www.lazada.vn/products/chinesefoodnuoc-soda-co-ga-vi-trai-cay-khong-duong-khong-chat-beokhong-calo-i1737960658.html</v>
      </c>
      <c r="C5652" s="10" t="s">
        <v>5652</v>
      </c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>
      <c r="A5653" s="8">
        <v>10507.0</v>
      </c>
      <c r="B5653" s="9" t="str">
        <f>HYPERLINK("https://www.lazada.vn/products/keo-bo-huc-redbull-thai-lan-tui-320g-i2724097193.html", "https://www.lazada.vn/products/keo-bo-huc-redbull-thai-lan-tui-320g-i2724097193.html")</f>
        <v>https://www.lazada.vn/products/keo-bo-huc-redbull-thai-lan-tui-320g-i2724097193.html</v>
      </c>
      <c r="C5653" s="10" t="s">
        <v>5653</v>
      </c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>
      <c r="A5654" s="8">
        <v>10508.0</v>
      </c>
      <c r="B5654" s="9" t="str">
        <f>HYPERLINK("https://www.lazada.vn/products/mam-ca-thu-ngam-dau-hu-500gr-i3036163308.html", "https://www.lazada.vn/products/mam-ca-thu-ngam-dau-hu-500gr-i3036163308.html")</f>
        <v>https://www.lazada.vn/products/mam-ca-thu-ngam-dau-hu-500gr-i3036163308.html</v>
      </c>
      <c r="C5654" s="10" t="s">
        <v>5654</v>
      </c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>
      <c r="A5655" s="8">
        <v>10509.0</v>
      </c>
      <c r="B5655" s="9" t="str">
        <f>HYPERLINK("https://www.lazada.vn/products/siro-blue-curacao-vina-chai-750ml-i2507328280.html", "https://www.lazada.vn/products/siro-blue-curacao-vina-chai-750ml-i2507328280.html")</f>
        <v>https://www.lazada.vn/products/siro-blue-curacao-vina-chai-750ml-i2507328280.html</v>
      </c>
      <c r="C5655" s="10" t="s">
        <v>5655</v>
      </c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>
      <c r="A5656" s="8">
        <v>10510.0</v>
      </c>
      <c r="B5656" s="9" t="str">
        <f>HYPERLINK("https://www.lazada.vn/products/vang-valpolicella-ripasso-i2610511929.html", "https://www.lazada.vn/products/vang-valpolicella-ripasso-i2610511929.html")</f>
        <v>https://www.lazada.vn/products/vang-valpolicella-ripasso-i2610511929.html</v>
      </c>
      <c r="C5656" s="10" t="s">
        <v>5656</v>
      </c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>
      <c r="A5657" s="8">
        <v>10511.0</v>
      </c>
      <c r="B5657" s="9" t="str">
        <f>HYPERLINK("https://www.lazada.vn/products/500g-keo-socola-nhan-hat-de_-loai-ngon_hang-viet-thai-i2908576490.html", "https://www.lazada.vn/products/500g-keo-socola-nhan-hat-de_-loai-ngon_hang-viet-thai-i2908576490.html")</f>
        <v>https://www.lazada.vn/products/500g-keo-socola-nhan-hat-de_-loai-ngon_hang-viet-thai-i2908576490.html</v>
      </c>
      <c r="C5657" s="10" t="s">
        <v>5657</v>
      </c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>
      <c r="A5658" s="8">
        <v>10512.0</v>
      </c>
      <c r="B5658" s="9" t="str">
        <f>HYPERLINK("https://www.lazada.vn/products/loc-6-chai-nuoc-tang-luc-sting-330ml-i2417961455.html", "https://www.lazada.vn/products/loc-6-chai-nuoc-tang-luc-sting-330ml-i2417961455.html")</f>
        <v>https://www.lazada.vn/products/loc-6-chai-nuoc-tang-luc-sting-330ml-i2417961455.html</v>
      </c>
      <c r="C5658" s="10" t="s">
        <v>5658</v>
      </c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>
      <c r="A5659" s="8">
        <v>10513.0</v>
      </c>
      <c r="B5659" s="9" t="str">
        <f>HYPERLINK("https://www.lazada.vn/products/hop-24-goi-snack-mi-tom-enaak-tre-em-vi-ga-truyen-thong-30g-m04-beegin-food-i2482901589.html", "https://www.lazada.vn/products/hop-24-goi-snack-mi-tom-enaak-tre-em-vi-ga-truyen-thong-30g-m04-beegin-food-i2482901589.html")</f>
        <v>https://www.lazada.vn/products/hop-24-goi-snack-mi-tom-enaak-tre-em-vi-ga-truyen-thong-30g-m04-beegin-food-i2482901589.html</v>
      </c>
      <c r="C5659" s="10" t="s">
        <v>5659</v>
      </c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>
      <c r="A5660" s="8">
        <v>10514.0</v>
      </c>
      <c r="B5660" s="9" t="str">
        <f>HYPERLINK("https://www.lazada.vn/products/hop-banh-quy-majestic-vang-382gr-kem-tui-xach-i2885133049.html", "https://www.lazada.vn/products/hop-banh-quy-majestic-vang-382gr-kem-tui-xach-i2885133049.html")</f>
        <v>https://www.lazada.vn/products/hop-banh-quy-majestic-vang-382gr-kem-tui-xach-i2885133049.html</v>
      </c>
      <c r="C5660" s="10" t="s">
        <v>5660</v>
      </c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>
      <c r="A5661" s="8">
        <v>10515.0</v>
      </c>
      <c r="B5661" s="9" t="str">
        <f>HYPERLINK("https://www.lazada.vn/products/sieu-ngon-500-gam-bim-bim-tam-dau-ha-lan-i2704744838.html", "https://www.lazada.vn/products/sieu-ngon-500-gam-bim-bim-tam-dau-ha-lan-i2704744838.html")</f>
        <v>https://www.lazada.vn/products/sieu-ngon-500-gam-bim-bim-tam-dau-ha-lan-i2704744838.html</v>
      </c>
      <c r="C5661" s="10" t="s">
        <v>5661</v>
      </c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>
      <c r="A5662" s="8">
        <v>10516.0</v>
      </c>
      <c r="B5662" s="9" t="str">
        <f>HYPERLINK("https://www.lazada.vn/products/mam-ruoc-toi-ot-an-lien-nguyen-lieu-tuoi-thom-ngon-dac-biet-lang-chai-xua-mam-ruoc-toi-ot-hu-400g-i2845151882.html", "https://www.lazada.vn/products/mam-ruoc-toi-ot-an-lien-nguyen-lieu-tuoi-thom-ngon-dac-biet-lang-chai-xua-mam-ruoc-toi-ot-hu-400g-i2845151882.html")</f>
        <v>https://www.lazada.vn/products/mam-ruoc-toi-ot-an-lien-nguyen-lieu-tuoi-thom-ngon-dac-biet-lang-chai-xua-mam-ruoc-toi-ot-hu-400g-i2845151882.html</v>
      </c>
      <c r="C5662" s="10" t="s">
        <v>5662</v>
      </c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>
      <c r="A5663" s="8">
        <v>10517.0</v>
      </c>
      <c r="B5663" s="9" t="str">
        <f>HYPERLINK("https://www.lazada.vn/products/1-goi-nho-tra-sua-hoa-thach-an-cung-ba-tuyet-i2667212447.html", "https://www.lazada.vn/products/1-goi-nho-tra-sua-hoa-thach-an-cung-ba-tuyet-i2667212447.html")</f>
        <v>https://www.lazada.vn/products/1-goi-nho-tra-sua-hoa-thach-an-cung-ba-tuyet-i2667212447.html</v>
      </c>
      <c r="C5663" s="10" t="s">
        <v>5663</v>
      </c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>
      <c r="A5664" s="8">
        <v>10518.0</v>
      </c>
      <c r="B5664" s="9" t="str">
        <f>HYPERLINK("https://www.lazada.vn/products/bia-ocean-draught-thung-24-lon-330ml-xuat-khau-uc-i2929065588.html", "https://www.lazada.vn/products/bia-ocean-draught-thung-24-lon-330ml-xuat-khau-uc-i2929065588.html")</f>
        <v>https://www.lazada.vn/products/bia-ocean-draught-thung-24-lon-330ml-xuat-khau-uc-i2929065588.html</v>
      </c>
      <c r="C5664" s="10" t="s">
        <v>5664</v>
      </c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>
      <c r="A5665" s="8">
        <v>10519.0</v>
      </c>
      <c r="B5665" s="9" t="str">
        <f>HYPERLINK("https://www.lazada.vn/products/mut-sinh-to-xoai-miche-thit-qua-tu-nhien-i2758805893.html", "https://www.lazada.vn/products/mut-sinh-to-xoai-miche-thit-qua-tu-nhien-i2758805893.html")</f>
        <v>https://www.lazada.vn/products/mut-sinh-to-xoai-miche-thit-qua-tu-nhien-i2758805893.html</v>
      </c>
      <c r="C5665" s="10" t="s">
        <v>5665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>
      <c r="A5666" s="8">
        <v>10520.0</v>
      </c>
      <c r="B5666" s="9" t="str">
        <f>HYPERLINK("https://www.lazada.vn/products/sua-chua-dong-kho-huong-dau-tay-60g-tui-dung-trai-cay-dong-kho-an-nhe-huong-vi-dau-tay-da-dang-huong-vi-trai-cay-dong-kho-i2923558841.html", "https://www.lazada.vn/products/sua-chua-dong-kho-huong-dau-tay-60g-tui-dung-trai-cay-dong-kho-an-nhe-huong-vi-dau-tay-da-dang-huong-vi-trai-cay-dong-kho-i2923558841.html")</f>
        <v>https://www.lazada.vn/products/sua-chua-dong-kho-huong-dau-tay-60g-tui-dung-trai-cay-dong-kho-an-nhe-huong-vi-dau-tay-da-dang-huong-vi-trai-cay-dong-kho-i2923558841.html</v>
      </c>
      <c r="C5666" s="10" t="s">
        <v>5666</v>
      </c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>
      <c r="A5667" s="8">
        <v>10521.0</v>
      </c>
      <c r="B5667" s="9" t="str">
        <f>HYPERLINK("https://www.lazada.vn/products/thung-1kg-banh-cuon-bong-lan-cuon-oc-vi-pho-mai-socola-b150-beegin-mart-i2637872324.html", "https://www.lazada.vn/products/thung-1kg-banh-cuon-bong-lan-cuon-oc-vi-pho-mai-socola-b150-beegin-mart-i2637872324.html")</f>
        <v>https://www.lazada.vn/products/thung-1kg-banh-cuon-bong-lan-cuon-oc-vi-pho-mai-socola-b150-beegin-mart-i2637872324.html</v>
      </c>
      <c r="C5667" s="10" t="s">
        <v>5667</v>
      </c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>
      <c r="A5668" s="8">
        <v>10522.0</v>
      </c>
      <c r="B5668" s="9" t="str">
        <f>HYPERLINK("https://www.lazada.vn/products/banh-belgi-trung-sua-tui-250g-banh-gion-thom-san-pham-chinh-hang-trang-an-i1537674093.html", "https://www.lazada.vn/products/banh-belgi-trung-sua-tui-250g-banh-gion-thom-san-pham-chinh-hang-trang-an-i1537674093.html")</f>
        <v>https://www.lazada.vn/products/banh-belgi-trung-sua-tui-250g-banh-gion-thom-san-pham-chinh-hang-trang-an-i1537674093.html</v>
      </c>
      <c r="C5668" s="10" t="s">
        <v>5668</v>
      </c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>
      <c r="A5669" s="8">
        <v>10523.0</v>
      </c>
      <c r="B5669" s="9" t="str">
        <f>HYPERLINK("https://www.lazada.vn/products/thach-cal-ci-mat-den-ich-nhi-i2377647375.html", "https://www.lazada.vn/products/thach-cal-ci-mat-den-ich-nhi-i2377647375.html")</f>
        <v>https://www.lazada.vn/products/thach-cal-ci-mat-den-ich-nhi-i2377647375.html</v>
      </c>
      <c r="C5669" s="10" t="s">
        <v>5669</v>
      </c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>
      <c r="A5670" s="8">
        <v>10524.0</v>
      </c>
      <c r="B5670" s="9" t="str">
        <f>HYPERLINK("https://www.lazada.vn/products/vodka-men-300ml-i2646923277.html", "https://www.lazada.vn/products/vodka-men-300ml-i2646923277.html")</f>
        <v>https://www.lazada.vn/products/vodka-men-300ml-i2646923277.html</v>
      </c>
      <c r="C5670" s="10" t="s">
        <v>5670</v>
      </c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>
      <c r="A5671" s="8">
        <v>10525.0</v>
      </c>
      <c r="B5671" s="9" t="str">
        <f>HYPERLINK("https://www.lazada.vn/products/thach-zin-zai-huong-vi-trai-cay-thom-phuc-i2365136023.html", "https://www.lazada.vn/products/thach-zin-zai-huong-vi-trai-cay-thom-phuc-i2365136023.html")</f>
        <v>https://www.lazada.vn/products/thach-zin-zai-huong-vi-trai-cay-thom-phuc-i2365136023.html</v>
      </c>
      <c r="C5671" s="10" t="s">
        <v>5671</v>
      </c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>
      <c r="A5672" s="8">
        <v>10526.0</v>
      </c>
      <c r="B5672" s="9" t="str">
        <f>HYPERLINK("https://www.lazada.vn/products/disney-white-peach-flavored-soft-candy-500g-loose-childrens-day-sharing-snacks-full-moon-baby-celebration-gummy-juicy-treats-i2923557959.html", "https://www.lazada.vn/products/disney-white-peach-flavored-soft-candy-500g-loose-childrens-day-sharing-snacks-full-moon-baby-celebration-gummy-juicy-treats-i2923557959.html")</f>
        <v>https://www.lazada.vn/products/disney-white-peach-flavored-soft-candy-500g-loose-childrens-day-sharing-snacks-full-moon-baby-celebration-gummy-juicy-treats-i2923557959.html</v>
      </c>
      <c r="C5672" s="10" t="s">
        <v>5672</v>
      </c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>
      <c r="A5673" s="8">
        <v>10527.0</v>
      </c>
      <c r="B5673" s="9" t="str">
        <f>HYPERLINK("https://www.lazada.vn/products/bia-la-trappe-isidor-75-nhap-khau-ha-lan-1-chai-330ml-i2928846171.html", "https://www.lazada.vn/products/bia-la-trappe-isidor-75-nhap-khau-ha-lan-1-chai-330ml-i2928846171.html")</f>
        <v>https://www.lazada.vn/products/bia-la-trappe-isidor-75-nhap-khau-ha-lan-1-chai-330ml-i2928846171.html</v>
      </c>
      <c r="C5673" s="10" t="s">
        <v>5673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>
      <c r="A5674" s="8">
        <v>10528.0</v>
      </c>
      <c r="B5674" s="9" t="str">
        <f>HYPERLINK("https://www.lazada.vn/products/vodka-media-750ml-i2646893314.html", "https://www.lazada.vn/products/vodka-media-750ml-i2646893314.html")</f>
        <v>https://www.lazada.vn/products/vodka-media-750ml-i2646893314.html</v>
      </c>
      <c r="C5674" s="10" t="s">
        <v>5674</v>
      </c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>
      <c r="A5675" s="8">
        <v>10529.0</v>
      </c>
      <c r="B5675" s="9" t="str">
        <f>HYPERLINK("https://www.lazada.vn/products/bot-cu-ngai-den-chong-doc-hu-150g-ngai-den-chong-doc-cao-trung-son-i2668385076.html", "https://www.lazada.vn/products/bot-cu-ngai-den-chong-doc-hu-150g-ngai-den-chong-doc-cao-trung-son-i2668385076.html")</f>
        <v>https://www.lazada.vn/products/bot-cu-ngai-den-chong-doc-hu-150g-ngai-den-chong-doc-cao-trung-son-i2668385076.html</v>
      </c>
      <c r="C5675" s="10" t="s">
        <v>5675</v>
      </c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>
      <c r="A5676" s="8">
        <v>10530.0</v>
      </c>
      <c r="B5676" s="9" t="str">
        <f>HYPERLINK("https://www.lazada.vn/products/muc-rim-me-sa-te-250g-yolo-food-do-an-vat-ngon-muc-rim-me-tam-vi-loai-1-chua-cay-dam-da-ngon-chat-luong-atvstp-i1915323404.html", "https://www.lazada.vn/products/muc-rim-me-sa-te-250g-yolo-food-do-an-vat-ngon-muc-rim-me-tam-vi-loai-1-chua-cay-dam-da-ngon-chat-luong-atvstp-i1915323404.html")</f>
        <v>https://www.lazada.vn/products/muc-rim-me-sa-te-250g-yolo-food-do-an-vat-ngon-muc-rim-me-tam-vi-loai-1-chua-cay-dam-da-ngon-chat-luong-atvstp-i1915323404.html</v>
      </c>
      <c r="C5676" s="10" t="s">
        <v>5676</v>
      </c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>
      <c r="A5677" s="8">
        <v>10531.0</v>
      </c>
      <c r="B5677" s="9" t="str">
        <f>HYPERLINK("https://www.lazada.vn/products/loc-16-goi-my-cho-be-tokyo-noodle-nhat-480g-vi-ga-date-t12025-i744462197.html", "https://www.lazada.vn/products/loc-16-goi-my-cho-be-tokyo-noodle-nhat-480g-vi-ga-date-t12025-i744462197.html")</f>
        <v>https://www.lazada.vn/products/loc-16-goi-my-cho-be-tokyo-noodle-nhat-480g-vi-ga-date-t12025-i744462197.html</v>
      </c>
      <c r="C5677" s="10" t="s">
        <v>5677</v>
      </c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>
      <c r="A5678" s="8">
        <v>10532.0</v>
      </c>
      <c r="B5678" s="9" t="str">
        <f>HYPERLINK("https://www.lazada.vn/products/mam-ca-son-dac-san-ca-mau-goi-tron-huong-vi-vung-que-i1913216724.html", "https://www.lazada.vn/products/mam-ca-son-dac-san-ca-mau-goi-tron-huong-vi-vung-que-i1913216724.html")</f>
        <v>https://www.lazada.vn/products/mam-ca-son-dac-san-ca-mau-goi-tron-huong-vi-vung-que-i1913216724.html</v>
      </c>
      <c r="C5678" s="10" t="s">
        <v>5678</v>
      </c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>
      <c r="A5679" s="8">
        <v>10533.0</v>
      </c>
      <c r="B5679" s="9" t="str">
        <f>HYPERLINK("https://www.lazada.vn/products/han-dung-3032025-giao-hoa-toc-bia-heineken-ha-lan-bom-5-lit-i2864736853.html", "https://www.lazada.vn/products/han-dung-3032025-giao-hoa-toc-bia-heineken-ha-lan-bom-5-lit-i2864736853.html")</f>
        <v>https://www.lazada.vn/products/han-dung-3032025-giao-hoa-toc-bia-heineken-ha-lan-bom-5-lit-i2864736853.html</v>
      </c>
      <c r="C5679" s="10" t="s">
        <v>5679</v>
      </c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>
      <c r="A5680" s="8">
        <v>10534.0</v>
      </c>
      <c r="B5680" s="9" t="str">
        <f>HYPERLINK("https://www.lazada.vn/products/hang-chinh-hang-ca-phe-sau-rieng-rock-cafe-tui-30-goi-x-20g-mau-moi-cafe-sua-vi-sau-rieng-durian-white-coffee-thom-ngon-dam-vi-ca-phe-sua-hoa-tan-i2681240874.html", "https://www.lazada.vn/products/hang-chinh-hang-ca-phe-sau-rieng-rock-cafe-tui-30-goi-x-20g-mau-moi-cafe-sua-vi-sau-rieng-durian-white-coffee-thom-ngon-dam-vi-ca-phe-sua-hoa-tan-i2681240874.html")</f>
        <v>https://www.lazada.vn/products/hang-chinh-hang-ca-phe-sau-rieng-rock-cafe-tui-30-goi-x-20g-mau-moi-cafe-sua-vi-sau-rieng-durian-white-coffee-thom-ngon-dam-vi-ca-phe-sua-hoa-tan-i2681240874.html</v>
      </c>
      <c r="C5680" s="10" t="s">
        <v>5680</v>
      </c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>
      <c r="A5681" s="8">
        <v>10535.0</v>
      </c>
      <c r="B5681" s="9" t="str">
        <f>HYPERLINK("https://www.lazada.vn/products/1kg-bot-ca-cao-dak-lak-bot-cacao-i1867295612.html", "https://www.lazada.vn/products/1kg-bot-ca-cao-dak-lak-bot-cacao-i1867295612.html")</f>
        <v>https://www.lazada.vn/products/1kg-bot-ca-cao-dak-lak-bot-cacao-i1867295612.html</v>
      </c>
      <c r="C5681" s="10" t="s">
        <v>5681</v>
      </c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>
      <c r="A5682" s="8">
        <v>10536.0</v>
      </c>
      <c r="B5682" s="9" t="str">
        <f>HYPERLINK("https://www.lazada.vn/products/chinesefoodban-si-20-goi-thit-ho-chay-mon-an-tuoi-tho-i1737957755.html", "https://www.lazada.vn/products/chinesefoodban-si-20-goi-thit-ho-chay-mon-an-tuoi-tho-i1737957755.html")</f>
        <v>https://www.lazada.vn/products/chinesefoodban-si-20-goi-thit-ho-chay-mon-an-tuoi-tho-i1737957755.html</v>
      </c>
      <c r="C5682" s="10" t="s">
        <v>5682</v>
      </c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>
      <c r="A5683" s="8">
        <v>10537.0</v>
      </c>
      <c r="B5683" s="9" t="str">
        <f>HYPERLINK("https://www.lazada.vn/products/keo-nhai-keo-cao-su-thoi-sac-mau-hinh-qua-nhot-140-150-vien-mot-hop-i2724006280.html", "https://www.lazada.vn/products/keo-nhai-keo-cao-su-thoi-sac-mau-hinh-qua-nhot-140-150-vien-mot-hop-i2724006280.html")</f>
        <v>https://www.lazada.vn/products/keo-nhai-keo-cao-su-thoi-sac-mau-hinh-qua-nhot-140-150-vien-mot-hop-i2724006280.html</v>
      </c>
      <c r="C5683" s="10" t="s">
        <v>5683</v>
      </c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>
      <c r="A5684" s="8">
        <v>10538.0</v>
      </c>
      <c r="B5684" s="9" t="str">
        <f>HYPERLINK("https://www.lazada.vn/products/vissan-loc-xanh-6-hop-x-85g-ca-ngu-sot-mayonnaise-vissan-tuna-spread-i3036157606.html", "https://www.lazada.vn/products/vissan-loc-xanh-6-hop-x-85g-ca-ngu-sot-mayonnaise-vissan-tuna-spread-i3036157606.html")</f>
        <v>https://www.lazada.vn/products/vissan-loc-xanh-6-hop-x-85g-ca-ngu-sot-mayonnaise-vissan-tuna-spread-i3036157606.html</v>
      </c>
      <c r="C5684" s="10" t="s">
        <v>5684</v>
      </c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>
      <c r="A5685" s="8">
        <v>10539.0</v>
      </c>
      <c r="B5685" s="9" t="str">
        <f>HYPERLINK("https://www.lazada.vn/products/siro-dao-vina-chai-750ml-i2507312327.html", "https://www.lazada.vn/products/siro-dao-vina-chai-750ml-i2507312327.html")</f>
        <v>https://www.lazada.vn/products/siro-dao-vina-chai-750ml-i2507312327.html</v>
      </c>
      <c r="C5685" s="10" t="s">
        <v>5685</v>
      </c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>
      <c r="A5686" s="8">
        <v>10540.0</v>
      </c>
      <c r="B5686" s="9" t="str">
        <f>HYPERLINK("https://www.lazada.vn/products/vang-da-lat-do-chateau-classic-12-750ml-i2609245622.html", "https://www.lazada.vn/products/vang-da-lat-do-chateau-classic-12-750ml-i2609245622.html")</f>
        <v>https://www.lazada.vn/products/vang-da-lat-do-chateau-classic-12-750ml-i2609245622.html</v>
      </c>
      <c r="C5686" s="10" t="s">
        <v>5686</v>
      </c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>
      <c r="A5687" s="8">
        <v>10541.0</v>
      </c>
      <c r="B5687" s="9" t="str">
        <f>HYPERLINK("https://www.lazada.vn/products/si-vien-socola-valentine-tim-kim-cuong-mix-keo-trang-tri_-gia-re-chat-luong-i2908540749.html", "https://www.lazada.vn/products/si-vien-socola-valentine-tim-kim-cuong-mix-keo-trang-tri_-gia-re-chat-luong-i2908540749.html")</f>
        <v>https://www.lazada.vn/products/si-vien-socola-valentine-tim-kim-cuong-mix-keo-trang-tri_-gia-re-chat-luong-i2908540749.html</v>
      </c>
      <c r="C5687" s="10" t="s">
        <v>5687</v>
      </c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>
      <c r="A5688" s="8">
        <v>10542.0</v>
      </c>
      <c r="B5688" s="9" t="str">
        <f>HYPERLINK("https://www.lazada.vn/products/combo-10-goi-snack-mi-tom-enaak-tre-em-vi-ga-truyen-thong-30g-m04-beegin-food-i2482901578.html", "https://www.lazada.vn/products/combo-10-goi-snack-mi-tom-enaak-tre-em-vi-ga-truyen-thong-30g-m04-beegin-food-i2482901578.html")</f>
        <v>https://www.lazada.vn/products/combo-10-goi-snack-mi-tom-enaak-tre-em-vi-ga-truyen-thong-30g-m04-beegin-food-i2482901578.html</v>
      </c>
      <c r="C5688" s="10" t="s">
        <v>5688</v>
      </c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>
      <c r="A5689" s="8">
        <v>10543.0</v>
      </c>
      <c r="B5689" s="9" t="str">
        <f>HYPERLINK("https://www.lazada.vn/products/re-vo-dich-set-300-chai-100ml-120ml-i2417877124.html", "https://www.lazada.vn/products/re-vo-dich-set-300-chai-100ml-120ml-i2417877124.html")</f>
        <v>https://www.lazada.vn/products/re-vo-dich-set-300-chai-100ml-120ml-i2417877124.html</v>
      </c>
      <c r="C5689" s="10" t="s">
        <v>5689</v>
      </c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>
      <c r="A5690" s="8">
        <v>10544.0</v>
      </c>
      <c r="B5690" s="9" t="str">
        <f>HYPERLINK("https://www.lazada.vn/products/banh-gau-nhan-kem-dau-hello-bear-headway-tui-200g-thom-ngon-bo-duong-i2881829139.html", "https://www.lazada.vn/products/banh-gau-nhan-kem-dau-hello-bear-headway-tui-200g-thom-ngon-bo-duong-i2881829139.html")</f>
        <v>https://www.lazada.vn/products/banh-gau-nhan-kem-dau-hello-bear-headway-tui-200g-thom-ngon-bo-duong-i2881829139.html</v>
      </c>
      <c r="C5690" s="10" t="s">
        <v>5690</v>
      </c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>
      <c r="A5691" s="8">
        <v>10545.0</v>
      </c>
      <c r="B5691" s="9" t="str">
        <f>HYPERLINK("https://www.lazada.vn/products/20-chan-ga-sa-tac-an-cung-ba-tuyet-i2844964074.html", "https://www.lazada.vn/products/20-chan-ga-sa-tac-an-cung-ba-tuyet-i2844964074.html")</f>
        <v>https://www.lazada.vn/products/20-chan-ga-sa-tac-an-cung-ba-tuyet-i2844964074.html</v>
      </c>
      <c r="C5691" s="10" t="s">
        <v>5691</v>
      </c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>
      <c r="A5692" s="8">
        <v>10546.0</v>
      </c>
      <c r="B5692" s="9" t="str">
        <f>HYPERLINK("https://www.lazada.vn/products/banh-pia-xanh-75k-i1533461792.html", "https://www.lazada.vn/products/banh-pia-xanh-75k-i1533461792.html")</f>
        <v>https://www.lazada.vn/products/banh-pia-xanh-75k-i1533461792.html</v>
      </c>
      <c r="C5692" s="10" t="s">
        <v>5692</v>
      </c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>
      <c r="A5693" s="8">
        <v>10547.0</v>
      </c>
      <c r="B5693" s="9" t="str">
        <f>HYPERLINK("https://www.lazada.vn/products/thom-ngon-500g-banh-khoai-tay-potato-hoang-gia-banh-potato-banh-quydo-an-vat-sieu-ngon-shop-haimy-i2704723757.html", "https://www.lazada.vn/products/thom-ngon-500g-banh-khoai-tay-potato-hoang-gia-banh-potato-banh-quydo-an-vat-sieu-ngon-shop-haimy-i2704723757.html")</f>
        <v>https://www.lazada.vn/products/thom-ngon-500g-banh-khoai-tay-potato-hoang-gia-banh-potato-banh-quydo-an-vat-sieu-ngon-shop-haimy-i2704723757.html</v>
      </c>
      <c r="C5693" s="10" t="s">
        <v>5693</v>
      </c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>
      <c r="A5694" s="8">
        <v>10548.0</v>
      </c>
      <c r="B5694" s="9" t="str">
        <f>HYPERLINK("https://www.lazada.vn/products/bo-suu-tap-trai-cay-kho-eastern-orchard-dried-banana-chips-250g-tui-da-nang-qua-an-nhe-vo-nhua-trung-quoc-dai-luc-i2923557947.html", "https://www.lazada.vn/products/bo-suu-tap-trai-cay-kho-eastern-orchard-dried-banana-chips-250g-tui-da-nang-qua-an-nhe-vo-nhua-trung-quoc-dai-luc-i2923557947.html")</f>
        <v>https://www.lazada.vn/products/bo-suu-tap-trai-cay-kho-eastern-orchard-dried-banana-chips-250g-tui-da-nang-qua-an-nhe-vo-nhua-trung-quoc-dai-luc-i2923557947.html</v>
      </c>
      <c r="C5694" s="10" t="s">
        <v>5694</v>
      </c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>
      <c r="A5695" s="8">
        <v>10549.0</v>
      </c>
      <c r="B5695" s="9" t="str">
        <f>HYPERLINK("https://www.lazada.vn/products/combo-30-goi-tra-dong-trung-tu-vi-tao-do-long-nhan-ky-tu-nam-dong-trung-ha-thao-i2666401695.html", "https://www.lazada.vn/products/combo-30-goi-tra-dong-trung-tu-vi-tao-do-long-nhan-ky-tu-nam-dong-trung-ha-thao-i2666401695.html")</f>
        <v>https://www.lazada.vn/products/combo-30-goi-tra-dong-trung-tu-vi-tao-do-long-nhan-ky-tu-nam-dong-trung-ha-thao-i2666401695.html</v>
      </c>
      <c r="C5695" s="10" t="s">
        <v>5695</v>
      </c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>
      <c r="A5696" s="8">
        <v>10550.0</v>
      </c>
      <c r="B5696" s="9" t="str">
        <f>HYPERLINK("https://www.lazada.vn/products/thach-trai-cay-minion-goi-840gr-24-cai-thach-dua-cho-be-thach-rau-cau-do-an-vat-ruvask-i2362275335.html", "https://www.lazada.vn/products/thach-trai-cay-minion-goi-840gr-24-cai-thach-dua-cho-be-thach-rau-cau-do-an-vat-ruvask-i2362275335.html")</f>
        <v>https://www.lazada.vn/products/thach-trai-cay-minion-goi-840gr-24-cai-thach-dua-cho-be-thach-rau-cau-do-an-vat-ruvask-i2362275335.html</v>
      </c>
      <c r="C5696" s="10" t="s">
        <v>5696</v>
      </c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>
      <c r="A5697" s="8">
        <v>10551.0</v>
      </c>
      <c r="B5697" s="9" t="str">
        <f>HYPERLINK("https://www.lazada.vn/products/bot-cu-ngai-den-chong-doc-hu-150g-ngai-den-chong-doc-cao-trung-son-i2668289490.html", "https://www.lazada.vn/products/bot-cu-ngai-den-chong-doc-hu-150g-ngai-den-chong-doc-cao-trung-son-i2668289490.html")</f>
        <v>https://www.lazada.vn/products/bot-cu-ngai-den-chong-doc-hu-150g-ngai-den-chong-doc-cao-trung-son-i2668289490.html</v>
      </c>
      <c r="C5697" s="10" t="s">
        <v>5697</v>
      </c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>
      <c r="A5698" s="8">
        <v>10552.0</v>
      </c>
      <c r="B5698" s="9" t="str">
        <f>HYPERLINK("https://www.lazada.vn/products/combo-2-chai-ruou-vodka-absolut-nong-do-alc-400-700ml-vodka-absolut-nong-do-alc-400-375ml-khong-kem-hop-i2641824565.html", "https://www.lazada.vn/products/combo-2-chai-ruou-vodka-absolut-nong-do-alc-400-700ml-vodka-absolut-nong-do-alc-400-375ml-khong-kem-hop-i2641824565.html")</f>
        <v>https://www.lazada.vn/products/combo-2-chai-ruou-vodka-absolut-nong-do-alc-400-700ml-vodka-absolut-nong-do-alc-400-375ml-khong-kem-hop-i2641824565.html</v>
      </c>
      <c r="C5698" s="10" t="s">
        <v>5698</v>
      </c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>
      <c r="A5699" s="8">
        <v>10553.0</v>
      </c>
      <c r="B5699" s="9" t="str">
        <f>HYPERLINK("https://www.lazada.vn/products/nuoc-kvass-15ml-nhap-khau-nga-i2758058595.html", "https://www.lazada.vn/products/nuoc-kvass-15ml-nhap-khau-nga-i2758058595.html")</f>
        <v>https://www.lazada.vn/products/nuoc-kvass-15ml-nhap-khau-nga-i2758058595.html</v>
      </c>
      <c r="C5699" s="10" t="s">
        <v>5699</v>
      </c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>
      <c r="A5700" s="8">
        <v>10554.0</v>
      </c>
      <c r="B5700" s="9" t="str">
        <f>HYPERLINK("https://www.lazada.vn/products/bia-la-trappe-isidor-75-nhap-khau-ha-lan-1-chai-330ml-i2928526668.html", "https://www.lazada.vn/products/bia-la-trappe-isidor-75-nhap-khau-ha-lan-1-chai-330ml-i2928526668.html")</f>
        <v>https://www.lazada.vn/products/bia-la-trappe-isidor-75-nhap-khau-ha-lan-1-chai-330ml-i2928526668.html</v>
      </c>
      <c r="C5700" s="10" t="s">
        <v>5700</v>
      </c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>
      <c r="A5701" s="8">
        <v>10555.0</v>
      </c>
      <c r="B5701" s="9" t="str">
        <f>HYPERLINK("https://www.lazada.vn/products/jim-beam-black-extra-aged-bourbon-whiskey-my-750ml-i2928301825.html", "https://www.lazada.vn/products/jim-beam-black-extra-aged-bourbon-whiskey-my-750ml-i2928301825.html")</f>
        <v>https://www.lazada.vn/products/jim-beam-black-extra-aged-bourbon-whiskey-my-750ml-i2928301825.html</v>
      </c>
      <c r="C5701" s="10" t="s">
        <v>5701</v>
      </c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>
      <c r="A5702" s="8">
        <v>10556.0</v>
      </c>
      <c r="B5702" s="9" t="str">
        <f>HYPERLINK("https://www.lazada.vn/products/mi-an-lien-huu-co-co-trung-alb-gold-250g-i633324508.html", "https://www.lazada.vn/products/mi-an-lien-huu-co-co-trung-alb-gold-250g-i633324508.html")</f>
        <v>https://www.lazada.vn/products/mi-an-lien-huu-co-co-trung-alb-gold-250g-i633324508.html</v>
      </c>
      <c r="C5702" s="10" t="s">
        <v>5702</v>
      </c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>
      <c r="A5703" s="8">
        <v>10557.0</v>
      </c>
      <c r="B5703" s="9" t="str">
        <f>HYPERLINK("https://www.lazada.vn/products/mam-ruoc-nau-bun-bo-hue-loai-1500-gram-i1912379806.html", "https://www.lazada.vn/products/mam-ruoc-nau-bun-bo-hue-loai-1500-gram-i1912379806.html")</f>
        <v>https://www.lazada.vn/products/mam-ruoc-nau-bun-bo-hue-loai-1500-gram-i1912379806.html</v>
      </c>
      <c r="C5703" s="10" t="s">
        <v>5703</v>
      </c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>
      <c r="A5704" s="8">
        <v>10558.0</v>
      </c>
      <c r="B5704" s="9" t="str">
        <f>HYPERLINK("https://www.lazada.vn/products/ca-phe-trung-nguyen-pha-phin-chu-i-khat-vong-khoi-ngiep-bich-500gr-i2680091487.html", "https://www.lazada.vn/products/ca-phe-trung-nguyen-pha-phin-chu-i-khat-vong-khoi-ngiep-bich-500gr-i2680091487.html")</f>
        <v>https://www.lazada.vn/products/ca-phe-trung-nguyen-pha-phin-chu-i-khat-vong-khoi-ngiep-bich-500gr-i2680091487.html</v>
      </c>
      <c r="C5704" s="10" t="s">
        <v>5704</v>
      </c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>
      <c r="A5705" s="8">
        <v>10559.0</v>
      </c>
      <c r="B5705" s="9" t="str">
        <f>HYPERLINK("https://www.lazada.vn/products/date-42025-giao-hoa-toc-bia-heineken-ha-lan-bom-5-lit-i2864714927.html", "https://www.lazada.vn/products/date-42025-giao-hoa-toc-bia-heineken-ha-lan-bom-5-lit-i2864714927.html")</f>
        <v>https://www.lazada.vn/products/date-42025-giao-hoa-toc-bia-heineken-ha-lan-bom-5-lit-i2864714927.html</v>
      </c>
      <c r="C5705" s="10" t="s">
        <v>5705</v>
      </c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>
      <c r="A5706" s="8">
        <v>10560.0</v>
      </c>
      <c r="B5706" s="9" t="str">
        <f>HYPERLINK("https://www.lazada.vn/products/hcmthung-24-lon-sua-milo-24-x-240ml-i1848248671.html", "https://www.lazada.vn/products/hcmthung-24-lon-sua-milo-24-x-240ml-i1848248671.html")</f>
        <v>https://www.lazada.vn/products/hcmthung-24-lon-sua-milo-24-x-240ml-i1848248671.html</v>
      </c>
      <c r="C5706" s="10" t="s">
        <v>5706</v>
      </c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>
      <c r="A5707" s="8">
        <v>10561.0</v>
      </c>
      <c r="B5707" s="9" t="str">
        <f>HYPERLINK("https://www.lazada.vn/products/chinesefoodtuong-dau-tu-xuyen-hop-500g-i1737955738.html", "https://www.lazada.vn/products/chinesefoodtuong-dau-tu-xuyen-hop-500g-i1737955738.html")</f>
        <v>https://www.lazada.vn/products/chinesefoodtuong-dau-tu-xuyen-hop-500g-i1737955738.html</v>
      </c>
      <c r="C5707" s="10" t="s">
        <v>5707</v>
      </c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>
      <c r="A5708" s="8">
        <v>10562.0</v>
      </c>
      <c r="B5708" s="9" t="str">
        <f>HYPERLINK("https://www.lazada.vn/products/mi-an-lien-huu-co-khong-trung-alb-gold-250g-i633310598.html", "https://www.lazada.vn/products/mi-an-lien-huu-co-khong-trung-alb-gold-250g-i633310598.html")</f>
        <v>https://www.lazada.vn/products/mi-an-lien-huu-co-khong-trung-alb-gold-250g-i633310598.html</v>
      </c>
      <c r="C5708" s="10" t="s">
        <v>5708</v>
      </c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>
      <c r="A5709" s="8">
        <v>10563.0</v>
      </c>
      <c r="B5709" s="9" t="str">
        <f>HYPERLINK("https://www.lazada.vn/products/chinesefoodma-1911fmcgsale-giam-8-don-500k-dui-ga-tu-xuyen-thuong-hang-38g-i1737952816.html", "https://www.lazada.vn/products/chinesefoodma-1911fmcgsale-giam-8-don-500k-dui-ga-tu-xuyen-thuong-hang-38g-i1737952816.html")</f>
        <v>https://www.lazada.vn/products/chinesefoodma-1911fmcgsale-giam-8-don-500k-dui-ga-tu-xuyen-thuong-hang-38g-i1737952816.html</v>
      </c>
      <c r="C5709" s="10" t="s">
        <v>5709</v>
      </c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>
      <c r="A5710" s="8">
        <v>10564.0</v>
      </c>
      <c r="B5710" s="9" t="str">
        <f>HYPERLINK("https://www.lazada.vn/products/keo-bo-huc-redbull-thai-lan-i2723993554.html", "https://www.lazada.vn/products/keo-bo-huc-redbull-thai-lan-i2723993554.html")</f>
        <v>https://www.lazada.vn/products/keo-bo-huc-redbull-thai-lan-i2723993554.html</v>
      </c>
      <c r="C5710" s="10" t="s">
        <v>5710</v>
      </c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>
      <c r="A5711" s="8">
        <v>10565.0</v>
      </c>
      <c r="B5711" s="9" t="str">
        <f>HYPERLINK("https://www.lazada.vn/products/ca-vien-tan-viet-sin-bich-500gr-giao-tphcm-i3036101742.html", "https://www.lazada.vn/products/ca-vien-tan-viet-sin-bich-500gr-giao-tphcm-i3036101742.html")</f>
        <v>https://www.lazada.vn/products/ca-vien-tan-viet-sin-bich-500gr-giao-tphcm-i3036101742.html</v>
      </c>
      <c r="C5711" s="10" t="s">
        <v>5711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>
      <c r="A5712" s="8">
        <v>10566.0</v>
      </c>
      <c r="B5712" s="9" t="str">
        <f>HYPERLINK("https://www.lazada.vn/products/siro-khoai-mon-vina-chai-750ml-i2507279591.html", "https://www.lazada.vn/products/siro-khoai-mon-vina-chai-750ml-i2507279591.html")</f>
        <v>https://www.lazada.vn/products/siro-khoai-mon-vina-chai-750ml-i2507279591.html</v>
      </c>
      <c r="C5712" s="10" t="s">
        <v>5712</v>
      </c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>
      <c r="A5713" s="8">
        <v>10567.0</v>
      </c>
      <c r="B5713" s="9" t="str">
        <f>HYPERLINK("https://www.lazada.vn/products/vang-y-dal-vulcano-aglianico-i2609149115.html", "https://www.lazada.vn/products/vang-y-dal-vulcano-aglianico-i2609149115.html")</f>
        <v>https://www.lazada.vn/products/vang-y-dal-vulcano-aglianico-i2609149115.html</v>
      </c>
      <c r="C5713" s="10" t="s">
        <v>5713</v>
      </c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>
      <c r="A5714" s="8">
        <v>10568.0</v>
      </c>
      <c r="B5714" s="9" t="str">
        <f>HYPERLINK("https://www.lazada.vn/products/200g-keo-socola-nhan-hat-de_-loai-ngon_hang-viet-thai-i2908410783.html", "https://www.lazada.vn/products/200g-keo-socola-nhan-hat-de_-loai-ngon_hang-viet-thai-i2908410783.html")</f>
        <v>https://www.lazada.vn/products/200g-keo-socola-nhan-hat-de_-loai-ngon_hang-viet-thai-i2908410783.html</v>
      </c>
      <c r="C5714" s="10" t="s">
        <v>5714</v>
      </c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>
      <c r="A5715" s="8">
        <v>10569.0</v>
      </c>
      <c r="B5715" s="9" t="str">
        <f>HYPERLINK("https://www.lazada.vn/products/combo-2-goi-snack-mi-tom-enaak-tre-em-vi-ga-truyen-thong-30g-m04-beegin-food-i2482896539.html", "https://www.lazada.vn/products/combo-2-goi-snack-mi-tom-enaak-tre-em-vi-ga-truyen-thong-30g-m04-beegin-food-i2482896539.html")</f>
        <v>https://www.lazada.vn/products/combo-2-goi-snack-mi-tom-enaak-tre-em-vi-ga-truyen-thong-30g-m04-beegin-food-i2482896539.html</v>
      </c>
      <c r="C5715" s="10" t="s">
        <v>5715</v>
      </c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>
      <c r="A5716" s="8">
        <v>10570.0</v>
      </c>
      <c r="B5716" s="9" t="str">
        <f>HYPERLINK("https://www.lazada.vn/products/jameson-750ml-i2416588678.html", "https://www.lazada.vn/products/jameson-750ml-i2416588678.html")</f>
        <v>https://www.lazada.vn/products/jameson-750ml-i2416588678.html</v>
      </c>
      <c r="C5716" s="10" t="s">
        <v>5716</v>
      </c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>
      <c r="A5717" s="8">
        <v>10571.0</v>
      </c>
      <c r="B5717" s="9" t="str">
        <f>HYPERLINK("https://www.lazada.vn/products/banh-quy-trung-bo-tik-tok-hop-120g-00252-vi-bo-sua-capochino-i1522536899.html", "https://www.lazada.vn/products/banh-quy-trung-bo-tik-tok-hop-120g-00252-vi-bo-sua-capochino-i1522536899.html")</f>
        <v>https://www.lazada.vn/products/banh-quy-trung-bo-tik-tok-hop-120g-00252-vi-bo-sua-capochino-i1522536899.html</v>
      </c>
      <c r="C5717" s="10" t="s">
        <v>5717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>
      <c r="A5718" s="8">
        <v>10572.0</v>
      </c>
      <c r="B5718" s="9" t="str">
        <f>HYPERLINK("https://www.lazada.vn/products/banh-gau-nhan-socola-thai-lan-siam-foods-polly-polar-biscuit-with-chocolate-cream-hop-thiec-350g-i2881680067.html", "https://www.lazada.vn/products/banh-gau-nhan-socola-thai-lan-siam-foods-polly-polar-biscuit-with-chocolate-cream-hop-thiec-350g-i2881680067.html")</f>
        <v>https://www.lazada.vn/products/banh-gau-nhan-socola-thai-lan-siam-foods-polly-polar-biscuit-with-chocolate-cream-hop-thiec-350g-i2881680067.html</v>
      </c>
      <c r="C5718" s="10" t="s">
        <v>5718</v>
      </c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>
      <c r="A5719" s="8">
        <v>10573.0</v>
      </c>
      <c r="B5719" s="9" t="str">
        <f>HYPERLINK("https://www.lazada.vn/products/cha-sua-nam-bao-ngu-chay-diem-trang-cay-500ghang-lanh-ship-hoa-toc-trong-kg-tphcm-i2842042670.html", "https://www.lazada.vn/products/cha-sua-nam-bao-ngu-chay-diem-trang-cay-500ghang-lanh-ship-hoa-toc-trong-kg-tphcm-i2842042670.html")</f>
        <v>https://www.lazada.vn/products/cha-sua-nam-bao-ngu-chay-diem-trang-cay-500ghang-lanh-ship-hoa-toc-trong-kg-tphcm-i2842042670.html</v>
      </c>
      <c r="C5719" s="10" t="s">
        <v>5719</v>
      </c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>
      <c r="A5720" s="8">
        <v>10574.0</v>
      </c>
      <c r="B5720" s="9" t="str">
        <f>HYPERLINK("https://www.lazada.vn/products/set-tra-sua-olong-mang-cau-xiem-nau-duoc-12-ly-bep-cua-me-onici-set-nguyen-lieu-tra-sua-olong-kem-cong-thuc-nau-tien-loi-i2665361639.html", "https://www.lazada.vn/products/set-tra-sua-olong-mang-cau-xiem-nau-duoc-12-ly-bep-cua-me-onici-set-nguyen-lieu-tra-sua-olong-kem-cong-thuc-nau-tien-loi-i2665361639.html")</f>
        <v>https://www.lazada.vn/products/set-tra-sua-olong-mang-cau-xiem-nau-duoc-12-ly-bep-cua-me-onici-set-nguyen-lieu-tra-sua-olong-kem-cong-thuc-nau-tien-loi-i2665361639.html</v>
      </c>
      <c r="C5720" s="10" t="s">
        <v>5720</v>
      </c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>
      <c r="A5721" s="8">
        <v>10575.0</v>
      </c>
      <c r="B5721" s="9" t="str">
        <f>HYPERLINK("https://www.lazada.vn/products/1kg-thach-zaizai-duc-hanh-du-vi-i2359400049.html", "https://www.lazada.vn/products/1kg-thach-zaizai-duc-hanh-du-vi-i2359400049.html")</f>
        <v>https://www.lazada.vn/products/1kg-thach-zaizai-duc-hanh-du-vi-i2359400049.html</v>
      </c>
      <c r="C5721" s="10" t="s">
        <v>5721</v>
      </c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>
      <c r="A5722" s="8">
        <v>10576.0</v>
      </c>
      <c r="B5722" s="9" t="str">
        <f>HYPERLINK("https://www.lazada.vn/products/bot-rau-mapennywort-powder-viet-hiep-i2668266945.html", "https://www.lazada.vn/products/bot-rau-mapennywort-powder-viet-hiep-i2668266945.html")</f>
        <v>https://www.lazada.vn/products/bot-rau-mapennywort-powder-viet-hiep-i2668266945.html</v>
      </c>
      <c r="C5722" s="10" t="s">
        <v>5722</v>
      </c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>
      <c r="A5723" s="8">
        <v>10577.0</v>
      </c>
      <c r="B5723" s="9" t="str">
        <f>HYPERLINK("https://www.lazada.vn/products/strawberry-dried-freeze-dried-com-deo-kho-qua-hat-lon-trang-tri-baking-snack-qua-melon-dried-deo-kho-qua-dua-i2923555672.html", "https://www.lazada.vn/products/strawberry-dried-freeze-dried-com-deo-kho-qua-hat-lon-trang-tri-baking-snack-qua-melon-dried-deo-kho-qua-dua-i2923555672.html")</f>
        <v>https://www.lazada.vn/products/strawberry-dried-freeze-dried-com-deo-kho-qua-hat-lon-trang-tri-baking-snack-qua-melon-dried-deo-kho-qua-dua-i2923555672.html</v>
      </c>
      <c r="C5723" s="10" t="s">
        <v>5723</v>
      </c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>
      <c r="A5724" s="8">
        <v>10578.0</v>
      </c>
      <c r="B5724" s="9" t="str">
        <f>HYPERLINK("https://www.lazada.vn/products/thom-ngon-banh-khoai-tay-potato-hoang-gia-thom-ngon-do-an-vat-shop-haimy-i2704686880.html", "https://www.lazada.vn/products/thom-ngon-banh-khoai-tay-potato-hoang-gia-thom-ngon-do-an-vat-shop-haimy-i2704686880.html")</f>
        <v>https://www.lazada.vn/products/thom-ngon-banh-khoai-tay-potato-hoang-gia-thom-ngon-do-an-vat-shop-haimy-i2704686880.html</v>
      </c>
      <c r="C5724" s="10" t="s">
        <v>5724</v>
      </c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>
      <c r="A5725" s="8">
        <v>10579.0</v>
      </c>
      <c r="B5725" s="9" t="str">
        <f>HYPERLINK("https://www.lazada.vn/products/ruou-lua-moi-halico-nong-do-40-chai-250ml-khong-kem-hop-i2614517324.html", "https://www.lazada.vn/products/ruou-lua-moi-halico-nong-do-40-chai-250ml-khong-kem-hop-i2614517324.html")</f>
        <v>https://www.lazada.vn/products/ruou-lua-moi-halico-nong-do-40-chai-250ml-khong-kem-hop-i2614517324.html</v>
      </c>
      <c r="C5725" s="10" t="s">
        <v>5725</v>
      </c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>
      <c r="A5726" s="8">
        <v>10580.0</v>
      </c>
      <c r="B5726" s="9" t="str">
        <f>HYPERLINK("https://www.lazada.vn/products/nhau-ngam-duong-cat-mat-mia-1kg-i2757927093.html", "https://www.lazada.vn/products/nhau-ngam-duong-cat-mat-mia-1kg-i2757927093.html")</f>
        <v>https://www.lazada.vn/products/nhau-ngam-duong-cat-mat-mia-1kg-i2757927093.html</v>
      </c>
      <c r="C5726" s="10" t="s">
        <v>5726</v>
      </c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>
      <c r="A5727" s="8">
        <v>10581.0</v>
      </c>
      <c r="B5727" s="9" t="str">
        <f>HYPERLINK("https://www.lazada.vn/products/nhap-rs0822-giam-30k-cho-don-99kmam-ca-ro-500-gram-i1910727250.html", "https://www.lazada.vn/products/nhap-rs0822-giam-30k-cho-don-99kmam-ca-ro-500-gram-i1910727250.html")</f>
        <v>https://www.lazada.vn/products/nhap-rs0822-giam-30k-cho-don-99kmam-ca-ro-500-gram-i1910727250.html</v>
      </c>
      <c r="C5727" s="10" t="s">
        <v>5727</v>
      </c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>
      <c r="A5728" s="8">
        <v>10582.0</v>
      </c>
      <c r="B5728" s="9" t="str">
        <f>HYPERLINK("https://www.lazada.vn/products/combo-2-thung-15-lon-bia-budweiser-partypack-chinh-hang-250mllon-i2924841239.html", "https://www.lazada.vn/products/combo-2-thung-15-lon-bia-budweiser-partypack-chinh-hang-250mllon-i2924841239.html")</f>
        <v>https://www.lazada.vn/products/combo-2-thung-15-lon-bia-budweiser-partypack-chinh-hang-250mllon-i2924841239.html</v>
      </c>
      <c r="C5728" s="10" t="s">
        <v>5728</v>
      </c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>
      <c r="A5729" s="8">
        <v>10583.0</v>
      </c>
      <c r="B5729" s="9" t="str">
        <f>HYPERLINK("https://www.lazada.vn/products/hop-cafe-g7-21-goi-date-moi-i2678569600.html", "https://www.lazada.vn/products/hop-cafe-g7-21-goi-date-moi-i2678569600.html")</f>
        <v>https://www.lazada.vn/products/hop-cafe-g7-21-goi-date-moi-i2678569600.html</v>
      </c>
      <c r="C5729" s="10" t="s">
        <v>5729</v>
      </c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>
      <c r="A5730" s="8">
        <v>10584.0</v>
      </c>
      <c r="B5730" s="9" t="str">
        <f>HYPERLINK("https://www.lazada.vn/products/giao-hoa-toc-bia-heineken-ha-lan-bom-5-lit-bia-ken-boom-i2860116360.html", "https://www.lazada.vn/products/giao-hoa-toc-bia-heineken-ha-lan-bom-5-lit-bia-ken-boom-i2860116360.html")</f>
        <v>https://www.lazada.vn/products/giao-hoa-toc-bia-heineken-ha-lan-bom-5-lit-bia-ken-boom-i2860116360.html</v>
      </c>
      <c r="C5730" s="10" t="s">
        <v>5730</v>
      </c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>
      <c r="A5731" s="8">
        <v>10585.0</v>
      </c>
      <c r="B5731" s="9" t="str">
        <f>HYPERLINK("https://www.lazada.vn/products/tra-sua-chocolate-hoa-tan-aik-cheong-chocolate-cafe-art-malaysia-goi-nho-40g-i1842631690.html", "https://www.lazada.vn/products/tra-sua-chocolate-hoa-tan-aik-cheong-chocolate-cafe-art-malaysia-goi-nho-40g-i1842631690.html")</f>
        <v>https://www.lazada.vn/products/tra-sua-chocolate-hoa-tan-aik-cheong-chocolate-cafe-art-malaysia-goi-nho-40g-i1842631690.html</v>
      </c>
      <c r="C5731" s="10" t="s">
        <v>5731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>
      <c r="A5732" s="8">
        <v>10586.0</v>
      </c>
      <c r="B5732" s="9" t="str">
        <f>HYPERLINK("https://www.lazada.vn/products/chinesefoodhang-hot1goi-thit-cay-cuon-sun-thit-cay-cuon-ca-goi-20g-i1737948746.html", "https://www.lazada.vn/products/chinesefoodhang-hot1goi-thit-cay-cuon-sun-thit-cay-cuon-ca-goi-20g-i1737948746.html")</f>
        <v>https://www.lazada.vn/products/chinesefoodhang-hot1goi-thit-cay-cuon-sun-thit-cay-cuon-ca-goi-20g-i1737948746.html</v>
      </c>
      <c r="C5732" s="10" t="s">
        <v>5732</v>
      </c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>
      <c r="A5733" s="8">
        <v>10587.0</v>
      </c>
      <c r="B5733" s="9" t="str">
        <f>HYPERLINK("https://www.lazada.vn/products/combo-5-bich-hat-chia-uc-black-bag-chia-500g-gia-nhiet-giam-can-i527136184.html", "https://www.lazada.vn/products/combo-5-bich-hat-chia-uc-black-bag-chia-500g-gia-nhiet-giam-can-i527136184.html")</f>
        <v>https://www.lazada.vn/products/combo-5-bich-hat-chia-uc-black-bag-chia-500g-gia-nhiet-giam-can-i527136184.html</v>
      </c>
      <c r="C5733" s="10" t="s">
        <v>5733</v>
      </c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>
      <c r="A5734" s="8">
        <v>10588.0</v>
      </c>
      <c r="B5734" s="9" t="str">
        <f>HYPERLINK("https://www.lazada.vn/products/keo-sam-thach-deo-hong-sam-korean-red-ginseng-jelly-evergreen-food-han-quoc-280g-i2723607192.html", "https://www.lazada.vn/products/keo-sam-thach-deo-hong-sam-korean-red-ginseng-jelly-evergreen-food-han-quoc-280g-i2723607192.html")</f>
        <v>https://www.lazada.vn/products/keo-sam-thach-deo-hong-sam-korean-red-ginseng-jelly-evergreen-food-han-quoc-280g-i2723607192.html</v>
      </c>
      <c r="C5734" s="10" t="s">
        <v>5734</v>
      </c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>
      <c r="A5735" s="8">
        <v>10589.0</v>
      </c>
      <c r="B5735" s="9" t="str">
        <f>HYPERLINK("https://www.lazada.vn/products/hotdog-xuc-xich-pho-mai-6-cay-bich-500gr-giao-tphcm-i3036083854.html", "https://www.lazada.vn/products/hotdog-xuc-xich-pho-mai-6-cay-bich-500gr-giao-tphcm-i3036083854.html")</f>
        <v>https://www.lazada.vn/products/hotdog-xuc-xich-pho-mai-6-cay-bich-500gr-giao-tphcm-i3036083854.html</v>
      </c>
      <c r="C5735" s="10" t="s">
        <v>5735</v>
      </c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>
      <c r="A5736" s="8">
        <v>10590.0</v>
      </c>
      <c r="B5736" s="9" t="str">
        <f>HYPERLINK("https://www.lazada.vn/products/siro-ho-cao-ty-ba-thai-lan-75ml150ml-i2506617506.html", "https://www.lazada.vn/products/siro-ho-cao-ty-ba-thai-lan-75ml150ml-i2506617506.html")</f>
        <v>https://www.lazada.vn/products/siro-ho-cao-ty-ba-thai-lan-75ml150ml-i2506617506.html</v>
      </c>
      <c r="C5736" s="10" t="s">
        <v>5736</v>
      </c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>
      <c r="A5737" s="8">
        <v>10591.0</v>
      </c>
      <c r="B5737" s="9" t="str">
        <f>HYPERLINK("https://www.lazada.vn/products/vang-mini-albali-reserva-tempranillo-375ml-i2609094834.html", "https://www.lazada.vn/products/vang-mini-albali-reserva-tempranillo-375ml-i2609094834.html")</f>
        <v>https://www.lazada.vn/products/vang-mini-albali-reserva-tempranillo-375ml-i2609094834.html</v>
      </c>
      <c r="C5737" s="10" t="s">
        <v>5737</v>
      </c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>
      <c r="A5738" s="8">
        <v>10592.0</v>
      </c>
      <c r="B5738" s="9" t="str">
        <f>HYPERLINK("https://www.lazada.vn/products/keo-socola-nhan-hat-de_-loai-ngon_hang-viet-thai-i2908378915.html", "https://www.lazada.vn/products/keo-socola-nhan-hat-de_-loai-ngon_hang-viet-thai-i2908378915.html")</f>
        <v>https://www.lazada.vn/products/keo-socola-nhan-hat-de_-loai-ngon_hang-viet-thai-i2908378915.html</v>
      </c>
      <c r="C5738" s="10" t="s">
        <v>5738</v>
      </c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>
      <c r="A5739" s="8">
        <v>10593.0</v>
      </c>
      <c r="B5739" s="9" t="str">
        <f>HYPERLINK("https://www.lazada.vn/products/combo-5-goi-snack-mi-tom-enaak-tre-em-vi-ga-truyen-thong-30g-m04-beegin-food-i2482837946.html", "https://www.lazada.vn/products/combo-5-goi-snack-mi-tom-enaak-tre-em-vi-ga-truyen-thong-30g-m04-beegin-food-i2482837946.html")</f>
        <v>https://www.lazada.vn/products/combo-5-goi-snack-mi-tom-enaak-tre-em-vi-ga-truyen-thong-30g-m04-beegin-food-i2482837946.html</v>
      </c>
      <c r="C5739" s="10" t="s">
        <v>5739</v>
      </c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>
      <c r="A5740" s="8">
        <v>10594.0</v>
      </c>
      <c r="B5740" s="9" t="str">
        <f>HYPERLINK("https://www.lazada.vn/products/gia-si-100k-combo-5-goi-com-chay-sieu-cha-bong-100k-5-goi-i2482439394.html", "https://www.lazada.vn/products/gia-si-100k-combo-5-goi-com-chay-sieu-cha-bong-100k-5-goi-i2482439394.html")</f>
        <v>https://www.lazada.vn/products/gia-si-100k-combo-5-goi-com-chay-sieu-cha-bong-100k-5-goi-i2482439394.html</v>
      </c>
      <c r="C5740" s="10" t="s">
        <v>5740</v>
      </c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>
      <c r="A5741" s="8">
        <v>10595.0</v>
      </c>
      <c r="B5741" s="9" t="str">
        <f>HYPERLINK("https://www.lazada.vn/products/banh-cracker-gion-pho-mai-truyen-thong-cheez-it-original-cheese-crackers-hop-198g-7-oz-i1509404330.html", "https://www.lazada.vn/products/banh-cracker-gion-pho-mai-truyen-thong-cheez-it-original-cheese-crackers-hop-198g-7-oz-i1509404330.html")</f>
        <v>https://www.lazada.vn/products/banh-cracker-gion-pho-mai-truyen-thong-cheez-it-original-cheese-crackers-hop-198g-7-oz-i1509404330.html</v>
      </c>
      <c r="C5741" s="10" t="s">
        <v>5741</v>
      </c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>
      <c r="A5742" s="8">
        <v>10596.0</v>
      </c>
      <c r="B5742" s="9" t="str">
        <f>HYPERLINK("https://www.lazada.vn/products/banh-kep-ong-kem-250g-500g-i2881507067.html", "https://www.lazada.vn/products/banh-kep-ong-kem-250g-500g-i2881507067.html")</f>
        <v>https://www.lazada.vn/products/banh-kep-ong-kem-250g-500g-i2881507067.html</v>
      </c>
      <c r="C5742" s="10" t="s">
        <v>5742</v>
      </c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>
      <c r="A5743" s="8">
        <v>10597.0</v>
      </c>
      <c r="B5743" s="9" t="str">
        <f>HYPERLINK("https://www.lazada.vn/products/nuoc-ion-kiem-dong-chai-mira-tav-ph9-nuoc-uong-hang-ngay-giau-khoang-chat-an-toan-suc-khoe-i2411801300.html", "https://www.lazada.vn/products/nuoc-ion-kiem-dong-chai-mira-tav-ph9-nuoc-uong-hang-ngay-giau-khoang-chat-an-toan-suc-khoe-i2411801300.html")</f>
        <v>https://www.lazada.vn/products/nuoc-ion-kiem-dong-chai-mira-tav-ph9-nuoc-uong-hang-ngay-giau-khoang-chat-an-toan-suc-khoe-i2411801300.html</v>
      </c>
      <c r="C5743" s="10" t="s">
        <v>5743</v>
      </c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>
      <c r="A5744" s="8">
        <v>10598.0</v>
      </c>
      <c r="B5744" s="9" t="str">
        <f>HYPERLINK("https://www.lazada.vn/products/set-5-goi-bun-bo-hue-bun-gio-heo-bun-tom-vifon-65gr-goi-i2840987600.html", "https://www.lazada.vn/products/set-5-goi-bun-bo-hue-bun-gio-heo-bun-tom-vifon-65gr-goi-i2840987600.html")</f>
        <v>https://www.lazada.vn/products/set-5-goi-bun-bo-hue-bun-gio-heo-bun-tom-vifon-65gr-goi-i2840987600.html</v>
      </c>
      <c r="C5744" s="10" t="s">
        <v>5744</v>
      </c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>
      <c r="A5745" s="8">
        <v>10599.0</v>
      </c>
      <c r="B5745" s="9" t="str">
        <f>HYPERLINK("https://www.lazada.vn/products/banh-biscotti-nguyen-cam-an-kieng-tuna-250g-i1508188077.html", "https://www.lazada.vn/products/banh-biscotti-nguyen-cam-an-kieng-tuna-250g-i1508188077.html")</f>
        <v>https://www.lazada.vn/products/banh-biscotti-nguyen-cam-an-kieng-tuna-250g-i1508188077.html</v>
      </c>
      <c r="C5745" s="10" t="s">
        <v>5745</v>
      </c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>
      <c r="A5746" s="8">
        <v>10600.0</v>
      </c>
      <c r="B5746" s="9" t="str">
        <f>HYPERLINK("https://www.lazada.vn/products/banh-kep-ca-cao-xuat-khau-gia-si-250g-500g-1-kg-i2881462175.html", "https://www.lazada.vn/products/banh-kep-ca-cao-xuat-khau-gia-si-250g-500g-1-kg-i2881462175.html")</f>
        <v>https://www.lazada.vn/products/banh-kep-ca-cao-xuat-khau-gia-si-250g-500g-1-kg-i2881462175.html</v>
      </c>
      <c r="C5746" s="10" t="s">
        <v>5746</v>
      </c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>
      <c r="A5747" s="8">
        <v>10601.0</v>
      </c>
      <c r="B5747" s="9" t="str">
        <f>HYPERLINK("https://www.lazada.vn/products/set-5-goi-banh-da-cua-banh-da-tom-bun-rieu-cua-vifon-i2840917799.html", "https://www.lazada.vn/products/set-5-goi-banh-da-cua-banh-da-tom-bun-rieu-cua-vifon-i2840917799.html")</f>
        <v>https://www.lazada.vn/products/set-5-goi-banh-da-cua-banh-da-tom-bun-rieu-cua-vifon-i2840917799.html</v>
      </c>
      <c r="C5747" s="10" t="s">
        <v>5747</v>
      </c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>
      <c r="A5748" s="8">
        <v>10602.0</v>
      </c>
      <c r="B5748" s="9" t="str">
        <f>HYPERLINK("https://www.lazada.vn/products/5-phut-voi-tra-sua-hillway-co-ngay-ly-tra-sua-tuyet-ngon-i2665083078.html", "https://www.lazada.vn/products/5-phut-voi-tra-sua-hillway-co-ngay-ly-tra-sua-tuyet-ngon-i2665083078.html")</f>
        <v>https://www.lazada.vn/products/5-phut-voi-tra-sua-hillway-co-ngay-ly-tra-sua-tuyet-ngon-i2665083078.html</v>
      </c>
      <c r="C5748" s="10" t="s">
        <v>5748</v>
      </c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>
      <c r="A5749" s="8">
        <v>10603.0</v>
      </c>
      <c r="B5749" s="9" t="str">
        <f>HYPERLINK("https://www.lazada.vn/products/1kg-thach-zaizai-duc-hanh-vi-trai-cay-vi-tra-sua-dai-loai-moi-i2359345459.html", "https://www.lazada.vn/products/1kg-thach-zaizai-duc-hanh-vi-trai-cay-vi-tra-sua-dai-loai-moi-i2359345459.html")</f>
        <v>https://www.lazada.vn/products/1kg-thach-zaizai-duc-hanh-vi-trai-cay-vi-tra-sua-dai-loai-moi-i2359345459.html</v>
      </c>
      <c r="C5749" s="10" t="s">
        <v>5749</v>
      </c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>
      <c r="A5750" s="8">
        <v>10604.0</v>
      </c>
      <c r="B5750" s="9" t="str">
        <f>HYPERLINK("https://www.lazada.vn/products/bot-mam-lua-mach-non-grass-barley-44-goi-noi-dia-nhat-ban-thenewlife0909-i2667288368.html", "https://www.lazada.vn/products/bot-mam-lua-mach-non-grass-barley-44-goi-noi-dia-nhat-ban-thenewlife0909-i2667288368.html")</f>
        <v>https://www.lazada.vn/products/bot-mam-lua-mach-non-grass-barley-44-goi-noi-dia-nhat-ban-thenewlife0909-i2667288368.html</v>
      </c>
      <c r="C5750" s="10" t="s">
        <v>5750</v>
      </c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>
      <c r="A5751" s="8">
        <v>10605.0</v>
      </c>
      <c r="B5751" s="9" t="str">
        <f>HYPERLINK("https://www.lazada.vn/products/strawberry-dried-fruit-snack-baked-goods-snowflake-caramel-sugar-special-use-whole-particle-dried-fruit-aecoway-brand-i2923552893.html", "https://www.lazada.vn/products/strawberry-dried-fruit-snack-baked-goods-snowflake-caramel-sugar-special-use-whole-particle-dried-fruit-aecoway-brand-i2923552893.html")</f>
        <v>https://www.lazada.vn/products/strawberry-dried-fruit-snack-baked-goods-snowflake-caramel-sugar-special-use-whole-particle-dried-fruit-aecoway-brand-i2923552893.html</v>
      </c>
      <c r="C5751" s="10" t="s">
        <v>5751</v>
      </c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>
      <c r="A5752" s="8">
        <v>10606.0</v>
      </c>
      <c r="B5752" s="9" t="str">
        <f>HYPERLINK("https://www.lazada.vn/products/nhau-ngam-duong-phen-1kg-i2757916249.html", "https://www.lazada.vn/products/nhau-ngam-duong-phen-1kg-i2757916249.html")</f>
        <v>https://www.lazada.vn/products/nhau-ngam-duong-phen-1kg-i2757916249.html</v>
      </c>
      <c r="C5752" s="10" t="s">
        <v>5752</v>
      </c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>
      <c r="A5753" s="8">
        <v>10607.0</v>
      </c>
      <c r="B5753" s="9" t="str">
        <f>HYPERLINK("https://www.lazada.vn/products/khoai-tay-chien-naturals-vi-muoi-va-tieu-hieu-lorenz-100g-nhap-khau-duc-i2704542131.html", "https://www.lazada.vn/products/khoai-tay-chien-naturals-vi-muoi-va-tieu-hieu-lorenz-100g-nhap-khau-duc-i2704542131.html")</f>
        <v>https://www.lazada.vn/products/khoai-tay-chien-naturals-vi-muoi-va-tieu-hieu-lorenz-100g-nhap-khau-duc-i2704542131.html</v>
      </c>
      <c r="C5753" s="10" t="s">
        <v>5753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>
      <c r="A5754" s="8">
        <v>10608.0</v>
      </c>
      <c r="B5754" s="9" t="str">
        <f>HYPERLINK("https://www.lazada.vn/products/ruou-ha-noi-halico-nong-do-35-can-pe-4l-khong-kem-hop-i2614517134.html", "https://www.lazada.vn/products/ruou-ha-noi-halico-nong-do-35-can-pe-4l-khong-kem-hop-i2614517134.html")</f>
        <v>https://www.lazada.vn/products/ruou-ha-noi-halico-nong-do-35-can-pe-4l-khong-kem-hop-i2614517134.html</v>
      </c>
      <c r="C5754" s="10" t="s">
        <v>5754</v>
      </c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>
      <c r="A5755" s="8">
        <v>10609.0</v>
      </c>
      <c r="B5755" s="9" t="str">
        <f>HYPERLINK("https://www.lazada.vn/products/42025-giao-hoa-toc-bia-heineken-ha-lan-bom-5-lit-bia-ken-boom-i2860088455.html", "https://www.lazada.vn/products/42025-giao-hoa-toc-bia-heineken-ha-lan-bom-5-lit-bia-ken-boom-i2860088455.html")</f>
        <v>https://www.lazada.vn/products/42025-giao-hoa-toc-bia-heineken-ha-lan-bom-5-lit-bia-ken-boom-i2860088455.html</v>
      </c>
      <c r="C5755" s="10" t="s">
        <v>5755</v>
      </c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>
      <c r="A5756" s="8">
        <v>10610.0</v>
      </c>
      <c r="B5756" s="9" t="str">
        <f>HYPERLINK("https://www.lazada.vn/products/hop-cafe-g7-18-goi-date-moi-i2678565668.html", "https://www.lazada.vn/products/hop-cafe-g7-18-goi-date-moi-i2678565668.html")</f>
        <v>https://www.lazada.vn/products/hop-cafe-g7-18-goi-date-moi-i2678565668.html</v>
      </c>
      <c r="C5756" s="10" t="s">
        <v>5756</v>
      </c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>
      <c r="A5757" s="8">
        <v>10611.0</v>
      </c>
      <c r="B5757" s="9" t="str">
        <f>HYPERLINK("https://www.lazada.vn/products/bot-cacao-100-nguyen-chat-dak-lak-500g-i1831929270.html", "https://www.lazada.vn/products/bot-cacao-100-nguyen-chat-dak-lak-500g-i1831929270.html")</f>
        <v>https://www.lazada.vn/products/bot-cacao-100-nguyen-chat-dak-lak-500g-i1831929270.html</v>
      </c>
      <c r="C5757" s="10" t="s">
        <v>5757</v>
      </c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>
      <c r="A5758" s="8">
        <v>10612.0</v>
      </c>
      <c r="B5758" s="9" t="str">
        <f>HYPERLINK("https://www.lazada.vn/products/chinesefoodhot-hot-gia-vi-dau-sot-tu-xuyen-goi-80g-i1737931826.html", "https://www.lazada.vn/products/chinesefoodhot-hot-gia-vi-dau-sot-tu-xuyen-goi-80g-i1737931826.html")</f>
        <v>https://www.lazada.vn/products/chinesefoodhot-hot-gia-vi-dau-sot-tu-xuyen-goi-80g-i1737931826.html</v>
      </c>
      <c r="C5758" s="10" t="s">
        <v>5758</v>
      </c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>
      <c r="A5759" s="8">
        <v>10613.0</v>
      </c>
      <c r="B5759" s="9" t="str">
        <f>HYPERLINK("https://www.lazada.vn/products/mi-cay-samyang-140gr-1-goi-i527136182.html", "https://www.lazada.vn/products/mi-cay-samyang-140gr-1-goi-i527136182.html")</f>
        <v>https://www.lazada.vn/products/mi-cay-samyang-140gr-1-goi-i527136182.html</v>
      </c>
      <c r="C5759" s="10" t="s">
        <v>5759</v>
      </c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>
      <c r="A5760" s="8">
        <v>10614.0</v>
      </c>
      <c r="B5760" s="9" t="str">
        <f>HYPERLINK("https://www.lazada.vn/products/nhap-rs0822-giam-30k-cho-don-99knhap-rs0722-giam-30k-cho-don-99kmam-dua-gang-ngam-mam-nem-500gram-i1910492303.html", "https://www.lazada.vn/products/nhap-rs0822-giam-30k-cho-don-99knhap-rs0722-giam-30k-cho-don-99kmam-dua-gang-ngam-mam-nem-500gram-i1910492303.html")</f>
        <v>https://www.lazada.vn/products/nhap-rs0822-giam-30k-cho-don-99knhap-rs0722-giam-30k-cho-don-99kmam-dua-gang-ngam-mam-nem-500gram-i1910492303.html</v>
      </c>
      <c r="C5760" s="10" t="s">
        <v>5760</v>
      </c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>
      <c r="A5761" s="8">
        <v>10615.0</v>
      </c>
      <c r="B5761" s="9" t="str">
        <f>HYPERLINK("https://www.lazada.vn/products/keo-muoi-vi-trai-cay-hartbeat-goi-120g-i2721885821.html", "https://www.lazada.vn/products/keo-muoi-vi-trai-cay-hartbeat-goi-120g-i2721885821.html")</f>
        <v>https://www.lazada.vn/products/keo-muoi-vi-trai-cay-hartbeat-goi-120g-i2721885821.html</v>
      </c>
      <c r="C5761" s="10" t="s">
        <v>5761</v>
      </c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>
      <c r="A5762" s="8">
        <v>10616.0</v>
      </c>
      <c r="B5762" s="9" t="str">
        <f>HYPERLINK("https://www.lazada.vn/products/century-hop-do-170-ca-ngu-khuc-ngam-nuoc-muoi-philippines-tuna-chunks-in-water-halal-i3036043921.html", "https://www.lazada.vn/products/century-hop-do-170-ca-ngu-khuc-ngam-nuoc-muoi-philippines-tuna-chunks-in-water-halal-i3036043921.html")</f>
        <v>https://www.lazada.vn/products/century-hop-do-170-ca-ngu-khuc-ngam-nuoc-muoi-philippines-tuna-chunks-in-water-halal-i3036043921.html</v>
      </c>
      <c r="C5762" s="10" t="s">
        <v>5762</v>
      </c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>
      <c r="A5763" s="8">
        <v>10617.0</v>
      </c>
      <c r="B5763" s="9" t="str">
        <f>HYPERLINK("https://www.lazada.vn/products/chvs-13-extra-moi-i2506071525.html", "https://www.lazada.vn/products/chvs-13-extra-moi-i2506071525.html")</f>
        <v>https://www.lazada.vn/products/chvs-13-extra-moi-i2506071525.html</v>
      </c>
      <c r="C5763" s="10" t="s">
        <v>5763</v>
      </c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>
      <c r="A5764" s="8">
        <v>10618.0</v>
      </c>
      <c r="B5764" s="9" t="str">
        <f>HYPERLINK("https://www.lazada.vn/products/vang-casas-patronales-gran-reserva-cabernet-i2608924826.html", "https://www.lazada.vn/products/vang-casas-patronales-gran-reserva-cabernet-i2608924826.html")</f>
        <v>https://www.lazada.vn/products/vang-casas-patronales-gran-reserva-cabernet-i2608924826.html</v>
      </c>
      <c r="C5764" s="10" t="s">
        <v>5764</v>
      </c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>
      <c r="A5765" s="8">
        <v>10619.0</v>
      </c>
      <c r="B5765" s="9" t="str">
        <f>HYPERLINK("https://www.lazada.vn/products/socola-den-dang-nguyen-chat-khong-duong-100-yikanong-120g-an-vat-denfood-i2908364989.html", "https://www.lazada.vn/products/socola-den-dang-nguyen-chat-khong-duong-100-yikanong-120g-an-vat-denfood-i2908364989.html")</f>
        <v>https://www.lazada.vn/products/socola-den-dang-nguyen-chat-khong-duong-100-yikanong-120g-an-vat-denfood-i2908364989.html</v>
      </c>
      <c r="C5765" s="10" t="s">
        <v>5765</v>
      </c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>
      <c r="A5766" s="8">
        <v>10620.0</v>
      </c>
      <c r="B5766" s="9" t="str">
        <f>HYPERLINK("https://www.lazada.vn/products/banh-trang-muoi-beo-i2477878891.html", "https://www.lazada.vn/products/banh-trang-muoi-beo-i2477878891.html")</f>
        <v>https://www.lazada.vn/products/banh-trang-muoi-beo-i2477878891.html</v>
      </c>
      <c r="C5766" s="10" t="s">
        <v>5766</v>
      </c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>
      <c r="A5767" s="8">
        <v>10621.0</v>
      </c>
      <c r="B5767" s="9" t="str">
        <f>HYPERLINK("https://www.lazada.vn/products/banh-quy-konti-nga-kep-nhan-socola-cac-vi-i2881451664.html", "https://www.lazada.vn/products/banh-quy-konti-nga-kep-nhan-socola-cac-vi-i2881451664.html")</f>
        <v>https://www.lazada.vn/products/banh-quy-konti-nga-kep-nhan-socola-cac-vi-i2881451664.html</v>
      </c>
      <c r="C5767" s="10" t="s">
        <v>5767</v>
      </c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>
      <c r="A5768" s="8">
        <v>10622.0</v>
      </c>
      <c r="B5768" s="9" t="str">
        <f>HYPERLINK("https://www.lazada.vn/products/tui-300g500g-banh-hoa-mai-mix-hat-dinh-duong-vietfood-vi-mat-ong-thom-ngon-bo-duong-tot-cho-suc-khoe-snack-an-vat-i1507837247.html", "https://www.lazada.vn/products/tui-300g500g-banh-hoa-mai-mix-hat-dinh-duong-vietfood-vi-mat-ong-thom-ngon-bo-duong-tot-cho-suc-khoe-snack-an-vat-i1507837247.html")</f>
        <v>https://www.lazada.vn/products/tui-300g500g-banh-hoa-mai-mix-hat-dinh-duong-vietfood-vi-mat-ong-thom-ngon-bo-duong-tot-cho-suc-khoe-snack-an-vat-i1507837247.html</v>
      </c>
      <c r="C5768" s="10" t="s">
        <v>5768</v>
      </c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>
      <c r="A5769" s="8">
        <v>10623.0</v>
      </c>
      <c r="B5769" s="9" t="str">
        <f>HYPERLINK("https://www.lazada.vn/products/set-5-goi-mien-mang-vit-mien-suon-heo-mien-lau-thai-58grgoi-i2840911729.html", "https://www.lazada.vn/products/set-5-goi-mien-mang-vit-mien-suon-heo-mien-lau-thai-58grgoi-i2840911729.html")</f>
        <v>https://www.lazada.vn/products/set-5-goi-mien-mang-vit-mien-suon-heo-mien-lau-thai-58grgoi-i2840911729.html</v>
      </c>
      <c r="C5769" s="10" t="s">
        <v>5769</v>
      </c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>
      <c r="A5770" s="8">
        <v>10624.0</v>
      </c>
      <c r="B5770" s="9" t="str">
        <f>HYPERLINK("https://www.lazada.vn/products/100g-bot-max-pudding-6in1-thucphamcom-30-vi-lam-pudding-nung-ninh-thach-sua-flan-caramen-khuc-bach-panna-cotta-i2358160860.html", "https://www.lazada.vn/products/100g-bot-max-pudding-6in1-thucphamcom-30-vi-lam-pudding-nung-ninh-thach-sua-flan-caramen-khuc-bach-panna-cotta-i2358160860.html")</f>
        <v>https://www.lazada.vn/products/100g-bot-max-pudding-6in1-thucphamcom-30-vi-lam-pudding-nung-ninh-thach-sua-flan-caramen-khuc-bach-panna-cotta-i2358160860.html</v>
      </c>
      <c r="C5770" s="10" t="s">
        <v>5770</v>
      </c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>
      <c r="A5771" s="8">
        <v>10625.0</v>
      </c>
      <c r="B5771" s="9" t="str">
        <f>HYPERLINK("https://www.lazada.vn/products/100g-cao-son-duong-i2664934401.html", "https://www.lazada.vn/products/100g-cao-son-duong-i2664934401.html")</f>
        <v>https://www.lazada.vn/products/100g-cao-son-duong-i2664934401.html</v>
      </c>
      <c r="C5771" s="10" t="s">
        <v>5771</v>
      </c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>
      <c r="A5772" s="8">
        <v>10626.0</v>
      </c>
      <c r="B5772" s="9" t="str">
        <f>HYPERLINK("https://www.lazada.vn/products/strawberry-dried-freeze-100g-snack-fruit-dried-freeze-no-date-fig-mango-dry-fruit-raw-material-for-snowflake-crisp-i2923551578.html", "https://www.lazada.vn/products/strawberry-dried-freeze-100g-snack-fruit-dried-freeze-no-date-fig-mango-dry-fruit-raw-material-for-snowflake-crisp-i2923551578.html")</f>
        <v>https://www.lazada.vn/products/strawberry-dried-freeze-100g-snack-fruit-dried-freeze-no-date-fig-mango-dry-fruit-raw-material-for-snowflake-crisp-i2923551578.html</v>
      </c>
      <c r="C5772" s="10" t="s">
        <v>5772</v>
      </c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>
      <c r="A5773" s="8">
        <v>10627.0</v>
      </c>
      <c r="B5773" s="9" t="str">
        <f>HYPERLINK("https://www.lazada.vn/products/combo-12-hop-nuoc-dua-vico-fresh-330ml-6-xiem-6-natural-cung-cap-dien-giai-i2757884650.html", "https://www.lazada.vn/products/combo-12-hop-nuoc-dua-vico-fresh-330ml-6-xiem-6-natural-cung-cap-dien-giai-i2757884650.html")</f>
        <v>https://www.lazada.vn/products/combo-12-hop-nuoc-dua-vico-fresh-330ml-6-xiem-6-natural-cung-cap-dien-giai-i2757884650.html</v>
      </c>
      <c r="C5773" s="10" t="s">
        <v>5773</v>
      </c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>
      <c r="A5774" s="8">
        <v>10628.0</v>
      </c>
      <c r="B5774" s="9" t="str">
        <f>HYPERLINK("https://www.lazada.vn/products/chi-giao-hcm-khoai-lang-trang-500g-i2702142180.html", "https://www.lazada.vn/products/chi-giao-hcm-khoai-lang-trang-500g-i2702142180.html")</f>
        <v>https://www.lazada.vn/products/chi-giao-hcm-khoai-lang-trang-500g-i2702142180.html</v>
      </c>
      <c r="C5774" s="10" t="s">
        <v>5774</v>
      </c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>
      <c r="A5775" s="8">
        <v>10629.0</v>
      </c>
      <c r="B5775" s="9" t="str">
        <f>HYPERLINK("https://www.lazada.vn/products/ruou-nep-moi-halico-nong-do-30-halico-chai-500ml-khong-kem-hop-i2614473229.html", "https://www.lazada.vn/products/ruou-nep-moi-halico-nong-do-30-halico-chai-500ml-khong-kem-hop-i2614473229.html")</f>
        <v>https://www.lazada.vn/products/ruou-nep-moi-halico-nong-do-30-halico-chai-500ml-khong-kem-hop-i2614473229.html</v>
      </c>
      <c r="C5775" s="10" t="s">
        <v>5775</v>
      </c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>
      <c r="A5776" s="8">
        <v>10630.0</v>
      </c>
      <c r="B5776" s="9" t="str">
        <f>HYPERLINK("https://www.lazada.vn/products/nuoc-yen-sao-winsnest-kids-70-ml-tu-1-tuoi-i2664167388.html", "https://www.lazada.vn/products/nuoc-yen-sao-winsnest-kids-70-ml-tu-1-tuoi-i2664167388.html")</f>
        <v>https://www.lazada.vn/products/nuoc-yen-sao-winsnest-kids-70-ml-tu-1-tuoi-i2664167388.html</v>
      </c>
      <c r="C5776" s="10" t="s">
        <v>5776</v>
      </c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>
      <c r="A5777" s="8">
        <v>10631.0</v>
      </c>
      <c r="B5777" s="9" t="str">
        <f>HYPERLINK("https://www.lazada.vn/products/mam-dua-ca-da-nang-thom-ngon-i1910141124.html", "https://www.lazada.vn/products/mam-dua-ca-da-nang-thom-ngon-i1910141124.html")</f>
        <v>https://www.lazada.vn/products/mam-dua-ca-da-nang-thom-ngon-i1910141124.html</v>
      </c>
      <c r="C5777" s="10" t="s">
        <v>5777</v>
      </c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>
      <c r="A5778" s="8">
        <v>10632.0</v>
      </c>
      <c r="B5778" s="9" t="str">
        <f>HYPERLINK("https://www.lazada.vn/products/bot-cacao-nguyen-chat-dak-lak-thom-ngon-bo-duong-an-toan-i1828100613.html", "https://www.lazada.vn/products/bot-cacao-nguyen-chat-dak-lak-thom-ngon-bo-duong-an-toan-i1828100613.html")</f>
        <v>https://www.lazada.vn/products/bot-cacao-nguyen-chat-dak-lak-thom-ngon-bo-duong-an-toan-i1828100613.html</v>
      </c>
      <c r="C5778" s="10" t="s">
        <v>5778</v>
      </c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>
      <c r="A5779" s="8">
        <v>10633.0</v>
      </c>
      <c r="B5779" s="9" t="str">
        <f>HYPERLINK("https://www.lazada.vn/products/bot-sua-f1-vi-vani-bua-an-dinh-duong-lanh-manh-i2666138065.html", "https://www.lazada.vn/products/bot-sua-f1-vi-vani-bua-an-dinh-duong-lanh-manh-i2666138065.html")</f>
        <v>https://www.lazada.vn/products/bot-sua-f1-vi-vani-bua-an-dinh-duong-lanh-manh-i2666138065.html</v>
      </c>
      <c r="C5779" s="10" t="s">
        <v>5779</v>
      </c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>
      <c r="A5780" s="8">
        <v>10634.0</v>
      </c>
      <c r="B5780" s="9" t="str">
        <f>HYPERLINK("https://www.lazada.vn/products/chinesefood1-hop-20-goi-sun-tai-heo-cay-ba-di-thom-ngon-dac-biet-i1737931815.html", "https://www.lazada.vn/products/chinesefood1-hop-20-goi-sun-tai-heo-cay-ba-di-thom-ngon-dac-biet-i1737931815.html")</f>
        <v>https://www.lazada.vn/products/chinesefood1-hop-20-goi-sun-tai-heo-cay-ba-di-thom-ngon-dac-biet-i1737931815.html</v>
      </c>
      <c r="C5780" s="10" t="s">
        <v>5780</v>
      </c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>
      <c r="A5781" s="8">
        <v>10635.0</v>
      </c>
      <c r="B5781" s="9" t="str">
        <f>HYPERLINK("https://www.lazada.vn/products/1kg-bot-max-pudding-6in1-thucphamcom-30-vi-lam-pudding-nung-ninh-thach-sua-flan-caramen-khuc-bach-panna-cotta-i2358011991.html", "https://www.lazada.vn/products/1kg-bot-max-pudding-6in1-thucphamcom-30-vi-lam-pudding-nung-ninh-thach-sua-flan-caramen-khuc-bach-panna-cotta-i2358011991.html")</f>
        <v>https://www.lazada.vn/products/1kg-bot-max-pudding-6in1-thucphamcom-30-vi-lam-pudding-nung-ninh-thach-sua-flan-caramen-khuc-bach-panna-cotta-i2358011991.html</v>
      </c>
      <c r="C5781" s="10" t="s">
        <v>5781</v>
      </c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>
      <c r="A5782" s="8">
        <v>10636.0</v>
      </c>
      <c r="B5782" s="9" t="str">
        <f>HYPERLINK("https://www.lazada.vn/products/banh-pia-8-trung-dau-xanh-sau-rieng-banh-pia-tan-hue-vien-soc-trang-1kg-i1501421038.html", "https://www.lazada.vn/products/banh-pia-8-trung-dau-xanh-sau-rieng-banh-pia-tan-hue-vien-soc-trang-1kg-i1501421038.html")</f>
        <v>https://www.lazada.vn/products/banh-pia-8-trung-dau-xanh-sau-rieng-banh-pia-tan-hue-vien-soc-trang-1kg-i1501421038.html</v>
      </c>
      <c r="C5782" s="10" t="s">
        <v>5782</v>
      </c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>
      <c r="A5783" s="8">
        <v>10637.0</v>
      </c>
      <c r="B5783" s="9" t="str">
        <f>HYPERLINK("https://www.lazada.vn/products/set-5-goi-pho-co-goi-sot-thit-bo-ga-75g-vifon-i2840911468.html", "https://www.lazada.vn/products/set-5-goi-pho-co-goi-sot-thit-bo-ga-75g-vifon-i2840911468.html")</f>
        <v>https://www.lazada.vn/products/set-5-goi-pho-co-goi-sot-thit-bo-ga-75g-vifon-i2840911468.html</v>
      </c>
      <c r="C5783" s="10" t="s">
        <v>5783</v>
      </c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>
      <c r="A5784" s="8">
        <v>10638.0</v>
      </c>
      <c r="B5784" s="9" t="str">
        <f>HYPERLINK("https://www.lazada.vn/products/banh-ong-me-250g-500g-1-kg-i2881403412.html", "https://www.lazada.vn/products/banh-ong-me-250g-500g-1-kg-i2881403412.html")</f>
        <v>https://www.lazada.vn/products/banh-ong-me-250g-500g-1-kg-i2881403412.html</v>
      </c>
      <c r="C5784" s="10" t="s">
        <v>5784</v>
      </c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>
      <c r="A5785" s="8">
        <v>10639.0</v>
      </c>
      <c r="B5785" s="9" t="str">
        <f>HYPERLINK("https://www.lazada.vn/products/nhap-rs0822-giam-30k-cho-don-99kmam-dua-du-du-chua-ngot-i1909958357.html", "https://www.lazada.vn/products/nhap-rs0822-giam-30k-cho-don-99kmam-dua-du-du-chua-ngot-i1909958357.html")</f>
        <v>https://www.lazada.vn/products/nhap-rs0822-giam-30k-cho-don-99kmam-dua-du-du-chua-ngot-i1909958357.html</v>
      </c>
      <c r="C5785" s="10" t="s">
        <v>5785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>
      <c r="A5786" s="8">
        <v>10640.0</v>
      </c>
      <c r="B5786" s="9" t="str">
        <f>HYPERLINK("https://www.lazada.vn/products/nuoc-yen-ngan-nhi-nature-240ml-loai-1-2-6-lonloc-30-lonthung-i2664006592.html", "https://www.lazada.vn/products/nuoc-yen-ngan-nhi-nature-240ml-loai-1-2-6-lonloc-30-lonthung-i2664006592.html")</f>
        <v>https://www.lazada.vn/products/nuoc-yen-ngan-nhi-nature-240ml-loai-1-2-6-lonloc-30-lonthung-i2664006592.html</v>
      </c>
      <c r="C5786" s="10" t="s">
        <v>5786</v>
      </c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>
      <c r="A5787" s="8">
        <v>10641.0</v>
      </c>
      <c r="B5787" s="9" t="str">
        <f>HYPERLINK("https://www.lazada.vn/products/ruou-vodka-ha-noi-nhan-xanh-halico-nong-do-295-chai-300ml-khong-kem-hop-i2614441656.html", "https://www.lazada.vn/products/ruou-vodka-ha-noi-nhan-xanh-halico-nong-do-295-chai-300ml-khong-kem-hop-i2614441656.html")</f>
        <v>https://www.lazada.vn/products/ruou-vodka-ha-noi-nhan-xanh-halico-nong-do-295-chai-300ml-khong-kem-hop-i2614441656.html</v>
      </c>
      <c r="C5787" s="10" t="s">
        <v>5787</v>
      </c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>
      <c r="A5788" s="8">
        <v>10642.0</v>
      </c>
      <c r="B5788" s="9" t="str">
        <f>HYPERLINK("https://www.lazada.vn/products/nhau-ngam-duong-cat-mat-mia-2kg-i2757789464.html", "https://www.lazada.vn/products/nhau-ngam-duong-cat-mat-mia-2kg-i2757789464.html")</f>
        <v>https://www.lazada.vn/products/nhau-ngam-duong-cat-mat-mia-2kg-i2757789464.html</v>
      </c>
      <c r="C5788" s="10" t="s">
        <v>5788</v>
      </c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>
      <c r="A5789" s="8">
        <v>10643.0</v>
      </c>
      <c r="B5789" s="9" t="str">
        <f>HYPERLINK("https://www.lazada.vn/products/khoai-lang-mat-say-deo-hop-vang-1kg-i2701744440.html", "https://www.lazada.vn/products/khoai-lang-mat-say-deo-hop-vang-1kg-i2701744440.html")</f>
        <v>https://www.lazada.vn/products/khoai-lang-mat-say-deo-hop-vang-1kg-i2701744440.html</v>
      </c>
      <c r="C5789" s="10" t="s">
        <v>5789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>
      <c r="A5790" s="8">
        <v>10644.0</v>
      </c>
      <c r="B5790" s="9" t="str">
        <f>HYPERLINK("https://www.lazada.vn/products/set-2-tui-100goi-keo-bo-huc-redbull-thai-lan-i2721472600.html", "https://www.lazada.vn/products/set-2-tui-100goi-keo-bo-huc-redbull-thai-lan-i2721472600.html")</f>
        <v>https://www.lazada.vn/products/set-2-tui-100goi-keo-bo-huc-redbull-thai-lan-i2721472600.html</v>
      </c>
      <c r="C5790" s="10" t="s">
        <v>5790</v>
      </c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>
      <c r="A5791" s="8">
        <v>10645.0</v>
      </c>
      <c r="B5791" s="9" t="str">
        <f>HYPERLINK("https://www.lazada.vn/products/sieu-ngon-keo-socola-mix-thap-cam-nhieu-loai-250g-so-co-la-viet-nam-banh-keo-tet-do-i2908218290.html", "https://www.lazada.vn/products/sieu-ngon-keo-socola-mix-thap-cam-nhieu-loai-250g-so-co-la-viet-nam-banh-keo-tet-do-i2908218290.html")</f>
        <v>https://www.lazada.vn/products/sieu-ngon-keo-socola-mix-thap-cam-nhieu-loai-250g-so-co-la-viet-nam-banh-keo-tet-do-i2908218290.html</v>
      </c>
      <c r="C5791" s="10" t="s">
        <v>5791</v>
      </c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>
      <c r="A5792" s="8">
        <v>10646.0</v>
      </c>
      <c r="B5792" s="9" t="str">
        <f>HYPERLINK("https://www.lazada.vn/products/hat-de-cuoi-my-khong-tay-trang-tot-cho-suc-khoe-hu-pet-500g-i527136177.html", "https://www.lazada.vn/products/hat-de-cuoi-my-khong-tay-trang-tot-cho-suc-khoe-hu-pet-500g-i527136177.html")</f>
        <v>https://www.lazada.vn/products/hat-de-cuoi-my-khong-tay-trang-tot-cho-suc-khoe-hu-pet-500g-i527136177.html</v>
      </c>
      <c r="C5792" s="10" t="s">
        <v>5792</v>
      </c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>
      <c r="A5793" s="8">
        <v>10647.0</v>
      </c>
      <c r="B5793" s="9" t="str">
        <f>HYPERLINK("https://www.lazada.vn/products/bot-cacao-nguyen-chat-daklak-cacao-organic-khong-duong-chuan-utz-ho-tro-giam-can-va-tang-can-lep-store-i1806791003.html", "https://www.lazada.vn/products/bot-cacao-nguyen-chat-daklak-cacao-organic-khong-duong-chuan-utz-ho-tro-giam-can-va-tang-can-lep-store-i1806791003.html")</f>
        <v>https://www.lazada.vn/products/bot-cacao-nguyen-chat-daklak-cacao-organic-khong-duong-chuan-utz-ho-tro-giam-can-va-tang-can-lep-store-i1806791003.html</v>
      </c>
      <c r="C5793" s="10" t="s">
        <v>5793</v>
      </c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>
      <c r="A5794" s="8">
        <v>10648.0</v>
      </c>
      <c r="B5794" s="9" t="str">
        <f>HYPERLINK("https://www.lazada.vn/products/bia-ngoai-i2770290516.html", "https://www.lazada.vn/products/bia-ngoai-i2770290516.html")</f>
        <v>https://www.lazada.vn/products/bia-ngoai-i2770290516.html</v>
      </c>
      <c r="C5794" s="10" t="s">
        <v>5794</v>
      </c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>
      <c r="A5795" s="8">
        <v>10649.0</v>
      </c>
      <c r="B5795" s="9" t="str">
        <f>HYPERLINK("https://www.lazada.vn/products/500g-banh-trang-vuong-cuon-thit-luoc-rau-song-i2476504371.html", "https://www.lazada.vn/products/500g-banh-trang-vuong-cuon-thit-luoc-rau-song-i2476504371.html")</f>
        <v>https://www.lazada.vn/products/500g-banh-trang-vuong-cuon-thit-luoc-rau-song-i2476504371.html</v>
      </c>
      <c r="C5795" s="10" t="s">
        <v>5795</v>
      </c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>
      <c r="A5796" s="8">
        <v>10650.0</v>
      </c>
      <c r="B5796" s="9" t="str">
        <f>HYPERLINK("https://www.lazada.vn/products/si-20kg-ca-phe-pha-phin-nam-phat-coffee-buon-ma-thuot-i2677846658.html", "https://www.lazada.vn/products/si-20kg-ca-phe-pha-phin-nam-phat-coffee-buon-ma-thuot-i2677846658.html")</f>
        <v>https://www.lazada.vn/products/si-20kg-ca-phe-pha-phin-nam-phat-coffee-buon-ma-thuot-i2677846658.html</v>
      </c>
      <c r="C5796" s="10" t="s">
        <v>5796</v>
      </c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>
      <c r="A5797" s="8">
        <v>10651.0</v>
      </c>
      <c r="B5797" s="9" t="str">
        <f>HYPERLINK("https://www.lazada.vn/products/vang-da-lat-do-strong-15-750ml-i2607794086.html", "https://www.lazada.vn/products/vang-da-lat-do-strong-15-750ml-i2607794086.html")</f>
        <v>https://www.lazada.vn/products/vang-da-lat-do-strong-15-750ml-i2607794086.html</v>
      </c>
      <c r="C5797" s="10" t="s">
        <v>5797</v>
      </c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>
      <c r="A5798" s="8">
        <v>10652.0</v>
      </c>
      <c r="B5798" s="9" t="str">
        <f>HYPERLINK("https://www.lazada.vn/products/sea-crown-hop-tron-xanh-duong-140g-ca-ngu-ngam-nuoc-muoi-tha-lan-tuna-chunks-in-brine-halal-i3036041849.html", "https://www.lazada.vn/products/sea-crown-hop-tron-xanh-duong-140g-ca-ngu-ngam-nuoc-muoi-tha-lan-tuna-chunks-in-brine-halal-i3036041849.html")</f>
        <v>https://www.lazada.vn/products/sea-crown-hop-tron-xanh-duong-140g-ca-ngu-ngam-nuoc-muoi-tha-lan-tuna-chunks-in-brine-halal-i3036041849.html</v>
      </c>
      <c r="C5798" s="10" t="s">
        <v>5798</v>
      </c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>
      <c r="A5799" s="8">
        <v>10653.0</v>
      </c>
      <c r="B5799" s="9" t="str">
        <f>HYPERLINK("https://www.lazada.vn/products/thach-3d-socola-hat-nho-douxian-hop-25kg-i2505515882.html", "https://www.lazada.vn/products/thach-3d-socola-hat-nho-douxian-hop-25kg-i2505515882.html")</f>
        <v>https://www.lazada.vn/products/thach-3d-socola-hat-nho-douxian-hop-25kg-i2505515882.html</v>
      </c>
      <c r="C5799" s="10" t="s">
        <v>5799</v>
      </c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>
      <c r="A5800" s="8">
        <v>10654.0</v>
      </c>
      <c r="B5800" s="9" t="str">
        <f>HYPERLINK("https://www.lazada.vn/products/bot-sua-f1-vi-chocolate-bua-an-dinh-duong-lanh-manh-i2666121178.html", "https://www.lazada.vn/products/bot-sua-f1-vi-chocolate-bua-an-dinh-duong-lanh-manh-i2666121178.html")</f>
        <v>https://www.lazada.vn/products/bot-sua-f1-vi-chocolate-bua-an-dinh-duong-lanh-manh-i2666121178.html</v>
      </c>
      <c r="C5800" s="10" t="s">
        <v>5800</v>
      </c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>
      <c r="A5801" s="8">
        <v>10655.0</v>
      </c>
      <c r="B5801" s="9" t="str">
        <f>HYPERLINK("https://www.lazada.vn/products/keo-thach-zin-zai-loai-800g-i2357383765.html", "https://www.lazada.vn/products/keo-thach-zin-zai-loai-800g-i2357383765.html")</f>
        <v>https://www.lazada.vn/products/keo-thach-zin-zai-loai-800g-i2357383765.html</v>
      </c>
      <c r="C5801" s="10" t="s">
        <v>5801</v>
      </c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>
      <c r="A5802" s="8">
        <v>10656.0</v>
      </c>
      <c r="B5802" s="9" t="str">
        <f>HYPERLINK("https://www.lazada.vn/products/banh-tet-tra-cuon-dau-mo-va-banh-u-i1497259185.html", "https://www.lazada.vn/products/banh-tet-tra-cuon-dau-mo-va-banh-u-i1497259185.html")</f>
        <v>https://www.lazada.vn/products/banh-tet-tra-cuon-dau-mo-va-banh-u-i1497259185.html</v>
      </c>
      <c r="C5802" s="10" t="s">
        <v>5802</v>
      </c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>
      <c r="A5803" s="8">
        <v>10657.0</v>
      </c>
      <c r="B5803" s="9" t="str">
        <f>HYPERLINK("https://www.lazada.vn/products/chinesefoodco-vit-dai-dacheng-42g-hang-san-i1737917920.html", "https://www.lazada.vn/products/chinesefoodco-vit-dai-dacheng-42g-hang-san-i1737917920.html")</f>
        <v>https://www.lazada.vn/products/chinesefoodco-vit-dai-dacheng-42g-hang-san-i1737917920.html</v>
      </c>
      <c r="C5803" s="10" t="s">
        <v>5803</v>
      </c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>
      <c r="A5804" s="8">
        <v>10658.0</v>
      </c>
      <c r="B5804" s="9" t="str">
        <f>HYPERLINK("https://www.lazada.vn/products/banh-pia-kim-sa-phuc-an-mau-1-cai-le-dung-thu-giao-vi-ngau-nhien-i2839372968.html", "https://www.lazada.vn/products/banh-pia-kim-sa-phuc-an-mau-1-cai-le-dung-thu-giao-vi-ngau-nhien-i2839372968.html")</f>
        <v>https://www.lazada.vn/products/banh-pia-kim-sa-phuc-an-mau-1-cai-le-dung-thu-giao-vi-ngau-nhien-i2839372968.html</v>
      </c>
      <c r="C5804" s="10" t="s">
        <v>5804</v>
      </c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>
      <c r="A5805" s="8">
        <v>10659.0</v>
      </c>
      <c r="B5805" s="9" t="str">
        <f>HYPERLINK("https://www.lazada.vn/products/mai-que-lo-le-100ml-i1901685049.html", "https://www.lazada.vn/products/mai-que-lo-le-100ml-i1901685049.html")</f>
        <v>https://www.lazada.vn/products/mai-que-lo-le-100ml-i1901685049.html</v>
      </c>
      <c r="C5805" s="10" t="s">
        <v>5805</v>
      </c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>
      <c r="A5806" s="8">
        <v>10660.0</v>
      </c>
      <c r="B5806" s="9" t="str">
        <f>HYPERLINK("https://www.lazada.vn/products/1kg-khoai-tay-lays-vi-pho-bo-ha-noi-i2701015921.html", "https://www.lazada.vn/products/1kg-khoai-tay-lays-vi-pho-bo-ha-noi-i2701015921.html")</f>
        <v>https://www.lazada.vn/products/1kg-khoai-tay-lays-vi-pho-bo-ha-noi-i2701015921.html</v>
      </c>
      <c r="C5806" s="10" t="s">
        <v>5806</v>
      </c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>
      <c r="A5807" s="8">
        <v>10661.0</v>
      </c>
      <c r="B5807" s="9" t="str">
        <f>HYPERLINK("https://www.lazada.vn/products/banh-pia-phuc-an-so-5-chay-dau-xanh-sau-rieng-250gr4-banh-tui-i2839335834.html", "https://www.lazada.vn/products/banh-pia-phuc-an-so-5-chay-dau-xanh-sau-rieng-250gr4-banh-tui-i2839335834.html")</f>
        <v>https://www.lazada.vn/products/banh-pia-phuc-an-so-5-chay-dau-xanh-sau-rieng-250gr4-banh-tui-i2839335834.html</v>
      </c>
      <c r="C5807" s="10" t="s">
        <v>5807</v>
      </c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>
      <c r="A5808" s="8">
        <v>10662.0</v>
      </c>
      <c r="B5808" s="9" t="str">
        <f>HYPERLINK("https://www.lazada.vn/products/pate-gan-campagne-jean-floch-78g-phap-i1898973244.html", "https://www.lazada.vn/products/pate-gan-campagne-jean-floch-78g-phap-i1898973244.html")</f>
        <v>https://www.lazada.vn/products/pate-gan-campagne-jean-floch-78g-phap-i1898973244.html</v>
      </c>
      <c r="C5808" s="10" t="s">
        <v>5808</v>
      </c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>
      <c r="A5809" s="8">
        <v>10663.0</v>
      </c>
      <c r="B5809" s="9" t="str">
        <f>HYPERLINK("https://www.lazada.vn/products/ruou-nep-moi-halico-nong-do-30-halico-chai-250ml-khong-kem-hop-i2614440721.html", "https://www.lazada.vn/products/ruou-nep-moi-halico-nong-do-30-halico-chai-250ml-khong-kem-hop-i2614440721.html")</f>
        <v>https://www.lazada.vn/products/ruou-nep-moi-halico-nong-do-30-halico-chai-250ml-khong-kem-hop-i2614440721.html</v>
      </c>
      <c r="C5809" s="10" t="s">
        <v>5809</v>
      </c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>
      <c r="A5810" s="8">
        <v>10664.0</v>
      </c>
      <c r="B5810" s="9" t="str">
        <f>HYPERLINK("https://www.lazada.vn/products/hop-4-hu-nuoc-yen-sao-winsnest-junior-70-ml-tu-1-tuoi-i2663615194.html", "https://www.lazada.vn/products/hop-4-hu-nuoc-yen-sao-winsnest-junior-70-ml-tu-1-tuoi-i2663615194.html")</f>
        <v>https://www.lazada.vn/products/hop-4-hu-nuoc-yen-sao-winsnest-junior-70-ml-tu-1-tuoi-i2663615194.html</v>
      </c>
      <c r="C5810" s="10" t="s">
        <v>5810</v>
      </c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>
      <c r="A5811" s="8">
        <v>10665.0</v>
      </c>
      <c r="B5811" s="9" t="str">
        <f>HYPERLINK("https://www.lazada.vn/products/banh-quy-lat-vuong-man-khong-duong-dung-lam-banh-quy-hanh-100g-250g-500g-i2881401433.html", "https://www.lazada.vn/products/banh-quy-lat-vuong-man-khong-duong-dung-lam-banh-quy-hanh-100g-250g-500g-i2881401433.html")</f>
        <v>https://www.lazada.vn/products/banh-quy-lat-vuong-man-khong-duong-dung-lam-banh-quy-hanh-100g-250g-500g-i2881401433.html</v>
      </c>
      <c r="C5811" s="10" t="s">
        <v>5811</v>
      </c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>
      <c r="A5812" s="8">
        <v>10666.0</v>
      </c>
      <c r="B5812" s="9" t="str">
        <f>HYPERLINK("https://www.lazada.vn/products/nuoc-kvass-vyatich-vi-truyen-thong-15l-nuoc-giai-khat-len-men-tu-lua-mach-nhap-khau-nga-i2757787514.html", "https://www.lazada.vn/products/nuoc-kvass-vyatich-vi-truyen-thong-15l-nuoc-giai-khat-len-men-tu-lua-mach-nhap-khau-nga-i2757787514.html")</f>
        <v>https://www.lazada.vn/products/nuoc-kvass-vyatich-vi-truyen-thong-15l-nuoc-giai-khat-len-men-tu-lua-mach-nhap-khau-nga-i2757787514.html</v>
      </c>
      <c r="C5812" s="10" t="s">
        <v>5812</v>
      </c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>
      <c r="A5813" s="8">
        <v>10667.0</v>
      </c>
      <c r="B5813" s="9" t="str">
        <f>HYPERLINK("https://www.lazada.vn/products/keo-ngam-vi-bo-huc-fast-charging-keo-tang-luc-goi-320g-beegin-food-store-i2717389139.html", "https://www.lazada.vn/products/keo-ngam-vi-bo-huc-fast-charging-keo-tang-luc-goi-320g-beegin-food-store-i2717389139.html")</f>
        <v>https://www.lazada.vn/products/keo-ngam-vi-bo-huc-fast-charging-keo-tang-luc-goi-320g-beegin-food-store-i2717389139.html</v>
      </c>
      <c r="C5813" s="10" t="s">
        <v>5813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>
      <c r="A5814" s="8">
        <v>10668.0</v>
      </c>
      <c r="B5814" s="9" t="str">
        <f>HYPERLINK("https://www.lazada.vn/products/an-la-ghien-keo-socola-mix-nhieu-loai-1kg-banh-keo-tet-do-i2908173519.html", "https://www.lazada.vn/products/an-la-ghien-keo-socola-mix-nhieu-loai-1kg-banh-keo-tet-do-i2908173519.html")</f>
        <v>https://www.lazada.vn/products/an-la-ghien-keo-socola-mix-nhieu-loai-1kg-banh-keo-tet-do-i2908173519.html</v>
      </c>
      <c r="C5814" s="10" t="s">
        <v>5814</v>
      </c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>
      <c r="A5815" s="8">
        <v>10669.0</v>
      </c>
      <c r="B5815" s="9" t="str">
        <f>HYPERLINK("https://www.lazada.vn/products/combo-2-bich-hat-oc-cho-con-vo-fornuts-usa-bich-2-x-500g-rat-tot-cho-thai-phu-va-su-phat-trien-tri-nao-i527134277.html", "https://www.lazada.vn/products/combo-2-bich-hat-oc-cho-con-vo-fornuts-usa-bich-2-x-500g-rat-tot-cho-thai-phu-va-su-phat-trien-tri-nao-i527134277.html")</f>
        <v>https://www.lazada.vn/products/combo-2-bich-hat-oc-cho-con-vo-fornuts-usa-bich-2-x-500g-rat-tot-cho-thai-phu-va-su-phat-trien-tri-nao-i527134277.html</v>
      </c>
      <c r="C5815" s="10" t="s">
        <v>5815</v>
      </c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>
      <c r="A5816" s="8">
        <v>10670.0</v>
      </c>
      <c r="B5816" s="9" t="str">
        <f>HYPERLINK("https://www.lazada.vn/products/vang-da-lat-do-memory-145-750ml-i2607663431.html", "https://www.lazada.vn/products/vang-da-lat-do-memory-145-750ml-i2607663431.html")</f>
        <v>https://www.lazada.vn/products/vang-da-lat-do-memory-145-750ml-i2607663431.html</v>
      </c>
      <c r="C5816" s="10" t="s">
        <v>5816</v>
      </c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>
      <c r="A5817" s="8">
        <v>10671.0</v>
      </c>
      <c r="B5817" s="9" t="str">
        <f>HYPERLINK("https://www.lazada.vn/products/ca-kho-gia-ot-xiem-hop-400g-che-bien-tu-ca-bien-tuoi-vi-vua-an-voi-com-chao-thom-ngon-lam-a-i3035887209.html", "https://www.lazada.vn/products/ca-kho-gia-ot-xiem-hop-400g-che-bien-tu-ca-bien-tuoi-vi-vua-an-voi-com-chao-thom-ngon-lam-a-i3035887209.html")</f>
        <v>https://www.lazada.vn/products/ca-kho-gia-ot-xiem-hop-400g-che-bien-tu-ca-bien-tuoi-vi-vua-an-voi-com-chao-thom-ngon-lam-a-i3035887209.html</v>
      </c>
      <c r="C5817" s="10" t="s">
        <v>5817</v>
      </c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>
      <c r="A5818" s="8">
        <v>10672.0</v>
      </c>
      <c r="B5818" s="9" t="str">
        <f>HYPERLINK("https://www.lazada.vn/products/ca-phe-buon-ma-thuot-gu-truyen-thong-the-organic-coffee-moc-huong-vi-dam-da-thom-ngon-500-gram-1kg-i2677660056.html", "https://www.lazada.vn/products/ca-phe-buon-ma-thuot-gu-truyen-thong-the-organic-coffee-moc-huong-vi-dam-da-thom-ngon-500-gram-1kg-i2677660056.html")</f>
        <v>https://www.lazada.vn/products/ca-phe-buon-ma-thuot-gu-truyen-thong-the-organic-coffee-moc-huong-vi-dam-da-thom-ngon-500-gram-1kg-i2677660056.html</v>
      </c>
      <c r="C5818" s="10" t="s">
        <v>5818</v>
      </c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>
      <c r="A5819" s="8">
        <v>10673.0</v>
      </c>
      <c r="B5819" s="9" t="str">
        <f>HYPERLINK("https://www.lazada.vn/products/bia-chimay-do-bia-thay-tu-bi-nhap-khau-thung-12-chai-330ml-ship-hoa-toc-i2705553203.html", "https://www.lazada.vn/products/bia-chimay-do-bia-thay-tu-bi-nhap-khau-thung-12-chai-330ml-ship-hoa-toc-i2705553203.html")</f>
        <v>https://www.lazada.vn/products/bia-chimay-do-bia-thay-tu-bi-nhap-khau-thung-12-chai-330ml-ship-hoa-toc-i2705553203.html</v>
      </c>
      <c r="C5819" s="10" t="s">
        <v>5819</v>
      </c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>
      <c r="A5820" s="8">
        <v>10674.0</v>
      </c>
      <c r="B5820" s="9" t="str">
        <f>HYPERLINK("https://www.lazada.vn/products/goi-khong-lo-com-chay-party-size-chao-sua-thai-lan-tui-10-goi-nho-an-la-nghien-i2476435800.html", "https://www.lazada.vn/products/goi-khong-lo-com-chay-party-size-chao-sua-thai-lan-tui-10-goi-nho-an-la-nghien-i2476435800.html")</f>
        <v>https://www.lazada.vn/products/goi-khong-lo-com-chay-party-size-chao-sua-thai-lan-tui-10-goi-nho-an-la-nghien-i2476435800.html</v>
      </c>
      <c r="C5820" s="10" t="s">
        <v>5820</v>
      </c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>
      <c r="A5821" s="8">
        <v>10675.0</v>
      </c>
      <c r="B5821" s="9" t="str">
        <f>HYPERLINK("https://www.lazada.vn/products/tran-chau-den-25-douxian-goi-1kg-i2504933243.html", "https://www.lazada.vn/products/tran-chau-den-25-douxian-goi-1kg-i2504933243.html")</f>
        <v>https://www.lazada.vn/products/tran-chau-den-25-douxian-goi-1kg-i2504933243.html</v>
      </c>
      <c r="C5821" s="10" t="s">
        <v>5821</v>
      </c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>
      <c r="A5822" s="8">
        <v>10676.0</v>
      </c>
      <c r="B5822" s="9" t="str">
        <f>HYPERLINK("https://www.lazada.vn/products/bot-sua-f1-vi-bac-ha-bua-an-dinh-duong-lanh-manh-i2666105273.html", "https://www.lazada.vn/products/bot-sua-f1-vi-bac-ha-bua-an-dinh-duong-lanh-manh-i2666105273.html")</f>
        <v>https://www.lazada.vn/products/bot-sua-f1-vi-bac-ha-bua-an-dinh-duong-lanh-manh-i2666105273.html</v>
      </c>
      <c r="C5822" s="10" t="s">
        <v>5822</v>
      </c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>
      <c r="A5823" s="8">
        <v>10677.0</v>
      </c>
      <c r="B5823" s="9" t="str">
        <f>HYPERLINK("https://www.lazada.vn/products/hop-12-goi-banh-ngot-orion-choco-pie-33ggoi-i1496423346.html", "https://www.lazada.vn/products/hop-12-goi-banh-ngot-orion-choco-pie-33ggoi-i1496423346.html")</f>
        <v>https://www.lazada.vn/products/hop-12-goi-banh-ngot-orion-choco-pie-33ggoi-i1496423346.html</v>
      </c>
      <c r="C5823" s="10" t="s">
        <v>5823</v>
      </c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>
      <c r="A5824" s="8">
        <v>10678.0</v>
      </c>
      <c r="B5824" s="9" t="str">
        <f>HYPERLINK("https://www.lazada.vn/products/thach-lapatie-caramen-thach-trung-long-hai-goi-400g-i2356298732.html", "https://www.lazada.vn/products/thach-lapatie-caramen-thach-trung-long-hai-goi-400g-i2356298732.html")</f>
        <v>https://www.lazada.vn/products/thach-lapatie-caramen-thach-trung-long-hai-goi-400g-i2356298732.html</v>
      </c>
      <c r="C5824" s="10" t="s">
        <v>5824</v>
      </c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>
      <c r="A5825" s="8">
        <v>10679.0</v>
      </c>
      <c r="B5825" s="9" t="str">
        <f>HYPERLINK("https://www.lazada.vn/products/ma-1911fmcgsale-giam-8-don-500k-gia-vi-lau-cay-trung-khanh-tu-xuyen-goi-to-300g-hang-san-i1737914912.html", "https://www.lazada.vn/products/ma-1911fmcgsale-giam-8-don-500k-gia-vi-lau-cay-trung-khanh-tu-xuyen-goi-to-300g-hang-san-i1737914912.html")</f>
        <v>https://www.lazada.vn/products/ma-1911fmcgsale-giam-8-don-500k-gia-vi-lau-cay-trung-khanh-tu-xuyen-goi-to-300g-hang-san-i1737914912.html</v>
      </c>
      <c r="C5825" s="10" t="s">
        <v>5825</v>
      </c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>
      <c r="A5826" s="8">
        <v>10680.0</v>
      </c>
      <c r="B5826" s="9" t="str">
        <f>HYPERLINK("https://www.lazada.vn/products/1kg-me-lao-mot-nang-muoi-ot-bao-duong-loai-cay-cay-ngot-ngot-chua-chua-thom-ngon-thien-thao-organic-i1897249358.html", "https://www.lazada.vn/products/1kg-me-lao-mot-nang-muoi-ot-bao-duong-loai-cay-cay-ngot-ngot-chua-chua-thom-ngon-thien-thao-organic-i1897249358.html")</f>
        <v>https://www.lazada.vn/products/1kg-me-lao-mot-nang-muoi-ot-bao-duong-loai-cay-cay-ngot-ngot-chua-chua-thom-ngon-thien-thao-organic-i1897249358.html</v>
      </c>
      <c r="C5826" s="10" t="s">
        <v>5826</v>
      </c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>
      <c r="A5827" s="8">
        <v>10681.0</v>
      </c>
      <c r="B5827" s="9" t="str">
        <f>HYPERLINK("https://www.lazada.vn/products/nhau-ngam-duong-phen-2kg-i2757768430.html", "https://www.lazada.vn/products/nhau-ngam-duong-phen-2kg-i2757768430.html")</f>
        <v>https://www.lazada.vn/products/nhau-ngam-duong-phen-2kg-i2757768430.html</v>
      </c>
      <c r="C5827" s="10" t="s">
        <v>5827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>
      <c r="A5828" s="8">
        <v>10682.0</v>
      </c>
      <c r="B5828" s="9" t="str">
        <f>HYPERLINK("https://www.lazada.vn/products/set-sam-mia-lau-4-5-lit-bep-cua-me-onici-set-nguyen-lieu-nuoc-sam-mia-lau-kem-cong-thuc-nau-tien-loi-i2662895930.html", "https://www.lazada.vn/products/set-sam-mia-lau-4-5-lit-bep-cua-me-onici-set-nguyen-lieu-nuoc-sam-mia-lau-kem-cong-thuc-nau-tien-loi-i2662895930.html")</f>
        <v>https://www.lazada.vn/products/set-sam-mia-lau-4-5-lit-bep-cua-me-onici-set-nguyen-lieu-nuoc-sam-mia-lau-kem-cong-thuc-nau-tien-loi-i2662895930.html</v>
      </c>
      <c r="C5828" s="10" t="s">
        <v>5828</v>
      </c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>
      <c r="A5829" s="8">
        <v>10683.0</v>
      </c>
      <c r="B5829" s="9" t="str">
        <f>HYPERLINK("https://www.lazada.vn/products/ship-hoa-toc-hcm-2h-khoai-tay-an-do-cong-7-va-10-vui-long-ghi-chu-loai-khoai-tay-ban-muon-dat-neu-khong-ghi-chu-shop-se-giao-ngau-nhien-i2697424186.html", "https://www.lazada.vn/products/ship-hoa-toc-hcm-2h-khoai-tay-an-do-cong-7-va-10-vui-long-ghi-chu-loai-khoai-tay-ban-muon-dat-neu-khong-ghi-chu-shop-se-giao-ngau-nhien-i2697424186.html")</f>
        <v>https://www.lazada.vn/products/ship-hoa-toc-hcm-2h-khoai-tay-an-do-cong-7-va-10-vui-long-ghi-chu-loai-khoai-tay-ban-muon-dat-neu-khong-ghi-chu-shop-se-giao-ngau-nhien-i2697424186.html</v>
      </c>
      <c r="C5829" s="10" t="s">
        <v>5829</v>
      </c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>
      <c r="A5830" s="8">
        <v>10684.0</v>
      </c>
      <c r="B5830" s="9" t="str">
        <f>HYPERLINK("https://www.lazada.vn/products/ruou-ha-noi-halico-nong-do-30-can-pe-4l-khong-kem-hop-i2614395667.html", "https://www.lazada.vn/products/ruou-ha-noi-halico-nong-do-30-can-pe-4l-khong-kem-hop-i2614395667.html")</f>
        <v>https://www.lazada.vn/products/ruou-ha-noi-halico-nong-do-30-can-pe-4l-khong-kem-hop-i2614395667.html</v>
      </c>
      <c r="C5830" s="10" t="s">
        <v>5830</v>
      </c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>
      <c r="A5831" s="8">
        <v>10685.0</v>
      </c>
      <c r="B5831" s="9" t="str">
        <f>HYPERLINK("https://www.lazada.vn/products/mi-nho-trung-khanh-mi-gia-vi-nuoc-sot-mi-cay-mi-dandan-mi-luoc-mi-gia-vi-mi-goi-30g-i2838789090.html", "https://www.lazada.vn/products/mi-nho-trung-khanh-mi-gia-vi-nuoc-sot-mi-cay-mi-dandan-mi-luoc-mi-gia-vi-mi-goi-30g-i2838789090.html")</f>
        <v>https://www.lazada.vn/products/mi-nho-trung-khanh-mi-gia-vi-nuoc-sot-mi-cay-mi-dandan-mi-luoc-mi-gia-vi-mi-goi-30g-i2838789090.html</v>
      </c>
      <c r="C5831" s="10" t="s">
        <v>5831</v>
      </c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>
      <c r="A5832" s="8">
        <v>10686.0</v>
      </c>
      <c r="B5832" s="9" t="str">
        <f>HYPERLINK("https://www.lazada.vn/products/banh-quy-oc-cho-250g-500g-lehanh-gia-si-i2881391459.html", "https://www.lazada.vn/products/banh-quy-oc-cho-250g-500g-lehanh-gia-si-i2881391459.html")</f>
        <v>https://www.lazada.vn/products/banh-quy-oc-cho-250g-500g-lehanh-gia-si-i2881391459.html</v>
      </c>
      <c r="C5832" s="10" t="s">
        <v>5832</v>
      </c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>
      <c r="A5833" s="8">
        <v>10687.0</v>
      </c>
      <c r="B5833" s="9" t="str">
        <f>HYPERLINK("https://www.lazada.vn/products/keo-ngam-vi-bo-huc-fast-charging-keo-tang-luc-goi-320g-i2717369214.html", "https://www.lazada.vn/products/keo-ngam-vi-bo-huc-fast-charging-keo-tang-luc-goi-320g-i2717369214.html")</f>
        <v>https://www.lazada.vn/products/keo-ngam-vi-bo-huc-fast-charging-keo-tang-luc-goi-320g-i2717369214.html</v>
      </c>
      <c r="C5833" s="10" t="s">
        <v>5833</v>
      </c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>
      <c r="A5834" s="8">
        <v>10688.0</v>
      </c>
      <c r="B5834" s="9" t="str">
        <f>HYPERLINK("https://www.lazada.vn/products/an-la-ghien-socola-trai-banh-1kg-socola-viet-nam-banh-keo-tet-do-i2908113686.html", "https://www.lazada.vn/products/an-la-ghien-socola-trai-banh-1kg-socola-viet-nam-banh-keo-tet-do-i2908113686.html")</f>
        <v>https://www.lazada.vn/products/an-la-ghien-socola-trai-banh-1kg-socola-viet-nam-banh-keo-tet-do-i2908113686.html</v>
      </c>
      <c r="C5834" s="10" t="s">
        <v>5834</v>
      </c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>
      <c r="A5835" s="8">
        <v>10689.0</v>
      </c>
      <c r="B5835" s="9" t="str">
        <f>HYPERLINK("https://www.lazada.vn/products/vang-do-da-lat-cadahill-12-750ml-i2607658116.html", "https://www.lazada.vn/products/vang-do-da-lat-cadahill-12-750ml-i2607658116.html")</f>
        <v>https://www.lazada.vn/products/vang-do-da-lat-cadahill-12-750ml-i2607658116.html</v>
      </c>
      <c r="C5835" s="10" t="s">
        <v>5835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>
      <c r="A5836" s="8">
        <v>10690.0</v>
      </c>
      <c r="B5836" s="9" t="str">
        <f>HYPERLINK("https://www.lazada.vn/products/combo-2-hop-banh-afc-200g-i1489215729.html", "https://www.lazada.vn/products/combo-2-hop-banh-afc-200g-i1489215729.html")</f>
        <v>https://www.lazada.vn/products/combo-2-hop-banh-afc-200g-i1489215729.html</v>
      </c>
      <c r="C5836" s="10" t="s">
        <v>5836</v>
      </c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>
      <c r="A5837" s="8">
        <v>10691.0</v>
      </c>
      <c r="B5837" s="9" t="str">
        <f>HYPERLINK("https://www.lazada.vn/products/wolters-beer-500ml-nhap-khau-duc-i2692368264.html", "https://www.lazada.vn/products/wolters-beer-500ml-nhap-khau-duc-i2692368264.html")</f>
        <v>https://www.lazada.vn/products/wolters-beer-500ml-nhap-khau-duc-i2692368264.html</v>
      </c>
      <c r="C5837" s="10" t="s">
        <v>5837</v>
      </c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>
      <c r="A5838" s="8">
        <v>10692.0</v>
      </c>
      <c r="B5838" s="9" t="str">
        <f>HYPERLINK("https://www.lazada.vn/products/combo-banh-trang-sot-tac-ot-rim-cuc-chat-banh-trang-phoi-suong-do-an-vat-nhu-ngoc-banh-trang-phoi-suong-bo-beo-sieu-ngon-muoi-tep-hanh-phi-ot-rim-sot-tac-sieu-ngon-sieu-tiet-kiem-i2474954161.html", "https://www.lazada.vn/products/combo-banh-trang-sot-tac-ot-rim-cuc-chat-banh-trang-phoi-suong-do-an-vat-nhu-ngoc-banh-trang-phoi-suong-bo-beo-sieu-ngon-muoi-tep-hanh-phi-ot-rim-sot-tac-sieu-ngon-sieu-tiet-kiem-i2474954161.html")</f>
        <v>https://www.lazada.vn/products/combo-banh-trang-sot-tac-ot-rim-cuc-chat-banh-trang-phoi-suong-do-an-vat-nhu-ngoc-banh-trang-phoi-suong-bo-beo-sieu-ngon-muoi-tep-hanh-phi-ot-rim-sot-tac-sieu-ngon-sieu-tiet-kiem-i2474954161.html</v>
      </c>
      <c r="C5838" s="10" t="s">
        <v>5838</v>
      </c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>
      <c r="A5839" s="8">
        <v>10693.0</v>
      </c>
      <c r="B5839" s="9" t="str">
        <f>HYPERLINK("https://www.lazada.vn/products/hop-ca-thu-chien-roza-sot-chua-cay-thai-lan-ca-hop-thom-ngon-vi-dam-da-i3035772218.html", "https://www.lazada.vn/products/hop-ca-thu-chien-roza-sot-chua-cay-thai-lan-ca-hop-thom-ngon-vi-dam-da-i3035772218.html")</f>
        <v>https://www.lazada.vn/products/hop-ca-thu-chien-roza-sot-chua-cay-thai-lan-ca-hop-thom-ngon-vi-dam-da-i3035772218.html</v>
      </c>
      <c r="C5839" s="10" t="s">
        <v>5839</v>
      </c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>
      <c r="A5840" s="8">
        <v>10694.0</v>
      </c>
      <c r="B5840" s="9" t="str">
        <f>HYPERLINK("https://www.lazada.vn/products/ca-phe-espresso-the-organic-coffee-100-nguyen-chat-moc-vi-dam-da-thom-nong-pha-may-500gram-i2677648334.html", "https://www.lazada.vn/products/ca-phe-espresso-the-organic-coffee-100-nguyen-chat-moc-vi-dam-da-thom-nong-pha-may-500gram-i2677648334.html")</f>
        <v>https://www.lazada.vn/products/ca-phe-espresso-the-organic-coffee-100-nguyen-chat-moc-vi-dam-da-thom-nong-pha-may-500gram-i2677648334.html</v>
      </c>
      <c r="C5840" s="10" t="s">
        <v>5840</v>
      </c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>
      <c r="A5841" s="8">
        <v>10695.0</v>
      </c>
      <c r="B5841" s="9" t="str">
        <f>HYPERLINK("https://www.lazada.vn/products/siro-a-duong-den-douxian-chai-500ml-i2504405791.html", "https://www.lazada.vn/products/siro-a-duong-den-douxian-chai-500ml-i2504405791.html")</f>
        <v>https://www.lazada.vn/products/siro-a-duong-den-douxian-chai-500ml-i2504405791.html</v>
      </c>
      <c r="C5841" s="10" t="s">
        <v>5841</v>
      </c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>
      <c r="A5842" s="8">
        <v>10696.0</v>
      </c>
      <c r="B5842" s="9" t="str">
        <f>HYPERLINK("https://www.lazada.vn/products/bot-sua-f1-vi-dau-bua-an-dinh-duong-lanh-manh-i2665935558.html", "https://www.lazada.vn/products/bot-sua-f1-vi-dau-bua-an-dinh-duong-lanh-manh-i2665935558.html")</f>
        <v>https://www.lazada.vn/products/bot-sua-f1-vi-dau-bua-an-dinh-duong-lanh-manh-i2665935558.html</v>
      </c>
      <c r="C5842" s="10" t="s">
        <v>5842</v>
      </c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>
      <c r="A5843" s="8">
        <v>10697.0</v>
      </c>
      <c r="B5843" s="9" t="str">
        <f>HYPERLINK("https://www.lazada.vn/products/re-vo-dich-150gr-thach-soi-gion-chuyen-dung-trong-cac-mon-che-chi-duy-hat-co-tai-xuong-che-ngon-va-do-an-vat-i2353815512.html", "https://www.lazada.vn/products/re-vo-dich-150gr-thach-soi-gion-chuyen-dung-trong-cac-mon-che-chi-duy-hat-co-tai-xuong-che-ngon-va-do-an-vat-i2353815512.html")</f>
        <v>https://www.lazada.vn/products/re-vo-dich-150gr-thach-soi-gion-chuyen-dung-trong-cac-mon-che-chi-duy-hat-co-tai-xuong-che-ngon-va-do-an-vat-i2353815512.html</v>
      </c>
      <c r="C5843" s="10" t="s">
        <v>5843</v>
      </c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>
      <c r="A5844" s="8">
        <v>10698.0</v>
      </c>
      <c r="B5844" s="9" t="str">
        <f>HYPERLINK("https://www.lazada.vn/products/chinesefoodhop-20-goi-nam-kim-cham-sieu-ngon-hang-san-i1737913870.html", "https://www.lazada.vn/products/chinesefoodhop-20-goi-nam-kim-cham-sieu-ngon-hang-san-i1737913870.html")</f>
        <v>https://www.lazada.vn/products/chinesefoodhop-20-goi-nam-kim-cham-sieu-ngon-hang-san-i1737913870.html</v>
      </c>
      <c r="C5844" s="10" t="s">
        <v>5844</v>
      </c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>
      <c r="A5845" s="8">
        <v>10699.0</v>
      </c>
      <c r="B5845" s="9" t="str">
        <f>HYPERLINK("https://www.lazada.vn/products/500gr-keo-thach-zaizai-hang-chuan-duc-hanh-mix-vi-trai-cay-i2348950215.html", "https://www.lazada.vn/products/500gr-keo-thach-zaizai-hang-chuan-duc-hanh-mix-vi-trai-cay-i2348950215.html")</f>
        <v>https://www.lazada.vn/products/500gr-keo-thach-zaizai-hang-chuan-duc-hanh-mix-vi-trai-cay-i2348950215.html</v>
      </c>
      <c r="C5845" s="10" t="s">
        <v>5845</v>
      </c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>
      <c r="A5846" s="8">
        <v>10700.0</v>
      </c>
      <c r="B5846" s="9" t="str">
        <f>HYPERLINK("https://www.lazada.vn/products/1kg-kho-ca-sac-la-sac-dong-chinh-goc-tu-nhien-250gram-500gram-kho-ca-sac-buom-i1895789325.html", "https://www.lazada.vn/products/1kg-kho-ca-sac-la-sac-dong-chinh-goc-tu-nhien-250gram-500gram-kho-ca-sac-buom-i1895789325.html")</f>
        <v>https://www.lazada.vn/products/1kg-kho-ca-sac-la-sac-dong-chinh-goc-tu-nhien-250gram-500gram-kho-ca-sac-buom-i1895789325.html</v>
      </c>
      <c r="C5846" s="10" t="s">
        <v>5846</v>
      </c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>
      <c r="A5847" s="8">
        <v>10701.0</v>
      </c>
      <c r="B5847" s="9" t="str">
        <f>HYPERLINK("https://www.lazada.vn/products/mi-chai-nho-trung-khanh-chinh-hieu-nuoc-sot-nuoc-sot-cay-tuong-ot-mi-dandan-mi-xao-gia-vi-i2838610569.html", "https://www.lazada.vn/products/mi-chai-nho-trung-khanh-chinh-hieu-nuoc-sot-nuoc-sot-cay-tuong-ot-mi-dandan-mi-xao-gia-vi-i2838610569.html")</f>
        <v>https://www.lazada.vn/products/mi-chai-nho-trung-khanh-chinh-hieu-nuoc-sot-nuoc-sot-cay-tuong-ot-mi-dandan-mi-xao-gia-vi-i2838610569.html</v>
      </c>
      <c r="C5847" s="10" t="s">
        <v>5847</v>
      </c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>
      <c r="A5848" s="8">
        <v>10702.0</v>
      </c>
      <c r="B5848" s="9" t="str">
        <f>HYPERLINK("https://www.lazada.vn/products/nuoc-trai-cay-len-men-rio-noi-dia-trung-sieu-ngon-i2751550821.html", "https://www.lazada.vn/products/nuoc-trai-cay-len-men-rio-noi-dia-trung-sieu-ngon-i2751550821.html")</f>
        <v>https://www.lazada.vn/products/nuoc-trai-cay-len-men-rio-noi-dia-trung-sieu-ngon-i2751550821.html</v>
      </c>
      <c r="C5848" s="10" t="s">
        <v>5848</v>
      </c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>
      <c r="A5849" s="8">
        <v>10703.0</v>
      </c>
      <c r="B5849" s="9" t="str">
        <f>HYPERLINK("https://www.lazada.vn/products/banh-snack-khong-lo-fuchi-thai-lan-600gam-snack-an-vat-thom-ngon-gion-tan-i2697223769.html", "https://www.lazada.vn/products/banh-snack-khong-lo-fuchi-thai-lan-600gam-snack-an-vat-thom-ngon-gion-tan-i2697223769.html")</f>
        <v>https://www.lazada.vn/products/banh-snack-khong-lo-fuchi-thai-lan-600gam-snack-an-vat-thom-ngon-gion-tan-i2697223769.html</v>
      </c>
      <c r="C5849" s="10" t="s">
        <v>5849</v>
      </c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>
      <c r="A5850" s="8">
        <v>10704.0</v>
      </c>
      <c r="B5850" s="9" t="str">
        <f>HYPERLINK("https://www.lazada.vn/products/100g-cao-ngua-bach-i2662650683.html", "https://www.lazada.vn/products/100g-cao-ngua-bach-i2662650683.html")</f>
        <v>https://www.lazada.vn/products/100g-cao-ngua-bach-i2662650683.html</v>
      </c>
      <c r="C5850" s="10" t="s">
        <v>5850</v>
      </c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>
      <c r="A5851" s="8">
        <v>10705.0</v>
      </c>
      <c r="B5851" s="9" t="str">
        <f>HYPERLINK("https://www.lazada.vn/products/banh-tet-banh-quy-bo-phap-lu-180g-i2881318450.html", "https://www.lazada.vn/products/banh-tet-banh-quy-bo-phap-lu-180g-i2881318450.html")</f>
        <v>https://www.lazada.vn/products/banh-tet-banh-quy-bo-phap-lu-180g-i2881318450.html</v>
      </c>
      <c r="C5851" s="10" t="s">
        <v>5851</v>
      </c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>
      <c r="A5852" s="8">
        <v>10706.0</v>
      </c>
      <c r="B5852" s="9" t="str">
        <f>HYPERLINK("https://www.lazada.vn/products/ruou-ha-noi-halico-nong-do-35-can-pe-2l-khong-kem-hop-i2614387403.html", "https://www.lazada.vn/products/ruou-ha-noi-halico-nong-do-35-can-pe-2l-khong-kem-hop-i2614387403.html")</f>
        <v>https://www.lazada.vn/products/ruou-ha-noi-halico-nong-do-35-can-pe-2l-khong-kem-hop-i2614387403.html</v>
      </c>
      <c r="C5852" s="10" t="s">
        <v>5852</v>
      </c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>
      <c r="A5853" s="8">
        <v>10707.0</v>
      </c>
      <c r="B5853" s="9" t="str">
        <f>HYPERLINK("https://www.lazada.vn/products/keo-ngam-vi-bo-huc-fast-charging-keo-tang-luc-goi-320g-beegin-mart-i2717358308.html", "https://www.lazada.vn/products/keo-ngam-vi-bo-huc-fast-charging-keo-tang-luc-goi-320g-beegin-mart-i2717358308.html")</f>
        <v>https://www.lazada.vn/products/keo-ngam-vi-bo-huc-fast-charging-keo-tang-luc-goi-320g-beegin-mart-i2717358308.html</v>
      </c>
      <c r="C5853" s="10" t="s">
        <v>5853</v>
      </c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>
      <c r="A5854" s="8">
        <v>10708.0</v>
      </c>
      <c r="B5854" s="9" t="str">
        <f>HYPERLINK("https://www.lazada.vn/products/socola-y-zaini-ly-trinh-15-i2907949205.html", "https://www.lazada.vn/products/socola-y-zaini-ly-trinh-15-i2907949205.html")</f>
        <v>https://www.lazada.vn/products/socola-y-zaini-ly-trinh-15-i2907949205.html</v>
      </c>
      <c r="C5854" s="10" t="s">
        <v>5854</v>
      </c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>
      <c r="A5855" s="8">
        <v>10709.0</v>
      </c>
      <c r="B5855" s="9" t="str">
        <f>HYPERLINK("https://www.lazada.vn/products/500g-bot-banh-bao-nguyen-cam-i1485561739.html", "https://www.lazada.vn/products/500g-bot-banh-bao-nguyen-cam-i1485561739.html")</f>
        <v>https://www.lazada.vn/products/500g-bot-banh-bao-nguyen-cam-i1485561739.html</v>
      </c>
      <c r="C5855" s="10" t="s">
        <v>5855</v>
      </c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>
      <c r="A5856" s="8">
        <v>10710.0</v>
      </c>
      <c r="B5856" s="9" t="str">
        <f>HYPERLINK("https://www.lazada.vn/products/vang-da-lat-dankia-125-750ml-vang-do-i2607589141.html", "https://www.lazada.vn/products/vang-da-lat-dankia-125-750ml-vang-do-i2607589141.html")</f>
        <v>https://www.lazada.vn/products/vang-da-lat-dankia-125-750ml-vang-do-i2607589141.html</v>
      </c>
      <c r="C5856" s="10" t="s">
        <v>5856</v>
      </c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>
      <c r="A5857" s="8">
        <v>10711.0</v>
      </c>
      <c r="B5857" s="9" t="str">
        <f>HYPERLINK("https://www.lazada.vn/products/banh-trang-pho-mai-sua-pho-mai-la-dua-pho-mai-ga-mieng-pho-mai-tom-hanh-do-an-vat-nhu-ngoc-nhieu-pho-mai-thom-ngon-hao-hang-kl-500g-i2474924766.html", "https://www.lazada.vn/products/banh-trang-pho-mai-sua-pho-mai-la-dua-pho-mai-ga-mieng-pho-mai-tom-hanh-do-an-vat-nhu-ngoc-nhieu-pho-mai-thom-ngon-hao-hang-kl-500g-i2474924766.html")</f>
        <v>https://www.lazada.vn/products/banh-trang-pho-mai-sua-pho-mai-la-dua-pho-mai-ga-mieng-pho-mai-tom-hanh-do-an-vat-nhu-ngoc-nhieu-pho-mai-thom-ngon-hao-hang-kl-500g-i2474924766.html</v>
      </c>
      <c r="C5857" s="10" t="s">
        <v>5857</v>
      </c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>
      <c r="A5858" s="8">
        <v>10712.0</v>
      </c>
      <c r="B5858" s="9" t="str">
        <f>HYPERLINK("https://www.lazada.vn/products/stangen-beer-500ml-nhap-khau-duc-i2692135217.html", "https://www.lazada.vn/products/stangen-beer-500ml-nhap-khau-duc-i2692135217.html")</f>
        <v>https://www.lazada.vn/products/stangen-beer-500ml-nhap-khau-duc-i2692135217.html</v>
      </c>
      <c r="C5858" s="10" t="s">
        <v>5858</v>
      </c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>
      <c r="A5859" s="8">
        <v>10713.0</v>
      </c>
      <c r="B5859" s="9" t="str">
        <f>HYPERLINK("https://www.lazada.vn/products/thit-soi-chay-100g-au-lac-i3035671087.html", "https://www.lazada.vn/products/thit-soi-chay-100g-au-lac-i3035671087.html")</f>
        <v>https://www.lazada.vn/products/thit-soi-chay-100g-au-lac-i3035671087.html</v>
      </c>
      <c r="C5859" s="10" t="s">
        <v>5859</v>
      </c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>
      <c r="A5860" s="8">
        <v>10714.0</v>
      </c>
      <c r="B5860" s="9" t="str">
        <f>HYPERLINK("https://www.lazada.vn/products/ca-phe-nguyen-chat-robusta-arabica-the-organic-coffee-chua-hanh-dung-pha-cold-brew-500gr-i2677558978.html", "https://www.lazada.vn/products/ca-phe-nguyen-chat-robusta-arabica-the-organic-coffee-chua-hanh-dung-pha-cold-brew-500gr-i2677558978.html")</f>
        <v>https://www.lazada.vn/products/ca-phe-nguyen-chat-robusta-arabica-the-organic-coffee-chua-hanh-dung-pha-cold-brew-500gr-i2677558978.html</v>
      </c>
      <c r="C5860" s="10" t="s">
        <v>5860</v>
      </c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>
      <c r="A5861" s="8">
        <v>10715.0</v>
      </c>
      <c r="B5861" s="9" t="str">
        <f>HYPERLINK("https://www.lazada.vn/products/1lit-ruou-nep-than-ngoc-nuong-ben-tre-ngua-ung-thu-ngua-thieu-mau-do-sat-lam-dep-duoc-chung-nhan-an-toan-thuc-pham-i2503004693.html", "https://www.lazada.vn/products/1lit-ruou-nep-than-ngoc-nuong-ben-tre-ngua-ung-thu-ngua-thieu-mau-do-sat-lam-dep-duoc-chung-nhan-an-toan-thuc-pham-i2503004693.html")</f>
        <v>https://www.lazada.vn/products/1lit-ruou-nep-than-ngoc-nuong-ben-tre-ngua-ung-thu-ngua-thieu-mau-do-sat-lam-dep-duoc-chung-nhan-an-toan-thuc-pham-i2503004693.html</v>
      </c>
      <c r="C5861" s="10" t="s">
        <v>5861</v>
      </c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>
      <c r="A5862" s="8">
        <v>10716.0</v>
      </c>
      <c r="B5862" s="9" t="str">
        <f>HYPERLINK("https://www.lazada.vn/products/hop-20-goi-tinh-bot-chuoi-xanh-say-lanhtinh-bot-khang-tu-nhien-giam-can-tot-cho-da-daytieu-hoa-het-tao-bon-i2665734505.html", "https://www.lazada.vn/products/hop-20-goi-tinh-bot-chuoi-xanh-say-lanhtinh-bot-khang-tu-nhien-giam-can-tot-cho-da-daytieu-hoa-het-tao-bon-i2665734505.html")</f>
        <v>https://www.lazada.vn/products/hop-20-goi-tinh-bot-chuoi-xanh-say-lanhtinh-bot-khang-tu-nhien-giam-can-tot-cho-da-daytieu-hoa-het-tao-bon-i2665734505.html</v>
      </c>
      <c r="C5862" s="10" t="s">
        <v>5862</v>
      </c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>
      <c r="A5863" s="8">
        <v>10717.0</v>
      </c>
      <c r="B5863" s="9" t="str">
        <f>HYPERLINK("https://www.lazada.vn/products/thach-rau-cau-pha-san-cac-vi-thach-uc-1-goi-500gr-khong-can-dun-nau-du-vi-cost-thap-de-pha-chi-20k1kg-thach-thanh-pham-i2340338280.html", "https://www.lazada.vn/products/thach-rau-cau-pha-san-cac-vi-thach-uc-1-goi-500gr-khong-can-dun-nau-du-vi-cost-thap-de-pha-chi-20k1kg-thach-thanh-pham-i2340338280.html")</f>
        <v>https://www.lazada.vn/products/thach-rau-cau-pha-san-cac-vi-thach-uc-1-goi-500gr-khong-can-dun-nau-du-vi-cost-thap-de-pha-chi-20k1kg-thach-thanh-pham-i2340338280.html</v>
      </c>
      <c r="C5863" s="10" t="s">
        <v>5863</v>
      </c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>
      <c r="A5864" s="8">
        <v>10718.0</v>
      </c>
      <c r="B5864" s="9" t="str">
        <f>HYPERLINK("https://www.lazada.vn/products/qua-tang-nha-shu-1-goi-tam-cay-den-aluowa-huong-vi-tuoi-tho-i1737900481.html", "https://www.lazada.vn/products/qua-tang-nha-shu-1-goi-tam-cay-den-aluowa-huong-vi-tuoi-tho-i1737900481.html")</f>
        <v>https://www.lazada.vn/products/qua-tang-nha-shu-1-goi-tam-cay-den-aluowa-huong-vi-tuoi-tho-i1737900481.html</v>
      </c>
      <c r="C5864" s="10" t="s">
        <v>5864</v>
      </c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>
      <c r="A5865" s="8">
        <v>10719.0</v>
      </c>
      <c r="B5865" s="9" t="str">
        <f>HYPERLINK("https://www.lazada.vn/products/hu-tieu-chay-nhu-y-cai-tien-moi-voi-gao-st25-va-rau-nam-toi-phi-i2837743809.html", "https://www.lazada.vn/products/hu-tieu-chay-nhu-y-cai-tien-moi-voi-gao-st25-va-rau-nam-toi-phi-i2837743809.html")</f>
        <v>https://www.lazada.vn/products/hu-tieu-chay-nhu-y-cai-tien-moi-voi-gao-st25-va-rau-nam-toi-phi-i2837743809.html</v>
      </c>
      <c r="C5865" s="10" t="s">
        <v>5865</v>
      </c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>
      <c r="A5866" s="8">
        <v>10720.0</v>
      </c>
      <c r="B5866" s="9" t="str">
        <f>HYPERLINK("https://www.lazada.vn/products/thung-6-chai-kombucha-tuoi-gutbox-250ml-cac-vi-i2751372504.html", "https://www.lazada.vn/products/thung-6-chai-kombucha-tuoi-gutbox-250ml-cac-vi-i2751372504.html")</f>
        <v>https://www.lazada.vn/products/thung-6-chai-kombucha-tuoi-gutbox-250ml-cac-vi-i2751372504.html</v>
      </c>
      <c r="C5866" s="10" t="s">
        <v>5866</v>
      </c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>
      <c r="A5867" s="8">
        <v>10721.0</v>
      </c>
      <c r="B5867" s="9" t="str">
        <f>HYPERLINK("https://www.lazada.vn/products/snack-doritos-nhieu-vi-thom-gion-i2696606097.html", "https://www.lazada.vn/products/snack-doritos-nhieu-vi-thom-gion-i2696606097.html")</f>
        <v>https://www.lazada.vn/products/snack-doritos-nhieu-vi-thom-gion-i2696606097.html</v>
      </c>
      <c r="C5867" s="10" t="s">
        <v>5867</v>
      </c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>
      <c r="A5868" s="8">
        <v>10722.0</v>
      </c>
      <c r="B5868" s="9" t="str">
        <f>HYPERLINK("https://www.lazada.vn/products/banh-kep-ngo-vang-xuat-khau-250g-500g-1-kg-i2881307835.html", "https://www.lazada.vn/products/banh-kep-ngo-vang-xuat-khau-250g-500g-1-kg-i2881307835.html")</f>
        <v>https://www.lazada.vn/products/banh-kep-ngo-vang-xuat-khau-250g-500g-1-kg-i2881307835.html</v>
      </c>
      <c r="C5868" s="10" t="s">
        <v>5868</v>
      </c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>
      <c r="A5869" s="8">
        <v>10723.0</v>
      </c>
      <c r="B5869" s="9" t="str">
        <f>HYPERLINK("https://www.lazada.vn/products/tac-xi-muoi-vina-omai-hu-900g-i2662165249.html", "https://www.lazada.vn/products/tac-xi-muoi-vina-omai-hu-900g-i2662165249.html")</f>
        <v>https://www.lazada.vn/products/tac-xi-muoi-vina-omai-hu-900g-i2662165249.html</v>
      </c>
      <c r="C5869" s="10" t="s">
        <v>5869</v>
      </c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>
      <c r="A5870" s="8">
        <v>10724.0</v>
      </c>
      <c r="B5870" s="9" t="str">
        <f>HYPERLINK("https://www.lazada.vn/products/sup-pho-mai-rau-chan-vit-paneer-palak-300gm-i1888672683.html", "https://www.lazada.vn/products/sup-pho-mai-rau-chan-vit-paneer-palak-300gm-i1888672683.html")</f>
        <v>https://www.lazada.vn/products/sup-pho-mai-rau-chan-vit-paneer-palak-300gm-i1888672683.html</v>
      </c>
      <c r="C5870" s="10" t="s">
        <v>5870</v>
      </c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>
      <c r="A5871" s="8">
        <v>10725.0</v>
      </c>
      <c r="B5871" s="9" t="str">
        <f>HYPERLINK("https://www.lazada.vn/products/ruou-nep-moi-halico-nong-do-40-halico-chai-700ml-khong-kem-hop-i2614381636.html", "https://www.lazada.vn/products/ruou-nep-moi-halico-nong-do-40-halico-chai-700ml-khong-kem-hop-i2614381636.html")</f>
        <v>https://www.lazada.vn/products/ruou-nep-moi-halico-nong-do-40-halico-chai-700ml-khong-kem-hop-i2614381636.html</v>
      </c>
      <c r="C5871" s="10" t="s">
        <v>5871</v>
      </c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>
      <c r="A5872" s="8">
        <v>10726.0</v>
      </c>
      <c r="B5872" s="9" t="str">
        <f>HYPERLINK("https://www.lazada.vn/products/keo-ngam-vi-bo-huc-fast-charging-keo-tang-luc-goi-320g-store-gia-ngan-i2717339357.html", "https://www.lazada.vn/products/keo-ngam-vi-bo-huc-fast-charging-keo-tang-luc-goi-320g-store-gia-ngan-i2717339357.html")</f>
        <v>https://www.lazada.vn/products/keo-ngam-vi-bo-huc-fast-charging-keo-tang-luc-goi-320g-store-gia-ngan-i2717339357.html</v>
      </c>
      <c r="C5872" s="10" t="s">
        <v>5872</v>
      </c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>
      <c r="A5873" s="8">
        <v>10727.0</v>
      </c>
      <c r="B5873" s="9" t="str">
        <f>HYPERLINK("https://www.lazada.vn/products/hcmbanh-quy-socola-bourbon-petit-bourbon-petit-chocolate-i1470998533.html", "https://www.lazada.vn/products/hcmbanh-quy-socola-bourbon-petit-bourbon-petit-chocolate-i1470998533.html")</f>
        <v>https://www.lazada.vn/products/hcmbanh-quy-socola-bourbon-petit-bourbon-petit-chocolate-i1470998533.html</v>
      </c>
      <c r="C5873" s="10" t="s">
        <v>5873</v>
      </c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>
      <c r="A5874" s="8">
        <v>10728.0</v>
      </c>
      <c r="B5874" s="9" t="str">
        <f>HYPERLINK("https://www.lazada.vn/products/banh-tai-heo-me-tui-1kg-an-vat-ngon-i2474536434.html", "https://www.lazada.vn/products/banh-tai-heo-me-tui-1kg-an-vat-ngon-i2474536434.html")</f>
        <v>https://www.lazada.vn/products/banh-tai-heo-me-tui-1kg-an-vat-ngon-i2474536434.html</v>
      </c>
      <c r="C5874" s="10" t="s">
        <v>5874</v>
      </c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>
      <c r="A5875" s="8">
        <v>10729.0</v>
      </c>
      <c r="B5875" s="9" t="str">
        <f>HYPERLINK("https://www.lazada.vn/products/socola-y-zaini-leetrinh-i2907931230.html", "https://www.lazada.vn/products/socola-y-zaini-leetrinh-i2907931230.html")</f>
        <v>https://www.lazada.vn/products/socola-y-zaini-leetrinh-i2907931230.html</v>
      </c>
      <c r="C5875" s="10" t="s">
        <v>5875</v>
      </c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>
      <c r="A5876" s="8">
        <v>10730.0</v>
      </c>
      <c r="B5876" s="9" t="str">
        <f>HYPERLINK("https://www.lazada.vn/products/loc-6-lon-nuoc-ngot-co-gas-7up-lon-320-ml-bach-hoa-tong-hop-nhu-ngoc-i2423105317.html", "https://www.lazada.vn/products/loc-6-lon-nuoc-ngot-co-gas-7up-lon-320-ml-bach-hoa-tong-hop-nhu-ngoc-i2423105317.html")</f>
        <v>https://www.lazada.vn/products/loc-6-lon-nuoc-ngot-co-gas-7up-lon-320-ml-bach-hoa-tong-hop-nhu-ngoc-i2423105317.html</v>
      </c>
      <c r="C5876" s="10" t="s">
        <v>5876</v>
      </c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>
      <c r="A5877" s="8">
        <v>10731.0</v>
      </c>
      <c r="B5877" s="9" t="str">
        <f>HYPERLINK("https://www.lazada.vn/products/combo-6-goi-bim-bim-que-mix-vi-cay-thai-lan-50ggoi-shop_japangood-i2696176417.html", "https://www.lazada.vn/products/combo-6-goi-bim-bim-que-mix-vi-cay-thai-lan-50ggoi-shop_japangood-i2696176417.html")</f>
        <v>https://www.lazada.vn/products/combo-6-goi-bim-bim-que-mix-vi-cay-thai-lan-50ggoi-shop_japangood-i2696176417.html</v>
      </c>
      <c r="C5877" s="10" t="s">
        <v>5877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>
      <c r="A5878" s="8">
        <v>10732.0</v>
      </c>
      <c r="B5878" s="9" t="str">
        <f>HYPERLINK("https://www.lazada.vn/products/hu-pet-500gr-mix-3-loai-hat-dinh-duong-da-tach-vo-oc-cho-mac-ca-hanh-nhan-hat-dieu-_-lam-sua-cho-be-i527134272.html", "https://www.lazada.vn/products/hu-pet-500gr-mix-3-loai-hat-dinh-duong-da-tach-vo-oc-cho-mac-ca-hanh-nhan-hat-dieu-_-lam-sua-cho-be-i527134272.html")</f>
        <v>https://www.lazada.vn/products/hu-pet-500gr-mix-3-loai-hat-dinh-duong-da-tach-vo-oc-cho-mac-ca-hanh-nhan-hat-dieu-_-lam-sua-cho-be-i527134272.html</v>
      </c>
      <c r="C5878" s="10" t="s">
        <v>5878</v>
      </c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>
      <c r="A5879" s="8">
        <v>10733.0</v>
      </c>
      <c r="B5879" s="9" t="str">
        <f>HYPERLINK("https://www.lazada.vn/products/thung-1kg-banh-cuon-bong-lan-cuon-oc-vi-pho-mai-socola-b150-beegin-food-i2637816021.html", "https://www.lazada.vn/products/thung-1kg-banh-cuon-bong-lan-cuon-oc-vi-pho-mai-socola-b150-beegin-food-i2637816021.html")</f>
        <v>https://www.lazada.vn/products/thung-1kg-banh-cuon-bong-lan-cuon-oc-vi-pho-mai-socola-b150-beegin-food-i2637816021.html</v>
      </c>
      <c r="C5879" s="10" t="s">
        <v>5879</v>
      </c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>
      <c r="A5880" s="8">
        <v>10734.0</v>
      </c>
      <c r="B5880" s="9" t="str">
        <f>HYPERLINK("https://www.lazada.vn/products/thungloc-24-lon-nuoc-giai-khat-coca-cola-vi-nguyen-ban-original-lon-300ml-i2409306926.html", "https://www.lazada.vn/products/thungloc-24-lon-nuoc-giai-khat-coca-cola-vi-nguyen-ban-original-lon-300ml-i2409306926.html")</f>
        <v>https://www.lazada.vn/products/thungloc-24-lon-nuoc-giai-khat-coca-cola-vi-nguyen-ban-original-lon-300ml-i2409306926.html</v>
      </c>
      <c r="C5880" s="10" t="s">
        <v>5880</v>
      </c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>
      <c r="A5881" s="8">
        <v>10735.0</v>
      </c>
      <c r="B5881" s="9" t="str">
        <f>HYPERLINK("https://www.lazada.vn/products/thuc-uong-lua-mach-bot-cacao-milo-nestle-bich-1kg-i1798146723.html", "https://www.lazada.vn/products/thuc-uong-lua-mach-bot-cacao-milo-nestle-bich-1kg-i1798146723.html")</f>
        <v>https://www.lazada.vn/products/thuc-uong-lua-mach-bot-cacao-milo-nestle-bich-1kg-i1798146723.html</v>
      </c>
      <c r="C5881" s="10" t="s">
        <v>5881</v>
      </c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>
      <c r="A5882" s="8">
        <v>10736.0</v>
      </c>
      <c r="B5882" s="9" t="str">
        <f>HYPERLINK("https://www.lazada.vn/products/kho-quet-an-lien-nam-ngu-hu-200g-i2837209621.html", "https://www.lazada.vn/products/kho-quet-an-lien-nam-ngu-hu-200g-i2837209621.html")</f>
        <v>https://www.lazada.vn/products/kho-quet-an-lien-nam-ngu-hu-200g-i2837209621.html</v>
      </c>
      <c r="C5882" s="10" t="s">
        <v>5882</v>
      </c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>
      <c r="A5883" s="8">
        <v>10737.0</v>
      </c>
      <c r="B5883" s="9" t="str">
        <f>HYPERLINK("https://www.lazada.vn/products/combo-4-chai-nuoc-ep-trai-cay-pororo-vi-sua-235-ml-tu-3-tuoi-i2749154014.html", "https://www.lazada.vn/products/combo-4-chai-nuoc-ep-trai-cay-pororo-vi-sua-235-ml-tu-3-tuoi-i2749154014.html")</f>
        <v>https://www.lazada.vn/products/combo-4-chai-nuoc-ep-trai-cay-pororo-vi-sua-235-ml-tu-3-tuoi-i2749154014.html</v>
      </c>
      <c r="C5883" s="10" t="s">
        <v>5883</v>
      </c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>
      <c r="A5884" s="8">
        <v>10738.0</v>
      </c>
      <c r="B5884" s="9" t="str">
        <f>HYPERLINK("https://www.lazada.vn/products/bia-50-original-weiss-beer-bia-lua-mi-thung-24-lon-x500ml-i2687707062.html", "https://www.lazada.vn/products/bia-50-original-weiss-beer-bia-lua-mi-thung-24-lon-x500ml-i2687707062.html")</f>
        <v>https://www.lazada.vn/products/bia-50-original-weiss-beer-bia-lua-mi-thung-24-lon-x500ml-i2687707062.html</v>
      </c>
      <c r="C5884" s="10" t="s">
        <v>5884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>
      <c r="A5885" s="8">
        <v>10739.0</v>
      </c>
      <c r="B5885" s="9" t="str">
        <f>HYPERLINK("https://www.lazada.vn/products/chinesefoodbot-ot-12-trng-hoa-goi-100g-hang-san-i1737899999.html", "https://www.lazada.vn/products/chinesefoodbot-ot-12-trng-hoa-goi-100g-hang-san-i1737899999.html")</f>
        <v>https://www.lazada.vn/products/chinesefoodbot-ot-12-trng-hoa-goi-100g-hang-san-i1737899999.html</v>
      </c>
      <c r="C5885" s="10" t="s">
        <v>5885</v>
      </c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>
      <c r="A5886" s="8">
        <v>10740.0</v>
      </c>
      <c r="B5886" s="9" t="str">
        <f>HYPERLINK("https://www.lazada.vn/products/chinh-hang-ruou-vodka-nhat-ban-tenjaku-700ml-40-i2606826360.html", "https://www.lazada.vn/products/chinh-hang-ruou-vodka-nhat-ban-tenjaku-700ml-40-i2606826360.html")</f>
        <v>https://www.lazada.vn/products/chinh-hang-ruou-vodka-nhat-ban-tenjaku-700ml-40-i2606826360.html</v>
      </c>
      <c r="C5886" s="10" t="s">
        <v>5886</v>
      </c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>
      <c r="A5887" s="8">
        <v>10741.0</v>
      </c>
      <c r="B5887" s="9" t="str">
        <f>HYPERLINK("https://www.lazada.vn/products/loc-6-lon-nuoc-ngot-co-gas-pepsi-cola-lon-320-ml-bach-hoa-tong-hop-nhu-ngoc-i2423042867.html", "https://www.lazada.vn/products/loc-6-lon-nuoc-ngot-co-gas-pepsi-cola-lon-320-ml-bach-hoa-tong-hop-nhu-ngoc-i2423042867.html")</f>
        <v>https://www.lazada.vn/products/loc-6-lon-nuoc-ngot-co-gas-pepsi-cola-lon-320-ml-bach-hoa-tong-hop-nhu-ngoc-i2423042867.html</v>
      </c>
      <c r="C5887" s="10" t="s">
        <v>5887</v>
      </c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>
      <c r="A5888" s="8">
        <v>10742.0</v>
      </c>
      <c r="B5888" s="9" t="str">
        <f>HYPERLINK("https://www.lazada.vn/products/1-hop-tram-ngam-mam-ot-dac-san-lang-son-15kg-i1888659284.html", "https://www.lazada.vn/products/1-hop-tram-ngam-mam-ot-dac-san-lang-son-15kg-i1888659284.html")</f>
        <v>https://www.lazada.vn/products/1-hop-tram-ngam-mam-ot-dac-san-lang-son-15kg-i1888659284.html</v>
      </c>
      <c r="C5888" s="10" t="s">
        <v>5888</v>
      </c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>
      <c r="A5889" s="8">
        <v>10743.0</v>
      </c>
      <c r="B5889" s="9" t="str">
        <f>HYPERLINK("https://www.lazada.vn/products/loc-6-chai-wake-up-247-nuoc-tang-luc-vi-ca-phe-i2408116929.html", "https://www.lazada.vn/products/loc-6-chai-wake-up-247-nuoc-tang-luc-vi-ca-phe-i2408116929.html")</f>
        <v>https://www.lazada.vn/products/loc-6-chai-wake-up-247-nuoc-tang-luc-vi-ca-phe-i2408116929.html</v>
      </c>
      <c r="C5889" s="10" t="s">
        <v>5889</v>
      </c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>
      <c r="A5890" s="8">
        <v>10744.0</v>
      </c>
      <c r="B5890" s="9" t="str">
        <f>HYPERLINK("https://www.lazada.vn/products/freeshipmaxbot-cacao-nguyen-chat-100-450gr-230gr-khong-chat-bao-quan-khong-chat-tao-mau-dep-da-tot-cho-suc-khoe-toi-yeu-hat-i1778753976.html", "https://www.lazada.vn/products/freeshipmaxbot-cacao-nguyen-chat-100-450gr-230gr-khong-chat-bao-quan-khong-chat-tao-mau-dep-da-tot-cho-suc-khoe-toi-yeu-hat-i1778753976.html")</f>
        <v>https://www.lazada.vn/products/freeshipmaxbot-cacao-nguyen-chat-100-450gr-230gr-khong-chat-bao-quan-khong-chat-tao-mau-dep-da-tot-cho-suc-khoe-toi-yeu-hat-i1778753976.html</v>
      </c>
      <c r="C5890" s="10" t="s">
        <v>5890</v>
      </c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>
      <c r="A5891" s="8">
        <v>10745.0</v>
      </c>
      <c r="B5891" s="9" t="str">
        <f>HYPERLINK("https://www.lazada.vn/products/vang-do-da-lat-classic-12-750ml-i2607547603.html", "https://www.lazada.vn/products/vang-do-da-lat-classic-12-750ml-i2607547603.html")</f>
        <v>https://www.lazada.vn/products/vang-do-da-lat-classic-12-750ml-i2607547603.html</v>
      </c>
      <c r="C5891" s="10" t="s">
        <v>5891</v>
      </c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>
      <c r="A5892" s="8">
        <v>10746.0</v>
      </c>
      <c r="B5892" s="9" t="str">
        <f>HYPERLINK("https://www.lazada.vn/products/classic-plus-version-ultra-large-spicy-tofu-snack-giant-niulai-traditional-chinese-street-food-dried-bean-curd-snacks-i2694926961.html", "https://www.lazada.vn/products/classic-plus-version-ultra-large-spicy-tofu-snack-giant-niulai-traditional-chinese-street-food-dried-bean-curd-snacks-i2694926961.html")</f>
        <v>https://www.lazada.vn/products/classic-plus-version-ultra-large-spicy-tofu-snack-giant-niulai-traditional-chinese-street-food-dried-bean-curd-snacks-i2694926961.html</v>
      </c>
      <c r="C5892" s="10" t="s">
        <v>5892</v>
      </c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>
      <c r="A5893" s="8">
        <v>10747.0</v>
      </c>
      <c r="B5893" s="9" t="str">
        <f>HYPERLINK("https://www.lazada.vn/products/combo-4-chai-nuoc-ep-trai-cay-pororo-vi-viet-quat-235-ml-tu-3-tuoi-i2749051462.html", "https://www.lazada.vn/products/combo-4-chai-nuoc-ep-trai-cay-pororo-vi-viet-quat-235-ml-tu-3-tuoi-i2749051462.html")</f>
        <v>https://www.lazada.vn/products/combo-4-chai-nuoc-ep-trai-cay-pororo-vi-viet-quat-235-ml-tu-3-tuoi-i2749051462.html</v>
      </c>
      <c r="C5893" s="10" t="s">
        <v>5893</v>
      </c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>
      <c r="A5894" s="8">
        <v>10748.0</v>
      </c>
      <c r="B5894" s="9" t="str">
        <f>HYPERLINK("https://www.lazada.vn/products/banh-da-cua-vifon-goi-60g-i2834620342.html", "https://www.lazada.vn/products/banh-da-cua-vifon-goi-60g-i2834620342.html")</f>
        <v>https://www.lazada.vn/products/banh-da-cua-vifon-goi-60g-i2834620342.html</v>
      </c>
      <c r="C5894" s="10" t="s">
        <v>5894</v>
      </c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>
      <c r="A5895" s="8">
        <v>10749.0</v>
      </c>
      <c r="B5895" s="9" t="str">
        <f>HYPERLINK("https://www.lazada.vn/products/tac-xi-muoi-vina-omai-hu-900g-i2662042977.html", "https://www.lazada.vn/products/tac-xi-muoi-vina-omai-hu-900g-i2662042977.html")</f>
        <v>https://www.lazada.vn/products/tac-xi-muoi-vina-omai-hu-900g-i2662042977.html</v>
      </c>
      <c r="C5895" s="10" t="s">
        <v>5895</v>
      </c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>
      <c r="A5896" s="8">
        <v>10750.0</v>
      </c>
      <c r="B5896" s="9" t="str">
        <f>HYPERLINK("https://www.lazada.vn/products/combo-5-bich-25-banh-an-sang-soi-thit-ga-cest-bon-banh-bong-lan-orion-goi-85g-5-banh-i1468461400.html", "https://www.lazada.vn/products/combo-5-bich-25-banh-an-sang-soi-thit-ga-cest-bon-banh-bong-lan-orion-goi-85g-5-banh-i1468461400.html")</f>
        <v>https://www.lazada.vn/products/combo-5-bich-25-banh-an-sang-soi-thit-ga-cest-bon-banh-bong-lan-orion-goi-85g-5-banh-i1468461400.html</v>
      </c>
      <c r="C5896" s="10" t="s">
        <v>5896</v>
      </c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>
      <c r="A5897" s="8">
        <v>10751.0</v>
      </c>
      <c r="B5897" s="9" t="str">
        <f>HYPERLINK("https://www.lazada.vn/products/combo-1-hu-hat-bi-xanh-an-do-500g-va-1-hu-macca-uc-nut-vo-uc-500g-i527134266.html", "https://www.lazada.vn/products/combo-1-hu-hat-bi-xanh-an-do-500g-va-1-hu-macca-uc-nut-vo-uc-500g-i527134266.html")</f>
        <v>https://www.lazada.vn/products/combo-1-hu-hat-bi-xanh-an-do-500g-va-1-hu-macca-uc-nut-vo-uc-500g-i527134266.html</v>
      </c>
      <c r="C5897" s="10" t="s">
        <v>5897</v>
      </c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>
      <c r="A5898" s="8">
        <v>10752.0</v>
      </c>
      <c r="B5898" s="9" t="str">
        <f>HYPERLINK("https://www.lazada.vn/products/banh-ong-mang-sua-500g-i2881285823.html", "https://www.lazada.vn/products/banh-ong-mang-sua-500g-i2881285823.html")</f>
        <v>https://www.lazada.vn/products/banh-ong-mang-sua-500g-i2881285823.html</v>
      </c>
      <c r="C5898" s="10" t="s">
        <v>5898</v>
      </c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>
      <c r="A5899" s="8">
        <v>10753.0</v>
      </c>
      <c r="B5899" s="9" t="str">
        <f>HYPERLINK("https://www.lazada.vn/products/snack-bim-bim-que-mix-vfoods-thai-lan-60g-nhieu-vi-i2465306433.html", "https://www.lazada.vn/products/snack-bim-bim-que-mix-vfoods-thai-lan-60g-nhieu-vi-i2465306433.html")</f>
        <v>https://www.lazada.vn/products/snack-bim-bim-que-mix-vfoods-thai-lan-60g-nhieu-vi-i2465306433.html</v>
      </c>
      <c r="C5899" s="10" t="s">
        <v>5899</v>
      </c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>
      <c r="A5900" s="8">
        <v>10754.0</v>
      </c>
      <c r="B5900" s="9" t="str">
        <f>HYPERLINK("https://www.lazada.vn/products/puree-ca-chua-ayam-brand-430gr-i3035583563.html", "https://www.lazada.vn/products/puree-ca-chua-ayam-brand-430gr-i3035583563.html")</f>
        <v>https://www.lazada.vn/products/puree-ca-chua-ayam-brand-430gr-i3035583563.html</v>
      </c>
      <c r="C5900" s="10" t="s">
        <v>5900</v>
      </c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>
      <c r="A5901" s="8">
        <v>10755.0</v>
      </c>
      <c r="B5901" s="9" t="str">
        <f>HYPERLINK("https://www.lazada.vn/products/chinesefoodgia-vi-tron-my-tron-pho-vi-bo-nam-sieu-ngon-i1737892956.html", "https://www.lazada.vn/products/chinesefoodgia-vi-tron-my-tron-pho-vi-bo-nam-sieu-ngon-i1737892956.html")</f>
        <v>https://www.lazada.vn/products/chinesefoodgia-vi-tron-my-tron-pho-vi-bo-nam-sieu-ngon-i1737892956.html</v>
      </c>
      <c r="C5901" s="10" t="s">
        <v>5901</v>
      </c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>
      <c r="A5902" s="8">
        <v>10756.0</v>
      </c>
      <c r="B5902" s="9" t="str">
        <f>HYPERLINK("https://www.lazada.vn/products/bot-can-tay-mat-ong-motree-say-lanh-dep-da-dep-dang-14goi-x-4g-i2664864934.html", "https://www.lazada.vn/products/bot-can-tay-mat-ong-motree-say-lanh-dep-da-dep-dang-14goi-x-4g-i2664864934.html")</f>
        <v>https://www.lazada.vn/products/bot-can-tay-mat-ong-motree-say-lanh-dep-da-dep-dang-14goi-x-4g-i2664864934.html</v>
      </c>
      <c r="C5902" s="10" t="s">
        <v>5902</v>
      </c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>
      <c r="A5903" s="8">
        <v>10757.0</v>
      </c>
      <c r="B5903" s="9" t="str">
        <f>HYPERLINK("https://www.lazada.vn/products/keo-sam-xtreme-candy-chinh-hang-cai-tien-cao-cap-malaysia-cuc-manh-date-moi-i2716529161.html", "https://www.lazada.vn/products/keo-sam-xtreme-candy-chinh-hang-cai-tien-cao-cap-malaysia-cuc-manh-date-moi-i2716529161.html")</f>
        <v>https://www.lazada.vn/products/keo-sam-xtreme-candy-chinh-hang-cai-tien-cao-cap-malaysia-cuc-manh-date-moi-i2716529161.html</v>
      </c>
      <c r="C5903" s="10" t="s">
        <v>5903</v>
      </c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>
      <c r="A5904" s="8">
        <v>10758.0</v>
      </c>
      <c r="B5904" s="9" t="str">
        <f>HYPERLINK("https://www.lazada.vn/products/ruou-gao-nha-nau-nguyen-chat-900ml-dung-de-nau-an-ngam-uong-i2502848359.html", "https://www.lazada.vn/products/ruou-gao-nha-nau-nguyen-chat-900ml-dung-de-nau-an-ngam-uong-i2502848359.html")</f>
        <v>https://www.lazada.vn/products/ruou-gao-nha-nau-nguyen-chat-900ml-dung-de-nau-an-ngam-uong-i2502848359.html</v>
      </c>
      <c r="C5904" s="10" t="s">
        <v>5904</v>
      </c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>
      <c r="A5905" s="8">
        <v>10759.0</v>
      </c>
      <c r="B5905" s="9" t="str">
        <f>HYPERLINK("https://www.lazada.vn/products/thung-1kg-banh-mi-hamburger-nhan-khoai-mon-haalvde-b152-beegin-mart-i2637787864.html", "https://www.lazada.vn/products/thung-1kg-banh-mi-hamburger-nhan-khoai-mon-haalvde-b152-beegin-mart-i2637787864.html")</f>
        <v>https://www.lazada.vn/products/thung-1kg-banh-mi-hamburger-nhan-khoai-mon-haalvde-b152-beegin-mart-i2637787864.html</v>
      </c>
      <c r="C5905" s="10" t="s">
        <v>5905</v>
      </c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>
      <c r="A5906" s="8">
        <v>10760.0</v>
      </c>
      <c r="B5906" s="9" t="str">
        <f>HYPERLINK("https://www.lazada.vn/products/1-kg-banh-pia-trung-muoi-tan-chay-beo-bui-sieu-me-anvatshopmetom-i3015736024.html", "https://www.lazada.vn/products/1-kg-banh-pia-trung-muoi-tan-chay-beo-bui-sieu-me-anvatshopmetom-i3015736024.html")</f>
        <v>https://www.lazada.vn/products/1-kg-banh-pia-trung-muoi-tan-chay-beo-bui-sieu-me-anvatshopmetom-i3015736024.html</v>
      </c>
      <c r="C5906" s="10" t="s">
        <v>5906</v>
      </c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>
      <c r="A5907" s="8">
        <v>10761.0</v>
      </c>
      <c r="B5907" s="9" t="str">
        <f>HYPERLINK("https://www.lazada.vn/products/bia-50-original-craff-beer-bia-vang-thung-24-lon-x500ml-i2687692132.html", "https://www.lazada.vn/products/bia-50-original-craff-beer-bia-vang-thung-24-lon-x500ml-i2687692132.html")</f>
        <v>https://www.lazada.vn/products/bia-50-original-craff-beer-bia-vang-thung-24-lon-x500ml-i2687692132.html</v>
      </c>
      <c r="C5907" s="10" t="s">
        <v>5907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>
      <c r="A5908" s="8">
        <v>10762.0</v>
      </c>
      <c r="B5908" s="9" t="str">
        <f>HYPERLINK("https://www.lazada.vn/products/vodka-sa-hoang-vang-chai-1-lit-i2604761015.html", "https://www.lazada.vn/products/vodka-sa-hoang-vang-chai-1-lit-i2604761015.html")</f>
        <v>https://www.lazada.vn/products/vodka-sa-hoang-vang-chai-1-lit-i2604761015.html</v>
      </c>
      <c r="C5908" s="10" t="s">
        <v>5908</v>
      </c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>
      <c r="A5909" s="8">
        <v>10763.0</v>
      </c>
      <c r="B5909" s="9" t="str">
        <f>HYPERLINK("https://www.lazada.vn/products/nuoc-ngot-co-ga-vi-buoi-nuoc-buoi-co-ga-okf-han-quoc-x-24-lon-350ml-i2422730124.html", "https://www.lazada.vn/products/nuoc-ngot-co-ga-vi-buoi-nuoc-buoi-co-ga-okf-han-quoc-x-24-lon-350ml-i2422730124.html")</f>
        <v>https://www.lazada.vn/products/nuoc-ngot-co-ga-vi-buoi-nuoc-buoi-co-ga-okf-han-quoc-x-24-lon-350ml-i2422730124.html</v>
      </c>
      <c r="C5909" s="10" t="s">
        <v>5909</v>
      </c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>
      <c r="A5910" s="8">
        <v>10764.0</v>
      </c>
      <c r="B5910" s="9" t="str">
        <f>HYPERLINK("https://www.lazada.vn/products/muc-rim-cay-ngot-hu-200gam-i1887173554.html", "https://www.lazada.vn/products/muc-rim-cay-ngot-hu-200gam-i1887173554.html")</f>
        <v>https://www.lazada.vn/products/muc-rim-cay-ngot-hu-200gam-i1887173554.html</v>
      </c>
      <c r="C5910" s="10" t="s">
        <v>5910</v>
      </c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>
      <c r="A5911" s="8">
        <v>10765.0</v>
      </c>
      <c r="B5911" s="9" t="str">
        <f>HYPERLINK("https://www.lazada.vn/products/1-thung-nuoc-tang-luc-red-bull-thai-24-lon-x-250ml-i2406217128.html", "https://www.lazada.vn/products/1-thung-nuoc-tang-luc-red-bull-thai-24-lon-x-250ml-i2406217128.html")</f>
        <v>https://www.lazada.vn/products/1-thung-nuoc-tang-luc-red-bull-thai-24-lon-x-250ml-i2406217128.html</v>
      </c>
      <c r="C5911" s="10" t="s">
        <v>5911</v>
      </c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>
      <c r="A5912" s="8">
        <v>10766.0</v>
      </c>
      <c r="B5912" s="9" t="str">
        <f>HYPERLINK("https://www.lazada.vn/products/nuoc-tang-luc-number-1-number-one-vang-chai-330ml-i2396918546.html", "https://www.lazada.vn/products/nuoc-tang-luc-number-1-number-one-vang-chai-330ml-i2396918546.html")</f>
        <v>https://www.lazada.vn/products/nuoc-tang-luc-number-1-number-one-vang-chai-330ml-i2396918546.html</v>
      </c>
      <c r="C5912" s="10" t="s">
        <v>5912</v>
      </c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>
      <c r="A5913" s="8">
        <v>10767.0</v>
      </c>
      <c r="B5913" s="9" t="str">
        <f>HYPERLINK("https://www.lazada.vn/products/set-milo-dam-tran-chau-duong-den-i1777713467.html", "https://www.lazada.vn/products/set-milo-dam-tran-chau-duong-den-i1777713467.html")</f>
        <v>https://www.lazada.vn/products/set-milo-dam-tran-chau-duong-den-i1777713467.html</v>
      </c>
      <c r="C5913" s="10" t="s">
        <v>5913</v>
      </c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>
      <c r="A5914" s="8">
        <v>10768.0</v>
      </c>
      <c r="B5914" s="9" t="str">
        <f>HYPERLINK("https://www.lazada.vn/products/vang-da-lat-classic-12-750ml-i2607506891.html", "https://www.lazada.vn/products/vang-da-lat-classic-12-750ml-i2607506891.html")</f>
        <v>https://www.lazada.vn/products/vang-da-lat-classic-12-750ml-i2607506891.html</v>
      </c>
      <c r="C5914" s="10" t="s">
        <v>5914</v>
      </c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>
      <c r="A5915" s="8">
        <v>10769.0</v>
      </c>
      <c r="B5915" s="9" t="str">
        <f>HYPERLINK("https://www.lazada.vn/products/banh-kem-trung-custas-orion-hop-vang-282g-12-goi-i1454039488.html", "https://www.lazada.vn/products/banh-kem-trung-custas-orion-hop-vang-282g-12-goi-i1454039488.html")</f>
        <v>https://www.lazada.vn/products/banh-kem-trung-custas-orion-hop-vang-282g-12-goi-i1454039488.html</v>
      </c>
      <c r="C5915" s="10" t="s">
        <v>5915</v>
      </c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>
      <c r="A5916" s="8">
        <v>10770.0</v>
      </c>
      <c r="B5916" s="9" t="str">
        <f>HYPERLINK("https://www.lazada.vn/products/combo-4-chai-nuoc-ep-trai-cay-pororo-vi-dau-235-ml-tu-3-tuoi-i2749024409.html", "https://www.lazada.vn/products/combo-4-chai-nuoc-ep-trai-cay-pororo-vi-dau-235-ml-tu-3-tuoi-i2749024409.html")</f>
        <v>https://www.lazada.vn/products/combo-4-chai-nuoc-ep-trai-cay-pororo-vi-dau-235-ml-tu-3-tuoi-i2749024409.html</v>
      </c>
      <c r="C5916" s="10" t="s">
        <v>5916</v>
      </c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>
      <c r="A5917" s="8">
        <v>10771.0</v>
      </c>
      <c r="B5917" s="9" t="str">
        <f>HYPERLINK("https://www.lazada.vn/products/banh-mochi-dai-loan-thung-2kg-mix-4-vi-date-moi-i1424053758.html", "https://www.lazada.vn/products/banh-mochi-dai-loan-thung-2kg-mix-4-vi-date-moi-i1424053758.html")</f>
        <v>https://www.lazada.vn/products/banh-mochi-dai-loan-thung-2kg-mix-4-vi-date-moi-i1424053758.html</v>
      </c>
      <c r="C5917" s="10" t="s">
        <v>5917</v>
      </c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>
      <c r="A5918" s="8">
        <v>10772.0</v>
      </c>
      <c r="B5918" s="9" t="str">
        <f>HYPERLINK("https://www.lazada.vn/products/loc-5goi-mi-cay-samyang-han-quoc-vi-truyen-thong-sieu-cay-mau-den-mi-xao-kho-mi-tron-kho-mi-an-lien-mi-sieu-cay-han-quoc-mi-ga-cay-i527134245.html", "https://www.lazada.vn/products/loc-5goi-mi-cay-samyang-han-quoc-vi-truyen-thong-sieu-cay-mau-den-mi-xao-kho-mi-tron-kho-mi-an-lien-mi-sieu-cay-han-quoc-mi-ga-cay-i527134245.html")</f>
        <v>https://www.lazada.vn/products/loc-5goi-mi-cay-samyang-han-quoc-vi-truyen-thong-sieu-cay-mau-den-mi-xao-kho-mi-tron-kho-mi-an-lien-mi-sieu-cay-han-quoc-mi-ga-cay-i527134245.html</v>
      </c>
      <c r="C5918" s="10" t="s">
        <v>5918</v>
      </c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>
      <c r="A5919" s="8">
        <v>10773.0</v>
      </c>
      <c r="B5919" s="9" t="str">
        <f>HYPERLINK("https://www.lazada.vn/products/1-thung-30-goi-mi-mama-vi-thit-bam-thai-lan-huong-vi-dam-da-thom-ngon-hap-dan-i2828706338.html", "https://www.lazada.vn/products/1-thung-30-goi-mi-mama-vi-thit-bam-thai-lan-huong-vi-dam-da-thom-ngon-hap-dan-i2828706338.html")</f>
        <v>https://www.lazada.vn/products/1-thung-30-goi-mi-mama-vi-thit-bam-thai-lan-huong-vi-dam-da-thom-ngon-hap-dan-i2828706338.html</v>
      </c>
      <c r="C5919" s="10" t="s">
        <v>5919</v>
      </c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>
      <c r="A5920" s="8">
        <v>10774.0</v>
      </c>
      <c r="B5920" s="9" t="str">
        <f>HYPERLINK("https://www.lazada.vn/products/tran-chau-3q-yojelly-bich-2kg-i2661389431.html", "https://www.lazada.vn/products/tran-chau-3q-yojelly-bich-2kg-i2661389431.html")</f>
        <v>https://www.lazada.vn/products/tran-chau-3q-yojelly-bich-2kg-i2661389431.html</v>
      </c>
      <c r="C5920" s="10" t="s">
        <v>5920</v>
      </c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>
      <c r="A5921" s="8">
        <v>10775.0</v>
      </c>
      <c r="B5921" s="9" t="str">
        <f>HYPERLINK("https://www.lazada.vn/products/khoai-tay-que-lac-pho-mai-i2693782960.html", "https://www.lazada.vn/products/khoai-tay-que-lac-pho-mai-i2693782960.html")</f>
        <v>https://www.lazada.vn/products/khoai-tay-que-lac-pho-mai-i2693782960.html</v>
      </c>
      <c r="C5921" s="10" t="s">
        <v>5921</v>
      </c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>
      <c r="A5922" s="8">
        <v>10776.0</v>
      </c>
      <c r="B5922" s="9" t="str">
        <f>HYPERLINK("https://www.lazada.vn/products/me-xung-gion-song-huong-dac-san-me-xung-hue-tui-150g-i2881263988.html", "https://www.lazada.vn/products/me-xung-gion-song-huong-dac-san-me-xung-hue-tui-150g-i2881263988.html")</f>
        <v>https://www.lazada.vn/products/me-xung-gion-song-huong-dac-san-me-xung-hue-tui-150g-i2881263988.html</v>
      </c>
      <c r="C5922" s="10" t="s">
        <v>5922</v>
      </c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>
      <c r="A5923" s="8">
        <v>10777.0</v>
      </c>
      <c r="B5923" s="9" t="str">
        <f>HYPERLINK("https://www.lazada.vn/products/ruou-nhan-sam-tao-do-han-quoc-chai-500ml-i2500319077.html", "https://www.lazada.vn/products/ruou-nhan-sam-tao-do-han-quoc-chai-500ml-i2500319077.html")</f>
        <v>https://www.lazada.vn/products/ruou-nhan-sam-tao-do-han-quoc-chai-500ml-i2500319077.html</v>
      </c>
      <c r="C5923" s="10" t="s">
        <v>5923</v>
      </c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>
      <c r="A5924" s="8">
        <v>10778.0</v>
      </c>
      <c r="B5924" s="9" t="str">
        <f>HYPERLINK("https://www.lazada.vn/products/com-chay-cha-bong-gion-ngon-loai-tron-i2457653438.html", "https://www.lazada.vn/products/com-chay-cha-bong-gion-ngon-loai-tron-i2457653438.html")</f>
        <v>https://www.lazada.vn/products/com-chay-cha-bong-gion-ngon-loai-tron-i2457653438.html</v>
      </c>
      <c r="C5924" s="10" t="s">
        <v>5924</v>
      </c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>
      <c r="A5925" s="8">
        <v>10779.0</v>
      </c>
      <c r="B5925" s="9" t="str">
        <f>HYPERLINK("https://www.lazada.vn/products/keo-sam-xtreme-candy-chinh-hang-cai-tien-cao-cap-malaysia-cuc-manh-date-moi-i2716460958.html", "https://www.lazada.vn/products/keo-sam-xtreme-candy-chinh-hang-cai-tien-cao-cap-malaysia-cuc-manh-date-moi-i2716460958.html")</f>
        <v>https://www.lazada.vn/products/keo-sam-xtreme-candy-chinh-hang-cai-tien-cao-cap-malaysia-cuc-manh-date-moi-i2716460958.html</v>
      </c>
      <c r="C5925" s="10" t="s">
        <v>5925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>
      <c r="A5926" s="8">
        <v>10780.0</v>
      </c>
      <c r="B5926" s="9" t="str">
        <f>HYPERLINK("https://www.lazada.vn/products/100g-bot-so-co-la-dung-pha-tra-sua-i2664747009.html", "https://www.lazada.vn/products/100g-bot-so-co-la-dung-pha-tra-sua-i2664747009.html")</f>
        <v>https://www.lazada.vn/products/100g-bot-so-co-la-dung-pha-tra-sua-i2664747009.html</v>
      </c>
      <c r="C5926" s="10" t="s">
        <v>5926</v>
      </c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>
      <c r="A5927" s="8">
        <v>10781.0</v>
      </c>
      <c r="B5927" s="9" t="str">
        <f>HYPERLINK("https://www.lazada.vn/products/dau-sot-ca-ayam-brand-230gr-i3035494753.html", "https://www.lazada.vn/products/dau-sot-ca-ayam-brand-230gr-i3035494753.html")</f>
        <v>https://www.lazada.vn/products/dau-sot-ca-ayam-brand-230gr-i3035494753.html</v>
      </c>
      <c r="C5927" s="10" t="s">
        <v>5927</v>
      </c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>
      <c r="A5928" s="8">
        <v>10782.0</v>
      </c>
      <c r="B5928" s="9" t="str">
        <f>HYPERLINK("https://www.lazada.vn/products/chinesefoodbong-ngo-sieu-to-khong-lo-chai-12kg-hang-san-i1737888986.html", "https://www.lazada.vn/products/chinesefoodbong-ngo-sieu-to-khong-lo-chai-12kg-hang-san-i1737888986.html")</f>
        <v>https://www.lazada.vn/products/chinesefoodbong-ngo-sieu-to-khong-lo-chai-12kg-hang-san-i1737888986.html</v>
      </c>
      <c r="C5928" s="10" t="s">
        <v>5928</v>
      </c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>
      <c r="A5929" s="8">
        <v>10783.0</v>
      </c>
      <c r="B5929" s="9" t="str">
        <f>HYPERLINK("https://www.lazada.vn/products/thung-1kg-banh-cuon-bong-lan-cuon-oc-vi-pho-mai-socola-b150-an-vat-beegin-i2637540104.html", "https://www.lazada.vn/products/thung-1kg-banh-cuon-bong-lan-cuon-oc-vi-pho-mai-socola-b150-an-vat-beegin-i2637540104.html")</f>
        <v>https://www.lazada.vn/products/thung-1kg-banh-cuon-bong-lan-cuon-oc-vi-pho-mai-socola-b150-an-vat-beegin-i2637540104.html</v>
      </c>
      <c r="C5929" s="10" t="s">
        <v>5929</v>
      </c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>
      <c r="A5930" s="8">
        <v>10784.0</v>
      </c>
      <c r="B5930" s="9" t="str">
        <f>HYPERLINK("https://www.lazada.vn/products/bia-50-original-pils-beer-bia-vang-thung-24-lon-x500ml-i2687528510.html", "https://www.lazada.vn/products/bia-50-original-pils-beer-bia-vang-thung-24-lon-x500ml-i2687528510.html")</f>
        <v>https://www.lazada.vn/products/bia-50-original-pils-beer-bia-vang-thung-24-lon-x500ml-i2687528510.html</v>
      </c>
      <c r="C5930" s="10" t="s">
        <v>5930</v>
      </c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>
      <c r="A5931" s="8">
        <v>10785.0</v>
      </c>
      <c r="B5931" s="9" t="str">
        <f>HYPERLINK("https://www.lazada.vn/products/combo-10-banh-pia-trung-muoi-tan-chay-beo-bui-sieu-me-anvatshopmetom-i3015585340.html", "https://www.lazada.vn/products/combo-10-banh-pia-trung-muoi-tan-chay-beo-bui-sieu-me-anvatshopmetom-i3015585340.html")</f>
        <v>https://www.lazada.vn/products/combo-10-banh-pia-trung-muoi-tan-chay-beo-bui-sieu-me-anvatshopmetom-i3015585340.html</v>
      </c>
      <c r="C5931" s="10" t="s">
        <v>5931</v>
      </c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>
      <c r="A5932" s="8">
        <v>10786.0</v>
      </c>
      <c r="B5932" s="9" t="str">
        <f>HYPERLINK("https://www.lazada.vn/products/topruouvietnam-ruou-vodka-danzka-1000ml-hang-that-i2590664288.html", "https://www.lazada.vn/products/topruouvietnam-ruou-vodka-danzka-1000ml-hang-that-i2590664288.html")</f>
        <v>https://www.lazada.vn/products/topruouvietnam-ruou-vodka-danzka-1000ml-hang-that-i2590664288.html</v>
      </c>
      <c r="C5932" s="10" t="s">
        <v>5932</v>
      </c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>
      <c r="A5933" s="8">
        <v>10787.0</v>
      </c>
      <c r="B5933" s="9" t="str">
        <f>HYPERLINK("https://www.lazada.vn/products/nuoc-ngot-co-ga-vi-le-vang-nuoc-le-co-ga-okf-han-quoc-x-24-lon-350ml-i2422643840.html", "https://www.lazada.vn/products/nuoc-ngot-co-ga-vi-le-vang-nuoc-le-co-ga-okf-han-quoc-x-24-lon-350ml-i2422643840.html")</f>
        <v>https://www.lazada.vn/products/nuoc-ngot-co-ga-vi-le-vang-nuoc-le-co-ga-okf-han-quoc-x-24-lon-350ml-i2422643840.html</v>
      </c>
      <c r="C5933" s="10" t="s">
        <v>5933</v>
      </c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>
      <c r="A5934" s="8">
        <v>10788.0</v>
      </c>
      <c r="B5934" s="9" t="str">
        <f>HYPERLINK("https://www.lazada.vn/products/trai-oliu-denxanh-tach-hat-ngam-nguyen-qua-hieu-latino-bella-235g-nhap-khau-tay-ban-nha-i1886443164.html", "https://www.lazada.vn/products/trai-oliu-denxanh-tach-hat-ngam-nguyen-qua-hieu-latino-bella-235g-nhap-khau-tay-ban-nha-i1886443164.html")</f>
        <v>https://www.lazada.vn/products/trai-oliu-denxanh-tach-hat-ngam-nguyen-qua-hieu-latino-bella-235g-nhap-khau-tay-ban-nha-i1886443164.html</v>
      </c>
      <c r="C5934" s="10" t="s">
        <v>5934</v>
      </c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>
      <c r="A5935" s="8">
        <v>10789.0</v>
      </c>
      <c r="B5935" s="9" t="str">
        <f>HYPERLINK("https://www.lazada.vn/products/jagermeister-1000ml-i2387859098.html", "https://www.lazada.vn/products/jagermeister-1000ml-i2387859098.html")</f>
        <v>https://www.lazada.vn/products/jagermeister-1000ml-i2387859098.html</v>
      </c>
      <c r="C5935" s="10" t="s">
        <v>5935</v>
      </c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>
      <c r="A5936" s="8">
        <v>10790.0</v>
      </c>
      <c r="B5936" s="9" t="str">
        <f>HYPERLINK("https://www.lazada.vn/products/jagermeister-700ml-i2387788362.html", "https://www.lazada.vn/products/jagermeister-700ml-i2387788362.html")</f>
        <v>https://www.lazada.vn/products/jagermeister-700ml-i2387788362.html</v>
      </c>
      <c r="C5936" s="10" t="s">
        <v>5936</v>
      </c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>
      <c r="A5937" s="8">
        <v>10791.0</v>
      </c>
      <c r="B5937" s="9" t="str">
        <f>HYPERLINK("https://www.lazada.vn/products/mac-ca-nguyen-vo-mourads-500gr-i527128419.html", "https://www.lazada.vn/products/mac-ca-nguyen-vo-mourads-500gr-i527128419.html")</f>
        <v>https://www.lazada.vn/products/mac-ca-nguyen-vo-mourads-500gr-i527128419.html</v>
      </c>
      <c r="C5937" s="10" t="s">
        <v>5937</v>
      </c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>
      <c r="A5938" s="8">
        <v>10792.0</v>
      </c>
      <c r="B5938" s="9" t="str">
        <f>HYPERLINK("https://www.lazada.vn/products/bim-bim-khoai-tay-ong-gion-xop-cay-nhe-qua-vat-da-lat-i2690949519.html", "https://www.lazada.vn/products/bim-bim-khoai-tay-ong-gion-xop-cay-nhe-qua-vat-da-lat-i2690949519.html")</f>
        <v>https://www.lazada.vn/products/bim-bim-khoai-tay-ong-gion-xop-cay-nhe-qua-vat-da-lat-i2690949519.html</v>
      </c>
      <c r="C5938" s="10" t="s">
        <v>5938</v>
      </c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>
      <c r="A5939" s="8">
        <v>10793.0</v>
      </c>
      <c r="B5939" s="9" t="str">
        <f>HYPERLINK("https://www.lazada.vn/products/tran-chau-3q-yojelly-bich-2kg-i2661315779.html", "https://www.lazada.vn/products/tran-chau-3q-yojelly-bich-2kg-i2661315779.html")</f>
        <v>https://www.lazada.vn/products/tran-chau-3q-yojelly-bich-2kg-i2661315779.html</v>
      </c>
      <c r="C5939" s="10" t="s">
        <v>5939</v>
      </c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>
      <c r="A5940" s="8">
        <v>10794.0</v>
      </c>
      <c r="B5940" s="9" t="str">
        <f>HYPERLINK("https://www.lazada.vn/products/banh-trung-tuoi-cha-bong-karo-goi-do-i1422924472.html", "https://www.lazada.vn/products/banh-trung-tuoi-cha-bong-karo-goi-do-i1422924472.html")</f>
        <v>https://www.lazada.vn/products/banh-trung-tuoi-cha-bong-karo-goi-do-i1422924472.html</v>
      </c>
      <c r="C5940" s="10" t="s">
        <v>5940</v>
      </c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>
      <c r="A5941" s="8">
        <v>10795.0</v>
      </c>
      <c r="B5941" s="9" t="str">
        <f>HYPERLINK("https://www.lazada.vn/products/20h-3-64-vc-18-cho-don-tu-199k-xot-nha-hang-chin-su-nuong-pho-mai-hop-x-10tui-x-80gr-i2825845478.html", "https://www.lazada.vn/products/20h-3-64-vc-18-cho-don-tu-199k-xot-nha-hang-chin-su-nuong-pho-mai-hop-x-10tui-x-80gr-i2825845478.html")</f>
        <v>https://www.lazada.vn/products/20h-3-64-vc-18-cho-don-tu-199k-xot-nha-hang-chin-su-nuong-pho-mai-hop-x-10tui-x-80gr-i2825845478.html</v>
      </c>
      <c r="C5941" s="10" t="s">
        <v>5941</v>
      </c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>
      <c r="A5942" s="8">
        <v>10796.0</v>
      </c>
      <c r="B5942" s="9" t="str">
        <f>HYPERLINK("https://www.lazada.vn/products/thuc-uong-lua-mach-socola-lif-kun-110-ml-tu-2-tuoi-i2748993545.html", "https://www.lazada.vn/products/thuc-uong-lua-mach-socola-lif-kun-110-ml-tu-2-tuoi-i2748993545.html")</f>
        <v>https://www.lazada.vn/products/thuc-uong-lua-mach-socola-lif-kun-110-ml-tu-2-tuoi-i2748993545.html</v>
      </c>
      <c r="C5942" s="10" t="s">
        <v>5942</v>
      </c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>
      <c r="A5943" s="8">
        <v>10797.0</v>
      </c>
      <c r="B5943" s="9" t="str">
        <f>HYPERLINK("https://www.lazada.vn/products/me-xung-deo-song-huong-dac-san-me-xung-hue-250g-i2881258968.html", "https://www.lazada.vn/products/me-xung-deo-song-huong-dac-san-me-xung-hue-250g-i2881258968.html")</f>
        <v>https://www.lazada.vn/products/me-xung-deo-song-huong-dac-san-me-xung-hue-250g-i2881258968.html</v>
      </c>
      <c r="C5943" s="10" t="s">
        <v>5943</v>
      </c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>
      <c r="A5944" s="8">
        <v>10798.0</v>
      </c>
      <c r="B5944" s="9" t="str">
        <f>HYPERLINK("https://www.lazada.vn/products/syrup-davinci-vailychee-chai-nhua-750ml-i2498985868.html", "https://www.lazada.vn/products/syrup-davinci-vailychee-chai-nhua-750ml-i2498985868.html")</f>
        <v>https://www.lazada.vn/products/syrup-davinci-vailychee-chai-nhua-750ml-i2498985868.html</v>
      </c>
      <c r="C5944" s="10" t="s">
        <v>5944</v>
      </c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>
      <c r="A5945" s="8">
        <v>10799.0</v>
      </c>
      <c r="B5945" s="9" t="str">
        <f>HYPERLINK("https://www.lazada.vn/products/puree-ca-chua-ayam-brand-220gr-i3035435809.html", "https://www.lazada.vn/products/puree-ca-chua-ayam-brand-220gr-i3035435809.html")</f>
        <v>https://www.lazada.vn/products/puree-ca-chua-ayam-brand-220gr-i3035435809.html</v>
      </c>
      <c r="C5945" s="10" t="s">
        <v>5945</v>
      </c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>
      <c r="A5946" s="8">
        <v>10800.0</v>
      </c>
      <c r="B5946" s="9" t="str">
        <f>HYPERLINK("https://www.lazada.vn/products/hcmkhoai-mon-krim-stix-1-hop-100-que-i1687886281.html", "https://www.lazada.vn/products/hcmkhoai-mon-krim-stix-1-hop-100-que-i1687886281.html")</f>
        <v>https://www.lazada.vn/products/hcmkhoai-mon-krim-stix-1-hop-100-que-i1687886281.html</v>
      </c>
      <c r="C5946" s="10" t="s">
        <v>5946</v>
      </c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>
      <c r="A5947" s="8">
        <v>10801.0</v>
      </c>
      <c r="B5947" s="9" t="str">
        <f>HYPERLINK("https://www.lazada.vn/products/200g-bot-so-co-la-pha-tra-sua-i2664734051.html", "https://www.lazada.vn/products/200g-bot-so-co-la-pha-tra-sua-i2664734051.html")</f>
        <v>https://www.lazada.vn/products/200g-bot-so-co-la-pha-tra-sua-i2664734051.html</v>
      </c>
      <c r="C5947" s="10" t="s">
        <v>5947</v>
      </c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>
      <c r="A5948" s="8">
        <v>10802.0</v>
      </c>
      <c r="B5948" s="9" t="str">
        <f>HYPERLINK("https://www.lazada.vn/products/gia-huy-diet-hu-200-cay-keo-mut-cau-vong-ban-phu-nhap-khau-co-tieng-viet-nguon-goc-ro-rang-i2716094579.html", "https://www.lazada.vn/products/gia-huy-diet-hu-200-cay-keo-mut-cau-vong-ban-phu-nhap-khau-co-tieng-viet-nguon-goc-ro-rang-i2716094579.html")</f>
        <v>https://www.lazada.vn/products/gia-huy-diet-hu-200-cay-keo-mut-cau-vong-ban-phu-nhap-khau-co-tieng-viet-nguon-goc-ro-rang-i2716094579.html</v>
      </c>
      <c r="C5948" s="10" t="s">
        <v>5948</v>
      </c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>
      <c r="A5949" s="8">
        <v>10803.0</v>
      </c>
      <c r="B5949" s="9" t="str">
        <f>HYPERLINK("https://www.lazada.vn/products/bia-reeper-b-ipa-thung-24-lon-x500ml-i2687493323.html", "https://www.lazada.vn/products/bia-reeper-b-ipa-thung-24-lon-x500ml-i2687493323.html")</f>
        <v>https://www.lazada.vn/products/bia-reeper-b-ipa-thung-24-lon-x500ml-i2687493323.html</v>
      </c>
      <c r="C5949" s="10" t="s">
        <v>5949</v>
      </c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>
      <c r="A5950" s="8">
        <v>10804.0</v>
      </c>
      <c r="B5950" s="9" t="str">
        <f>HYPERLINK("https://www.lazada.vn/products/thung-2kg-banh-cuon-bong-lan-cuon-oc-vi-pho-mai-socola-b150-beegin-food-store-i2637533016.html", "https://www.lazada.vn/products/thung-2kg-banh-cuon-bong-lan-cuon-oc-vi-pho-mai-socola-b150-beegin-food-store-i2637533016.html")</f>
        <v>https://www.lazada.vn/products/thung-2kg-banh-cuon-bong-lan-cuon-oc-vi-pho-mai-socola-b150-beegin-food-store-i2637533016.html</v>
      </c>
      <c r="C5950" s="10" t="s">
        <v>5950</v>
      </c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>
      <c r="A5951" s="8">
        <v>10805.0</v>
      </c>
      <c r="B5951" s="9" t="str">
        <f>HYPERLINK("https://www.lazada.vn/products/vang-casas-patronales-chucaro-merlot-i2606956517.html", "https://www.lazada.vn/products/vang-casas-patronales-chucaro-merlot-i2606956517.html")</f>
        <v>https://www.lazada.vn/products/vang-casas-patronales-chucaro-merlot-i2606956517.html</v>
      </c>
      <c r="C5951" s="10" t="s">
        <v>5951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>
      <c r="A5952" s="8">
        <v>10806.0</v>
      </c>
      <c r="B5952" s="9" t="str">
        <f>HYPERLINK("https://www.lazada.vn/products/bot-cacao-nguyen-chat-daklak-100-thom-beo-chuan-chat-luong-thuc-pham-dinh-duong-tot-cho-suc-khoe-hop-pet-500g-i1759542105.html", "https://www.lazada.vn/products/bot-cacao-nguyen-chat-daklak-100-thom-beo-chuan-chat-luong-thuc-pham-dinh-duong-tot-cho-suc-khoe-hop-pet-500g-i1759542105.html")</f>
        <v>https://www.lazada.vn/products/bot-cacao-nguyen-chat-daklak-100-thom-beo-chuan-chat-luong-thuc-pham-dinh-duong-tot-cho-suc-khoe-hop-pet-500g-i1759542105.html</v>
      </c>
      <c r="C5952" s="10" t="s">
        <v>5952</v>
      </c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>
      <c r="A5953" s="8">
        <v>10807.0</v>
      </c>
      <c r="B5953" s="9" t="str">
        <f>HYPERLINK("https://www.lazada.vn/products/com-chay-cha-bong-gia-dinh-200g-10583-i2437251115.html", "https://www.lazada.vn/products/com-chay-cha-bong-gia-dinh-200g-10583-i2437251115.html")</f>
        <v>https://www.lazada.vn/products/com-chay-cha-bong-gia-dinh-200g-10583-i2437251115.html</v>
      </c>
      <c r="C5953" s="10" t="s">
        <v>5953</v>
      </c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>
      <c r="A5954" s="8">
        <v>10808.0</v>
      </c>
      <c r="B5954" s="9" t="str">
        <f>HYPERLINK("https://www.lazada.vn/products/ruou-ketel-one-vodka-40-750ml-ruou-vodka-huong-vi-truyen-thong-manh-me-i2404575735.html", "https://www.lazada.vn/products/ruou-ketel-one-vodka-40-750ml-ruou-vodka-huong-vi-truyen-thong-manh-me-i2404575735.html")</f>
        <v>https://www.lazada.vn/products/ruou-ketel-one-vodka-40-750ml-ruou-vodka-huong-vi-truyen-thong-manh-me-i2404575735.html</v>
      </c>
      <c r="C5954" s="10" t="s">
        <v>5954</v>
      </c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>
      <c r="A5955" s="8">
        <v>10809.0</v>
      </c>
      <c r="B5955" s="9" t="str">
        <f>HYPERLINK("https://www.lazada.vn/products/nuoc-ngot-co-ga-vi-le-vang-nuoc-le-co-ga-okf-han-quoc-x-6-lon-350ml-i2422600392.html", "https://www.lazada.vn/products/nuoc-ngot-co-ga-vi-le-vang-nuoc-le-co-ga-okf-han-quoc-x-6-lon-350ml-i2422600392.html")</f>
        <v>https://www.lazada.vn/products/nuoc-ngot-co-ga-vi-le-vang-nuoc-le-co-ga-okf-han-quoc-x-6-lon-350ml-i2422600392.html</v>
      </c>
      <c r="C5955" s="10" t="s">
        <v>5955</v>
      </c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>
      <c r="A5956" s="8">
        <v>10810.0</v>
      </c>
      <c r="B5956" s="9" t="str">
        <f>HYPERLINK("https://www.lazada.vn/products/kasu-nhat-2sl-kasumin-450ml-i2748988055.html", "https://www.lazada.vn/products/kasu-nhat-2sl-kasumin-450ml-i2748988055.html")</f>
        <v>https://www.lazada.vn/products/kasu-nhat-2sl-kasumin-450ml-i2748988055.html</v>
      </c>
      <c r="C5956" s="10" t="s">
        <v>5956</v>
      </c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>
      <c r="A5957" s="8">
        <v>10811.0</v>
      </c>
      <c r="B5957" s="9" t="str">
        <f>HYPERLINK("https://www.lazada.vn/products/khoai-tay-trung-muoi-pho-mai-ban-chay-nhat-hien-nay-vi-ngon-la-gion-xop-cay-nhe-qua-vat-da-lat-i2690915485.html", "https://www.lazada.vn/products/khoai-tay-trung-muoi-pho-mai-ban-chay-nhat-hien-nay-vi-ngon-la-gion-xop-cay-nhe-qua-vat-da-lat-i2690915485.html")</f>
        <v>https://www.lazada.vn/products/khoai-tay-trung-muoi-pho-mai-ban-chay-nhat-hien-nay-vi-ngon-la-gion-xop-cay-nhe-qua-vat-da-lat-i2690915485.html</v>
      </c>
      <c r="C5957" s="10" t="s">
        <v>5957</v>
      </c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>
      <c r="A5958" s="8">
        <v>10812.0</v>
      </c>
      <c r="B5958" s="9" t="str">
        <f>HYPERLINK("https://www.lazada.vn/products/loc-6-chai-nuoc-tang-luc-sting-vi-dau-330ml-i2382986488.html", "https://www.lazada.vn/products/loc-6-chai-nuoc-tang-luc-sting-vi-dau-330ml-i2382986488.html")</f>
        <v>https://www.lazada.vn/products/loc-6-chai-nuoc-tang-luc-sting-vi-dau-330ml-i2382986488.html</v>
      </c>
      <c r="C5958" s="10" t="s">
        <v>5958</v>
      </c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>
      <c r="A5959" s="8">
        <v>10813.0</v>
      </c>
      <c r="B5959" s="9" t="str">
        <f>HYPERLINK("https://www.lazada.vn/products/vang-casas-patronales-chuacaro-cabernet-sauvigonon-i2606933654.html", "https://www.lazada.vn/products/vang-casas-patronales-chuacaro-cabernet-sauvigonon-i2606933654.html")</f>
        <v>https://www.lazada.vn/products/vang-casas-patronales-chuacaro-cabernet-sauvigonon-i2606933654.html</v>
      </c>
      <c r="C5959" s="10" t="s">
        <v>5959</v>
      </c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>
      <c r="A5960" s="8">
        <v>10814.0</v>
      </c>
      <c r="B5960" s="9" t="str">
        <f>HYPERLINK("https://www.lazada.vn/products/tran-chau-3q-350g-i2660082560.html", "https://www.lazada.vn/products/tran-chau-3q-350g-i2660082560.html")</f>
        <v>https://www.lazada.vn/products/tran-chau-3q-350g-i2660082560.html</v>
      </c>
      <c r="C5960" s="10" t="s">
        <v>5960</v>
      </c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>
      <c r="A5961" s="8">
        <v>10815.0</v>
      </c>
      <c r="B5961" s="9" t="str">
        <f>HYPERLINK("https://www.lazada.vn/products/bot-cacao-nesquik-nestle-vi-chocolate-classic-taste-is-back-hop-1275kg-hang-nhap-my-date-xa-i1744271569.html", "https://www.lazada.vn/products/bot-cacao-nesquik-nestle-vi-chocolate-classic-taste-is-back-hop-1275kg-hang-nhap-my-date-xa-i1744271569.html")</f>
        <v>https://www.lazada.vn/products/bot-cacao-nesquik-nestle-vi-chocolate-classic-taste-is-back-hop-1275kg-hang-nhap-my-date-xa-i1744271569.html</v>
      </c>
      <c r="C5961" s="10" t="s">
        <v>5961</v>
      </c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>
      <c r="A5962" s="8">
        <v>10816.0</v>
      </c>
      <c r="B5962" s="9" t="str">
        <f>HYPERLINK("https://www.lazada.vn/products/keo-que-cung-han-quoc-200g-i527128404.html", "https://www.lazada.vn/products/keo-que-cung-han-quoc-200g-i527128404.html")</f>
        <v>https://www.lazada.vn/products/keo-que-cung-han-quoc-200g-i527128404.html</v>
      </c>
      <c r="C5962" s="10" t="s">
        <v>5962</v>
      </c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>
      <c r="A5963" s="8">
        <v>10817.0</v>
      </c>
      <c r="B5963" s="9" t="str">
        <f>HYPERLINK("https://www.lazada.vn/products/banh-ong-ma-thuat-tuoi-tho-5-goi-i2880862009.html", "https://www.lazada.vn/products/banh-ong-ma-thuat-tuoi-tho-5-goi-i2880862009.html")</f>
        <v>https://www.lazada.vn/products/banh-ong-ma-thuat-tuoi-tho-5-goi-i2880862009.html</v>
      </c>
      <c r="C5963" s="10" t="s">
        <v>5963</v>
      </c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>
      <c r="A5964" s="8">
        <v>10818.0</v>
      </c>
      <c r="B5964" s="9" t="str">
        <f>HYPERLINK("https://www.lazada.vn/products/combo-5-goi-mi-tron-tuong-den-koreno-han-quoc_loai-khong-cay-i2825041315.html", "https://www.lazada.vn/products/combo-5-goi-mi-tron-tuong-den-koreno-han-quoc_loai-khong-cay-i2825041315.html")</f>
        <v>https://www.lazada.vn/products/combo-5-goi-mi-tron-tuong-den-koreno-han-quoc_loai-khong-cay-i2825041315.html</v>
      </c>
      <c r="C5964" s="10" t="s">
        <v>5964</v>
      </c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>
      <c r="A5965" s="8">
        <v>10819.0</v>
      </c>
      <c r="B5965" s="9" t="str">
        <f>HYPERLINK("https://www.lazada.vn/products/siro-vo-cam-torani-blue-curacao-750ml-i2498909900.html", "https://www.lazada.vn/products/siro-vo-cam-torani-blue-curacao-750ml-i2498909900.html")</f>
        <v>https://www.lazada.vn/products/siro-vo-cam-torani-blue-curacao-750ml-i2498909900.html</v>
      </c>
      <c r="C5965" s="10" t="s">
        <v>5965</v>
      </c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>
      <c r="A5966" s="8">
        <v>10820.0</v>
      </c>
      <c r="B5966" s="9" t="str">
        <f>HYPERLINK("https://www.lazada.vn/products/ca-trich-sea-crown-125-gr-sot-dau-ca-hsd-42027-i3035024022.html", "https://www.lazada.vn/products/ca-trich-sea-crown-125-gr-sot-dau-ca-hsd-42027-i3035024022.html")</f>
        <v>https://www.lazada.vn/products/ca-trich-sea-crown-125-gr-sot-dau-ca-hsd-42027-i3035024022.html</v>
      </c>
      <c r="C5966" s="10" t="s">
        <v>5966</v>
      </c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>
      <c r="A5967" s="8">
        <v>10821.0</v>
      </c>
      <c r="B5967" s="9" t="str">
        <f>HYPERLINK("https://www.lazada.vn/products/dua-sap-cau-ke-tra-vinh-loai-2-180k-trai-i1633162320.html", "https://www.lazada.vn/products/dua-sap-cau-ke-tra-vinh-loai-2-180k-trai-i1633162320.html")</f>
        <v>https://www.lazada.vn/products/dua-sap-cau-ke-tra-vinh-loai-2-180k-trai-i1633162320.html</v>
      </c>
      <c r="C5967" s="10" t="s">
        <v>5967</v>
      </c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>
      <c r="A5968" s="8">
        <v>10822.0</v>
      </c>
      <c r="B5968" s="9" t="str">
        <f>HYPERLINK("https://www.lazada.vn/products/100g-bot-pha-tra-sua-vi-matcha-thom-ngon-dam-vi-i2664697706.html", "https://www.lazada.vn/products/100g-bot-pha-tra-sua-vi-matcha-thom-ngon-dam-vi-i2664697706.html")</f>
        <v>https://www.lazada.vn/products/100g-bot-pha-tra-sua-vi-matcha-thom-ngon-dam-vi-i2664697706.html</v>
      </c>
      <c r="C5968" s="10" t="s">
        <v>5968</v>
      </c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>
      <c r="A5969" s="8">
        <v>10823.0</v>
      </c>
      <c r="B5969" s="9" t="str">
        <f>HYPERLINK("https://www.lazada.vn/products/keo-hong-sam-han-quoc-200g-i2714436071.html", "https://www.lazada.vn/products/keo-hong-sam-han-quoc-200g-i2714436071.html")</f>
        <v>https://www.lazada.vn/products/keo-hong-sam-han-quoc-200g-i2714436071.html</v>
      </c>
      <c r="C5969" s="10" t="s">
        <v>5969</v>
      </c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>
      <c r="A5970" s="8">
        <v>10824.0</v>
      </c>
      <c r="B5970" s="9" t="str">
        <f>HYPERLINK("https://www.lazada.vn/products/combo-5-banh-mi-kep-sandwich-sua-chua-horsh-dai-loan-b54-chuyen-si-tpnk-i2637114736.html", "https://www.lazada.vn/products/combo-5-banh-mi-kep-sandwich-sua-chua-horsh-dai-loan-b54-chuyen-si-tpnk-i2637114736.html")</f>
        <v>https://www.lazada.vn/products/combo-5-banh-mi-kep-sandwich-sua-chua-horsh-dai-loan-b54-chuyen-si-tpnk-i2637114736.html</v>
      </c>
      <c r="C5970" s="10" t="s">
        <v>5970</v>
      </c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>
      <c r="A5971" s="8">
        <v>10825.0</v>
      </c>
      <c r="B5971" s="9" t="str">
        <f>HYPERLINK("https://www.lazada.vn/products/bia-reeper-b-golden-ale-bia-vang-thung-24-lon-x500ml-i2687354514.html", "https://www.lazada.vn/products/bia-reeper-b-golden-ale-bia-vang-thung-24-lon-x500ml-i2687354514.html")</f>
        <v>https://www.lazada.vn/products/bia-reeper-b-golden-ale-bia-vang-thung-24-lon-x500ml-i2687354514.html</v>
      </c>
      <c r="C5971" s="10" t="s">
        <v>5971</v>
      </c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>
      <c r="A5972" s="8">
        <v>10826.0</v>
      </c>
      <c r="B5972" s="9" t="str">
        <f>HYPERLINK("https://www.lazada.vn/products/500g-banh-trang-xike-cay-do-an-vat-an-vat-sieu-ngon-i2431983555.html", "https://www.lazada.vn/products/500g-banh-trang-xike-cay-do-an-vat-an-vat-sieu-ngon-i2431983555.html")</f>
        <v>https://www.lazada.vn/products/500g-banh-trang-xike-cay-do-an-vat-an-vat-sieu-ngon-i2431983555.html</v>
      </c>
      <c r="C5972" s="10" t="s">
        <v>5972</v>
      </c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>
      <c r="A5973" s="8">
        <v>10827.0</v>
      </c>
      <c r="B5973" s="9" t="str">
        <f>HYPERLINK("https://www.lazada.vn/products/ruou-vodka-smirnoff-red-375-700ml-ruou-vodka-huong-vi-ngot-diu-nong-nan-dai-lau-i2404208520.html", "https://www.lazada.vn/products/ruou-vodka-smirnoff-red-375-700ml-ruou-vodka-huong-vi-ngot-diu-nong-nan-dai-lau-i2404208520.html")</f>
        <v>https://www.lazada.vn/products/ruou-vodka-smirnoff-red-375-700ml-ruou-vodka-huong-vi-ngot-diu-nong-nan-dai-lau-i2404208520.html</v>
      </c>
      <c r="C5973" s="10" t="s">
        <v>5973</v>
      </c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>
      <c r="A5974" s="8">
        <v>10828.0</v>
      </c>
      <c r="B5974" s="9" t="str">
        <f>HYPERLINK("https://www.lazada.vn/products/nuoc-ngot-co-ga-vi-buoi-nuoc-buoi-co-ga-okf-han-quoc-x-6-lon-350ml-i2422594440.html", "https://www.lazada.vn/products/nuoc-ngot-co-ga-vi-buoi-nuoc-buoi-co-ga-okf-han-quoc-x-6-lon-350ml-i2422594440.html")</f>
        <v>https://www.lazada.vn/products/nuoc-ngot-co-ga-vi-buoi-nuoc-buoi-co-ga-okf-han-quoc-x-6-lon-350ml-i2422594440.html</v>
      </c>
      <c r="C5974" s="10" t="s">
        <v>5974</v>
      </c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>
      <c r="A5975" s="8">
        <v>10829.0</v>
      </c>
      <c r="B5975" s="9" t="str">
        <f>HYPERLINK("https://www.lazada.vn/products/loc-6-lon-x250ml-nuoc-tang-luc-redbull-thai-bo-sung-them-zinic-kem-va-vitamin-i2373486273.html", "https://www.lazada.vn/products/loc-6-lon-x250ml-nuoc-tang-luc-redbull-thai-bo-sung-them-zinic-kem-va-vitamin-i2373486273.html")</f>
        <v>https://www.lazada.vn/products/loc-6-lon-x250ml-nuoc-tang-luc-redbull-thai-bo-sung-them-zinic-kem-va-vitamin-i2373486273.html</v>
      </c>
      <c r="C5975" s="10" t="s">
        <v>5975</v>
      </c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>
      <c r="A5976" s="8">
        <v>10830.0</v>
      </c>
      <c r="B5976" s="9" t="str">
        <f>HYPERLINK("https://www.lazada.vn/products/thung-24-lon-x-250ml-nuoc-tang-luc-redbull-thai-bo-sung-them-zinic-kem-va-vitamin-i2373486271.html", "https://www.lazada.vn/products/thung-24-lon-x-250ml-nuoc-tang-luc-redbull-thai-bo-sung-them-zinic-kem-va-vitamin-i2373486271.html")</f>
        <v>https://www.lazada.vn/products/thung-24-lon-x-250ml-nuoc-tang-luc-redbull-thai-bo-sung-them-zinic-kem-va-vitamin-i2373486271.html</v>
      </c>
      <c r="C5976" s="10" t="s">
        <v>5976</v>
      </c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>
      <c r="A5977" s="8">
        <v>10831.0</v>
      </c>
      <c r="B5977" s="9" t="str">
        <f>HYPERLINK("https://www.lazada.vn/products/nuoc-kvass-nga-lua-mach-den-len-men-15-lit-hieu-viatskiy-i2748956342.html", "https://www.lazada.vn/products/nuoc-kvass-nga-lua-mach-den-len-men-15-lit-hieu-viatskiy-i2748956342.html")</f>
        <v>https://www.lazada.vn/products/nuoc-kvass-nga-lua-mach-den-len-men-15-lit-hieu-viatskiy-i2748956342.html</v>
      </c>
      <c r="C5977" s="10" t="s">
        <v>5977</v>
      </c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>
      <c r="A5978" s="8">
        <v>10832.0</v>
      </c>
      <c r="B5978" s="9" t="str">
        <f>HYPERLINK("https://www.lazada.vn/products/thach-dua-trai-cay-350g-i2660020928.html", "https://www.lazada.vn/products/thach-dua-trai-cay-350g-i2660020928.html")</f>
        <v>https://www.lazada.vn/products/thach-dua-trai-cay-350g-i2660020928.html</v>
      </c>
      <c r="C5978" s="10" t="s">
        <v>5978</v>
      </c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>
      <c r="A5979" s="8">
        <v>10833.0</v>
      </c>
      <c r="B5979" s="9" t="str">
        <f>HYPERLINK("https://www.lazada.vn/products/thung-24-chai-bia-corona-extra-nhap-khau-250mlchai-i2923037006.html", "https://www.lazada.vn/products/thung-24-chai-bia-corona-extra-nhap-khau-250mlchai-i2923037006.html")</f>
        <v>https://www.lazada.vn/products/thung-24-chai-bia-corona-extra-nhap-khau-250mlchai-i2923037006.html</v>
      </c>
      <c r="C5979" s="10" t="s">
        <v>5979</v>
      </c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>
      <c r="A5980" s="8">
        <v>10834.0</v>
      </c>
      <c r="B5980" s="9" t="str">
        <f>HYPERLINK("https://www.lazada.vn/products/khoai-tay-say-mam-hanh-trend-2024-vi-ngon-la-gion-xop-cay-nhe-qua-vat-da-lat-i2690884493.html", "https://www.lazada.vn/products/khoai-tay-say-mam-hanh-trend-2024-vi-ngon-la-gion-xop-cay-nhe-qua-vat-da-lat-i2690884493.html")</f>
        <v>https://www.lazada.vn/products/khoai-tay-say-mam-hanh-trend-2024-vi-ngon-la-gion-xop-cay-nhe-qua-vat-da-lat-i2690884493.html</v>
      </c>
      <c r="C5980" s="10" t="s">
        <v>5980</v>
      </c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>
      <c r="A5981" s="8">
        <v>10835.0</v>
      </c>
      <c r="B5981" s="9" t="str">
        <f>HYPERLINK("https://www.lazada.vn/products/bot-cacao-organic-nguyen-chat-100-sieu-thom-ngon-vao-bep-365-i1743741736.html", "https://www.lazada.vn/products/bot-cacao-organic-nguyen-chat-100-sieu-thom-ngon-vao-bep-365-i1743741736.html")</f>
        <v>https://www.lazada.vn/products/bot-cacao-organic-nguyen-chat-100-sieu-thom-ngon-vao-bep-365-i1743741736.html</v>
      </c>
      <c r="C5981" s="10" t="s">
        <v>5981</v>
      </c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>
      <c r="A5982" s="8">
        <v>10836.0</v>
      </c>
      <c r="B5982" s="9" t="str">
        <f>HYPERLINK("https://www.lazada.vn/products/g7-classico-cabernet-sauvignon-vang-do-chile-i2606905476.html", "https://www.lazada.vn/products/g7-classico-cabernet-sauvignon-vang-do-chile-i2606905476.html")</f>
        <v>https://www.lazada.vn/products/g7-classico-cabernet-sauvignon-vang-do-chile-i2606905476.html</v>
      </c>
      <c r="C5982" s="10" t="s">
        <v>5982</v>
      </c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>
      <c r="A5983" s="8">
        <v>10837.0</v>
      </c>
      <c r="B5983" s="9" t="str">
        <f>HYPERLINK("https://www.lazada.vn/products/keo-gung-han-quoc-200g-i527126393.html", "https://www.lazada.vn/products/keo-gung-han-quoc-200g-i527126393.html")</f>
        <v>https://www.lazada.vn/products/keo-gung-han-quoc-200g-i527126393.html</v>
      </c>
      <c r="C5983" s="10" t="s">
        <v>5983</v>
      </c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>
      <c r="A5984" s="8">
        <v>10838.0</v>
      </c>
      <c r="B5984" s="9" t="str">
        <f>HYPERLINK("https://www.lazada.vn/products/banh-quy-pho-mai-gery-cheese-cracker-goi-100g-i2880719596.html", "https://www.lazada.vn/products/banh-quy-pho-mai-gery-cheese-cracker-goi-100g-i2880719596.html")</f>
        <v>https://www.lazada.vn/products/banh-quy-pho-mai-gery-cheese-cracker-goi-100g-i2880719596.html</v>
      </c>
      <c r="C5984" s="10" t="s">
        <v>5984</v>
      </c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>
      <c r="A5985" s="8">
        <v>10839.0</v>
      </c>
      <c r="B5985" s="9" t="str">
        <f>HYPERLINK("https://www.lazada.vn/products/mi-lau-nam-reeva-i2824249046.html", "https://www.lazada.vn/products/mi-lau-nam-reeva-i2824249046.html")</f>
        <v>https://www.lazada.vn/products/mi-lau-nam-reeva-i2824249046.html</v>
      </c>
      <c r="C5985" s="10" t="s">
        <v>5985</v>
      </c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>
      <c r="A5986" s="8">
        <v>10840.0</v>
      </c>
      <c r="B5986" s="9" t="str">
        <f>HYPERLINK("https://www.lazada.vn/products/siro-ho-bo-phe-fito-200ml-i2496153638.html", "https://www.lazada.vn/products/siro-ho-bo-phe-fito-200ml-i2496153638.html")</f>
        <v>https://www.lazada.vn/products/siro-ho-bo-phe-fito-200ml-i2496153638.html</v>
      </c>
      <c r="C5986" s="10" t="s">
        <v>5986</v>
      </c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>
      <c r="A5987" s="8">
        <v>10841.0</v>
      </c>
      <c r="B5987" s="9" t="str">
        <f>HYPERLINK("https://www.lazada.vn/products/muc-sa-te-nguyen-con-vi-cay-22g-hoang-thinh-thom-ngon-giau-dam-i3034962387.html", "https://www.lazada.vn/products/muc-sa-te-nguyen-con-vi-cay-22g-hoang-thinh-thom-ngon-giau-dam-i3034962387.html")</f>
        <v>https://www.lazada.vn/products/muc-sa-te-nguyen-con-vi-cay-22g-hoang-thinh-thom-ngon-giau-dam-i3034962387.html</v>
      </c>
      <c r="C5987" s="10" t="s">
        <v>5987</v>
      </c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>
      <c r="A5988" s="8">
        <v>10842.0</v>
      </c>
      <c r="B5988" s="9" t="str">
        <f>HYPERLINK("https://www.lazada.vn/products/banh-trang-papad-lijiat-punjabi-masala-papad-200gr-i1620500115.html", "https://www.lazada.vn/products/banh-trang-papad-lijiat-punjabi-masala-papad-200gr-i1620500115.html")</f>
        <v>https://www.lazada.vn/products/banh-trang-papad-lijiat-punjabi-masala-papad-200gr-i1620500115.html</v>
      </c>
      <c r="C5988" s="10" t="s">
        <v>5988</v>
      </c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>
      <c r="A5989" s="8">
        <v>10843.0</v>
      </c>
      <c r="B5989" s="9" t="str">
        <f>HYPERLINK("https://www.lazada.vn/products/500g-keo-cafe-candy-pamiriter-khong-duong-giam-can-mix-nhieu-vi-i2714154320.html", "https://www.lazada.vn/products/500g-keo-cafe-candy-pamiriter-khong-duong-giam-can-mix-nhieu-vi-i2714154320.html")</f>
        <v>https://www.lazada.vn/products/500g-keo-cafe-candy-pamiriter-khong-duong-giam-can-mix-nhieu-vi-i2714154320.html</v>
      </c>
      <c r="C5989" s="10" t="s">
        <v>5989</v>
      </c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>
      <c r="A5990" s="8">
        <v>10844.0</v>
      </c>
      <c r="B5990" s="9" t="str">
        <f>HYPERLINK("https://www.lazada.vn/products/thung-15-lon-bia-budweiser-partypack-chinh-hang-250mllon-i2922984120.html", "https://www.lazada.vn/products/thung-15-lon-bia-budweiser-partypack-chinh-hang-250mllon-i2922984120.html")</f>
        <v>https://www.lazada.vn/products/thung-15-lon-bia-budweiser-partypack-chinh-hang-250mllon-i2922984120.html</v>
      </c>
      <c r="C5990" s="10" t="s">
        <v>5990</v>
      </c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>
      <c r="A5991" s="8">
        <v>10845.0</v>
      </c>
      <c r="B5991" s="9" t="str">
        <f>HYPERLINK("https://www.lazada.vn/products/kim-sa-mon-trung-chay-tan-hue-vien-480g-12banh-mini-i2915243148.html", "https://www.lazada.vn/products/kim-sa-mon-trung-chay-tan-hue-vien-480g-12banh-mini-i2915243148.html")</f>
        <v>https://www.lazada.vn/products/kim-sa-mon-trung-chay-tan-hue-vien-480g-12banh-mini-i2915243148.html</v>
      </c>
      <c r="C5991" s="10" t="s">
        <v>5991</v>
      </c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>
      <c r="A5992" s="8">
        <v>10846.0</v>
      </c>
      <c r="B5992" s="9" t="str">
        <f>HYPERLINK("https://www.lazada.vn/products/banh-hamburger-nhan-sua-chua-kep-cha-bong-dai-loan-banh-le-b65-chuyen-si-tpnk-i2637091866.html", "https://www.lazada.vn/products/banh-hamburger-nhan-sua-chua-kep-cha-bong-dai-loan-banh-le-b65-chuyen-si-tpnk-i2637091866.html")</f>
        <v>https://www.lazada.vn/products/banh-hamburger-nhan-sua-chua-kep-cha-bong-dai-loan-banh-le-b65-chuyen-si-tpnk-i2637091866.html</v>
      </c>
      <c r="C5992" s="10" t="s">
        <v>5992</v>
      </c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>
      <c r="A5993" s="8">
        <v>10847.0</v>
      </c>
      <c r="B5993" s="9" t="str">
        <f>HYPERLINK("https://www.lazada.vn/products/bia-tam-giac-mach-60-lon-330ml-thung-24-lon-i2638024604.html", "https://www.lazada.vn/products/bia-tam-giac-mach-60-lon-330ml-thung-24-lon-i2638024604.html")</f>
        <v>https://www.lazada.vn/products/bia-tam-giac-mach-60-lon-330ml-thung-24-lon-i2638024604.html</v>
      </c>
      <c r="C5993" s="10" t="s">
        <v>5993</v>
      </c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>
      <c r="A5994" s="8">
        <v>10848.0</v>
      </c>
      <c r="B5994" s="9" t="str">
        <f>HYPERLINK("https://www.lazada.vn/products/m2-5-mon-combo-banh-trang-phoi-suong-ut-cung-m2-day-du-topping-1-banh-trang-1-hu-top-mo-1-hu-ruoc-hanh-phi-2-tui-bo-ke-i2429332315.html", "https://www.lazada.vn/products/m2-5-mon-combo-banh-trang-phoi-suong-ut-cung-m2-day-du-topping-1-banh-trang-1-hu-top-mo-1-hu-ruoc-hanh-phi-2-tui-bo-ke-i2429332315.html")</f>
        <v>https://www.lazada.vn/products/m2-5-mon-combo-banh-trang-phoi-suong-ut-cung-m2-day-du-topping-1-banh-trang-1-hu-top-mo-1-hu-ruoc-hanh-phi-2-tui-bo-ke-i2429332315.html</v>
      </c>
      <c r="C5994" s="10" t="s">
        <v>5994</v>
      </c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>
      <c r="A5995" s="8">
        <v>10849.0</v>
      </c>
      <c r="B5995" s="9" t="str">
        <f>HYPERLINK("https://www.lazada.vn/products/ruou-vodka-ciroc-40-750ml-ruou-vodka-cao-cap-huong-vi-truyen-thong-manh-me-i2404172128.html", "https://www.lazada.vn/products/ruou-vodka-ciroc-40-750ml-ruou-vodka-cao-cap-huong-vi-truyen-thong-manh-me-i2404172128.html")</f>
        <v>https://www.lazada.vn/products/ruou-vodka-ciroc-40-750ml-ruou-vodka-cao-cap-huong-vi-truyen-thong-manh-me-i2404172128.html</v>
      </c>
      <c r="C5995" s="10" t="s">
        <v>5995</v>
      </c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>
      <c r="A5996" s="8">
        <v>10850.0</v>
      </c>
      <c r="B5996" s="9" t="str">
        <f>HYPERLINK("https://www.lazada.vn/products/loc-6-lon-nuoc-ngot-co-gas-mirinda-huong-xa-xi-lon-320ml-bach-hoa-tong-hop-nhu-ngoc-i2420343755.html", "https://www.lazada.vn/products/loc-6-lon-nuoc-ngot-co-gas-mirinda-huong-xa-xi-lon-320ml-bach-hoa-tong-hop-nhu-ngoc-i2420343755.html")</f>
        <v>https://www.lazada.vn/products/loc-6-lon-nuoc-ngot-co-gas-mirinda-huong-xa-xi-lon-320ml-bach-hoa-tong-hop-nhu-ngoc-i2420343755.html</v>
      </c>
      <c r="C5996" s="10" t="s">
        <v>5996</v>
      </c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>
      <c r="A5997" s="8">
        <v>10851.0</v>
      </c>
      <c r="B5997" s="9" t="str">
        <f>HYPERLINK("https://www.lazada.vn/products/vang-paladin-syrah-i2606876181.html", "https://www.lazada.vn/products/vang-paladin-syrah-i2606876181.html")</f>
        <v>https://www.lazada.vn/products/vang-paladin-syrah-i2606876181.html</v>
      </c>
      <c r="C5997" s="10" t="s">
        <v>5997</v>
      </c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>
      <c r="A5998" s="8">
        <v>10852.0</v>
      </c>
      <c r="B5998" s="9" t="str">
        <f>HYPERLINK("https://www.lazada.vn/products/thung-24-lon-nuoc-tang-luc-warrior-vi-nho-thai-lan-chinh-hang-i2373469438.html", "https://www.lazada.vn/products/thung-24-lon-nuoc-tang-luc-warrior-vi-nho-thai-lan-chinh-hang-i2373469438.html")</f>
        <v>https://www.lazada.vn/products/thung-24-lon-nuoc-tang-luc-warrior-vi-nho-thai-lan-chinh-hang-i2373469438.html</v>
      </c>
      <c r="C5998" s="10" t="s">
        <v>5998</v>
      </c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>
      <c r="A5999" s="8">
        <v>10853.0</v>
      </c>
      <c r="B5999" s="9" t="str">
        <f>HYPERLINK("https://www.lazada.vn/products/thach-3d-dang-hat-350g-i2660020713.html", "https://www.lazada.vn/products/thach-3d-dang-hat-350g-i2660020713.html")</f>
        <v>https://www.lazada.vn/products/thach-3d-dang-hat-350g-i2660020713.html</v>
      </c>
      <c r="C5999" s="10" t="s">
        <v>5999</v>
      </c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>
      <c r="A6000" s="8">
        <v>10854.0</v>
      </c>
      <c r="B6000" s="9" t="str">
        <f>HYPERLINK("https://www.lazada.vn/products/thung-400ml-x-24-lon-nuoc-cot-dua-wonderfarm-i2746336099.html", "https://www.lazada.vn/products/thung-400ml-x-24-lon-nuoc-cot-dua-wonderfarm-i2746336099.html")</f>
        <v>https://www.lazada.vn/products/thung-400ml-x-24-lon-nuoc-cot-dua-wonderfarm-i2746336099.html</v>
      </c>
      <c r="C6000" s="10" t="s">
        <v>6000</v>
      </c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>
      <c r="A6001" s="8">
        <v>10855.0</v>
      </c>
      <c r="B6001" s="9" t="str">
        <f>HYPERLINK("https://www.lazada.vn/products/hop-330ml-nuoc-dua-xiem-xanh-cocoxim-dong-hop-uht-i2746091099.html", "https://www.lazada.vn/products/hop-330ml-nuoc-dua-xiem-xanh-cocoxim-dong-hop-uht-i2746091099.html")</f>
        <v>https://www.lazada.vn/products/hop-330ml-nuoc-dua-xiem-xanh-cocoxim-dong-hop-uht-i2746091099.html</v>
      </c>
      <c r="C6001" s="10" t="s">
        <v>6001</v>
      </c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>
      <c r="A6002" s="8">
        <v>10856.0</v>
      </c>
      <c r="B6002" s="9" t="str">
        <f>HYPERLINK("https://www.lazada.vn/products/hcmset-milo-dam-tran-chau-duong-den-ca-cao-sieu-ngon-lam-tai-nha-i1733960521.html", "https://www.lazada.vn/products/hcmset-milo-dam-tran-chau-duong-den-ca-cao-sieu-ngon-lam-tai-nha-i1733960521.html")</f>
        <v>https://www.lazada.vn/products/hcmset-milo-dam-tran-chau-duong-den-ca-cao-sieu-ngon-lam-tai-nha-i1733960521.html</v>
      </c>
      <c r="C6002" s="10" t="s">
        <v>6002</v>
      </c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>
      <c r="A6003" s="8">
        <v>10857.0</v>
      </c>
      <c r="B6003" s="9" t="str">
        <f>HYPERLINK("https://www.lazada.vn/products/khoai-tay-say-rong-bien-trend-cua-nam-vi-ngon-la-mieng-gion-xop-cay-nhe-qua-vat-da-lat-i2690841482.html", "https://www.lazada.vn/products/khoai-tay-say-rong-bien-trend-cua-nam-vi-ngon-la-mieng-gion-xop-cay-nhe-qua-vat-da-lat-i2690841482.html")</f>
        <v>https://www.lazada.vn/products/khoai-tay-say-rong-bien-trend-cua-nam-vi-ngon-la-mieng-gion-xop-cay-nhe-qua-vat-da-lat-i2690841482.html</v>
      </c>
      <c r="C6003" s="10" t="s">
        <v>6003</v>
      </c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>
      <c r="A6004" s="8">
        <v>10858.0</v>
      </c>
      <c r="B6004" s="9" t="str">
        <f>HYPERLINK("https://www.lazada.vn/products/hat-macca-uc-tach-vo-hu-250gr-tot-cho-thai-phu-tre-em-giam-can-an-toan-i527122492.html", "https://www.lazada.vn/products/hat-macca-uc-tach-vo-hu-250gr-tot-cho-thai-phu-tre-em-giam-can-an-toan-i527122492.html")</f>
        <v>https://www.lazada.vn/products/hat-macca-uc-tach-vo-hu-250gr-tot-cho-thai-phu-tre-em-giam-can-an-toan-i527122492.html</v>
      </c>
      <c r="C6004" s="10" t="s">
        <v>6004</v>
      </c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>
      <c r="A6005" s="8">
        <v>10859.0</v>
      </c>
      <c r="B6005" s="9" t="str">
        <f>HYPERLINK("https://www.lazada.vn/products/banh-quy-phu-duong-baobing-coconut-jessica-bac-tron-170g-i2880668901.html", "https://www.lazada.vn/products/banh-quy-phu-duong-baobing-coconut-jessica-bac-tron-170g-i2880668901.html")</f>
        <v>https://www.lazada.vn/products/banh-quy-phu-duong-baobing-coconut-jessica-bac-tron-170g-i2880668901.html</v>
      </c>
      <c r="C6005" s="10" t="s">
        <v>6005</v>
      </c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>
      <c r="A6006" s="8">
        <v>10860.0</v>
      </c>
      <c r="B6006" s="9" t="str">
        <f>HYPERLINK("https://www.lazada.vn/products/mi-vi-huong-vi-sa-te-goi-giay-thung-30-goi-x-70g-i2824109698.html", "https://www.lazada.vn/products/mi-vi-huong-vi-sa-te-goi-giay-thung-30-goi-x-70g-i2824109698.html")</f>
        <v>https://www.lazada.vn/products/mi-vi-huong-vi-sa-te-goi-giay-thung-30-goi-x-70g-i2824109698.html</v>
      </c>
      <c r="C6006" s="10" t="s">
        <v>6006</v>
      </c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>
      <c r="A6007" s="8">
        <v>10861.0</v>
      </c>
      <c r="B6007" s="9" t="str">
        <f>HYPERLINK("https://www.lazada.vn/products/mi-hao-hao-vi-tom-chua-cay-goi-75g-shop-thu-quan-i2823705679.html", "https://www.lazada.vn/products/mi-hao-hao-vi-tom-chua-cay-goi-75g-shop-thu-quan-i2823705679.html")</f>
        <v>https://www.lazada.vn/products/mi-hao-hao-vi-tom-chua-cay-goi-75g-shop-thu-quan-i2823705679.html</v>
      </c>
      <c r="C6007" s="10" t="s">
        <v>6007</v>
      </c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>
      <c r="A6008" s="8">
        <v>10862.0</v>
      </c>
      <c r="B6008" s="9" t="str">
        <f>HYPERLINK("https://www.lazada.vn/products/bento-hai-san-tam-gia-vi-thai-lan-sieu-ngon-nhap-khau-chinh-hang-goi-20g-i1607181625.html", "https://www.lazada.vn/products/bento-hai-san-tam-gia-vi-thai-lan-sieu-ngon-nhap-khau-chinh-hang-goi-20g-i1607181625.html")</f>
        <v>https://www.lazada.vn/products/bento-hai-san-tam-gia-vi-thai-lan-sieu-ngon-nhap-khau-chinh-hang-goi-20g-i1607181625.html</v>
      </c>
      <c r="C6008" s="10" t="s">
        <v>6008</v>
      </c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>
      <c r="A6009" s="8">
        <v>10863.0</v>
      </c>
      <c r="B6009" s="9" t="str">
        <f>HYPERLINK("https://www.lazada.vn/products/mau-moi-bo-shea-butter-organic-100-nguyen-chat-sky-orgaincs-425g-usa-san-pham-chat-luong-cao-su-dung-cuc-thich-duoc-ua-chuong-tren-thi-truong-khach-yeu-co-the-trai-nghiem-va-phan-hoi-cho-shop-nhe-i3034762339.html", "https://www.lazada.vn/products/mau-moi-bo-shea-butter-organic-100-nguyen-chat-sky-orgaincs-425g-usa-san-pham-chat-luong-cao-su-dung-cuc-thich-duoc-ua-chuong-tren-thi-truong-khach-yeu-co-the-trai-nghiem-va-phan-hoi-cho-shop-nhe-i3034762339.html")</f>
        <v>https://www.lazada.vn/products/mau-moi-bo-shea-butter-organic-100-nguyen-chat-sky-orgaincs-425g-usa-san-pham-chat-luong-cao-su-dung-cuc-thich-duoc-ua-chuong-tren-thi-truong-khach-yeu-co-the-trai-nghiem-va-phan-hoi-cho-shop-nhe-i3034762339.html</v>
      </c>
      <c r="C6009" s="10" t="s">
        <v>6009</v>
      </c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>
      <c r="A6010" s="8">
        <v>10864.0</v>
      </c>
      <c r="B6010" s="9" t="str">
        <f>HYPERLINK("https://www.lazada.vn/products/keo-ngam-vi-bo-huc-keo-ngam-vitamin-c-vi-redbullstingcoca-cola-keo-bo-huc-tang-luc-goi-to-350g-i2712847664.html", "https://www.lazada.vn/products/keo-ngam-vi-bo-huc-keo-ngam-vitamin-c-vi-redbullstingcoca-cola-keo-bo-huc-tang-luc-goi-to-350g-i2712847664.html")</f>
        <v>https://www.lazada.vn/products/keo-ngam-vi-bo-huc-keo-ngam-vitamin-c-vi-redbullstingcoca-cola-keo-bo-huc-tang-luc-goi-to-350g-i2712847664.html</v>
      </c>
      <c r="C6010" s="10" t="s">
        <v>6010</v>
      </c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>
      <c r="A6011" s="8">
        <v>10865.0</v>
      </c>
      <c r="B6011" s="9" t="str">
        <f>HYPERLINK("https://www.lazada.vn/products/bia-eichbaum-stout-75-nhap-khau-duc-1-thung-24-lon-500ml-i2922928219.html", "https://www.lazada.vn/products/bia-eichbaum-stout-75-nhap-khau-duc-1-thung-24-lon-500ml-i2922928219.html")</f>
        <v>https://www.lazada.vn/products/bia-eichbaum-stout-75-nhap-khau-duc-1-thung-24-lon-500ml-i2922928219.html</v>
      </c>
      <c r="C6011" s="10" t="s">
        <v>6011</v>
      </c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>
      <c r="A6012" s="8">
        <v>10866.0</v>
      </c>
      <c r="B6012" s="9" t="str">
        <f>HYPERLINK("https://www.lazada.vn/products/banh-mi-kep-sandwich-sua-chua-horsh-dai-loan-banh-le-b54-chuyen-si-tpnk-i2637079780.html", "https://www.lazada.vn/products/banh-mi-kep-sandwich-sua-chua-horsh-dai-loan-banh-le-b54-chuyen-si-tpnk-i2637079780.html")</f>
        <v>https://www.lazada.vn/products/banh-mi-kep-sandwich-sua-chua-horsh-dai-loan-banh-le-b54-chuyen-si-tpnk-i2637079780.html</v>
      </c>
      <c r="C6012" s="10" t="s">
        <v>6012</v>
      </c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>
      <c r="A6013" s="8">
        <v>10867.0</v>
      </c>
      <c r="B6013" s="9" t="str">
        <f>HYPERLINK("https://www.lazada.vn/products/bia-tiger-thung-24-lon-cao-xuan-330ml-2024-i2518640488.html", "https://www.lazada.vn/products/bia-tiger-thung-24-lon-cao-xuan-330ml-2024-i2518640488.html")</f>
        <v>https://www.lazada.vn/products/bia-tiger-thung-24-lon-cao-xuan-330ml-2024-i2518640488.html</v>
      </c>
      <c r="C6013" s="10" t="s">
        <v>6013</v>
      </c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>
      <c r="A6014" s="8">
        <v>10868.0</v>
      </c>
      <c r="B6014" s="9" t="str">
        <f>HYPERLINK("https://www.lazada.vn/products/banh-trang-deo-tom-super-bo-beo-4-vi-sieu-topping-an-vat-ngon-i2429234484.html", "https://www.lazada.vn/products/banh-trang-deo-tom-super-bo-beo-4-vi-sieu-topping-an-vat-ngon-i2429234484.html")</f>
        <v>https://www.lazada.vn/products/banh-trang-deo-tom-super-bo-beo-4-vi-sieu-topping-an-vat-ngon-i2429234484.html</v>
      </c>
      <c r="C6014" s="10" t="s">
        <v>6014</v>
      </c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>
      <c r="A6015" s="8">
        <v>10869.0</v>
      </c>
      <c r="B6015" s="9" t="str">
        <f>HYPERLINK("https://www.lazada.vn/products/ruou-vodka-absolut-citron-nong-do-alc-40-700ml-khong-kem-hop-i2403379015.html", "https://www.lazada.vn/products/ruou-vodka-absolut-citron-nong-do-alc-40-700ml-khong-kem-hop-i2403379015.html")</f>
        <v>https://www.lazada.vn/products/ruou-vodka-absolut-citron-nong-do-alc-40-700ml-khong-kem-hop-i2403379015.html</v>
      </c>
      <c r="C6015" s="10" t="s">
        <v>6015</v>
      </c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>
      <c r="A6016" s="8">
        <v>10870.0</v>
      </c>
      <c r="B6016" s="9" t="str">
        <f>HYPERLINK("https://www.lazada.vn/products/nuoc-ngot-co-ga-vi-dua-hau-nuoc-dua-hau-co-ga-okf-han-quoc-x-24-lon-350ml-i2416563162.html", "https://www.lazada.vn/products/nuoc-ngot-co-ga-vi-dua-hau-nuoc-dua-hau-co-ga-okf-han-quoc-x-24-lon-350ml-i2416563162.html")</f>
        <v>https://www.lazada.vn/products/nuoc-ngot-co-ga-vi-dua-hau-nuoc-dua-hau-co-ga-okf-han-quoc-x-24-lon-350ml-i2416563162.html</v>
      </c>
      <c r="C6016" s="10" t="s">
        <v>6016</v>
      </c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>
      <c r="A6017" s="8">
        <v>10871.0</v>
      </c>
      <c r="B6017" s="9" t="str">
        <f>HYPERLINK("https://www.lazada.vn/products/vang-soliera-tempranillo-la-mancha-i2606759612.html", "https://www.lazada.vn/products/vang-soliera-tempranillo-la-mancha-i2606759612.html")</f>
        <v>https://www.lazada.vn/products/vang-soliera-tempranillo-la-mancha-i2606759612.html</v>
      </c>
      <c r="C6017" s="10" t="s">
        <v>6017</v>
      </c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>
      <c r="A6018" s="8">
        <v>10872.0</v>
      </c>
      <c r="B6018" s="9" t="str">
        <f>HYPERLINK("https://www.lazada.vn/products/vang-paladin-syrah-i2605892576.html", "https://www.lazada.vn/products/vang-paladin-syrah-i2605892576.html")</f>
        <v>https://www.lazada.vn/products/vang-paladin-syrah-i2605892576.html</v>
      </c>
      <c r="C6018" s="10" t="s">
        <v>6018</v>
      </c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>
      <c r="A6019" s="8">
        <v>10873.0</v>
      </c>
      <c r="B6019" s="9" t="str">
        <f>HYPERLINK("https://www.lazada.vn/products/dung-thu-1-lon-nuoc-tang-luc-warrior-vi-nho-thai-lan-chinh-hang-i2373429726.html", "https://www.lazada.vn/products/dung-thu-1-lon-nuoc-tang-luc-warrior-vi-nho-thai-lan-chinh-hang-i2373429726.html")</f>
        <v>https://www.lazada.vn/products/dung-thu-1-lon-nuoc-tang-luc-warrior-vi-nho-thai-lan-chinh-hang-i2373429726.html</v>
      </c>
      <c r="C6019" s="10" t="s">
        <v>6019</v>
      </c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>
      <c r="A6020" s="8">
        <v>10874.0</v>
      </c>
      <c r="B6020" s="9" t="str">
        <f>HYPERLINK("https://www.lazada.vn/products/thung-24-chai-c2-huong-chanh-tao-355ml-i2745838691.html", "https://www.lazada.vn/products/thung-24-chai-c2-huong-chanh-tao-355ml-i2745838691.html")</f>
        <v>https://www.lazada.vn/products/thung-24-chai-c2-huong-chanh-tao-355ml-i2745838691.html</v>
      </c>
      <c r="C6020" s="10" t="s">
        <v>6020</v>
      </c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>
      <c r="A6021" s="8">
        <v>10875.0</v>
      </c>
      <c r="B6021" s="9" t="str">
        <f>HYPERLINK("https://www.lazada.vn/products/bim-bim-khoai-tay-pho-mai-cong-loai-dac-biet-gion-xop-beo-ngay-cay-nhe-la-mieng-qua-vat-da-lat-i2690833456.html", "https://www.lazada.vn/products/bim-bim-khoai-tay-pho-mai-cong-loai-dac-biet-gion-xop-beo-ngay-cay-nhe-la-mieng-qua-vat-da-lat-i2690833456.html")</f>
        <v>https://www.lazada.vn/products/bim-bim-khoai-tay-pho-mai-cong-loai-dac-biet-gion-xop-beo-ngay-cay-nhe-la-mieng-qua-vat-da-lat-i2690833456.html</v>
      </c>
      <c r="C6021" s="10" t="s">
        <v>6021</v>
      </c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>
      <c r="A6022" s="8">
        <v>10876.0</v>
      </c>
      <c r="B6022" s="9" t="str">
        <f>HYPERLINK("https://www.lazada.vn/products/1kg-banh-sua-chua-tuoi-horsh-i527118490.html", "https://www.lazada.vn/products/1kg-banh-sua-chua-tuoi-horsh-i527118490.html")</f>
        <v>https://www.lazada.vn/products/1kg-banh-sua-chua-tuoi-horsh-i527118490.html</v>
      </c>
      <c r="C6022" s="10" t="s">
        <v>6022</v>
      </c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>
      <c r="A6023" s="8">
        <v>10877.0</v>
      </c>
      <c r="B6023" s="9" t="str">
        <f>HYPERLINK("https://www.lazada.vn/products/gia-chi-66000-dbich-moi-tiet-kiem-15-goi-x-22-ggoi-milo-thuc-uong-dinh-duong-tu-sua-lua-mach-voi-6-loai-vitamin-3-loai-khoang-chat-cung-cap-nang-luong-ben-bi-cho-tre-vuon-xa-i1722719111.html", "https://www.lazada.vn/products/gia-chi-66000-dbich-moi-tiet-kiem-15-goi-x-22-ggoi-milo-thuc-uong-dinh-duong-tu-sua-lua-mach-voi-6-loai-vitamin-3-loai-khoang-chat-cung-cap-nang-luong-ben-bi-cho-tre-vuon-xa-i1722719111.html")</f>
        <v>https://www.lazada.vn/products/gia-chi-66000-dbich-moi-tiet-kiem-15-goi-x-22-ggoi-milo-thuc-uong-dinh-duong-tu-sua-lua-mach-voi-6-loai-vitamin-3-loai-khoang-chat-cung-cap-nang-luong-ben-bi-cho-tre-vuon-xa-i1722719111.html</v>
      </c>
      <c r="C6023" s="10" t="s">
        <v>6023</v>
      </c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>
      <c r="A6024" s="8">
        <v>10878.0</v>
      </c>
      <c r="B6024" s="9" t="str">
        <f>HYPERLINK("https://www.lazada.vn/products/banh-ong-ngo-dau-phong-250g-500g-1-kg-i2880603803.html", "https://www.lazada.vn/products/banh-ong-ngo-dau-phong-250g-500g-1-kg-i2880603803.html")</f>
        <v>https://www.lazada.vn/products/banh-ong-ngo-dau-phong-250g-500g-1-kg-i2880603803.html</v>
      </c>
      <c r="C6024" s="10" t="s">
        <v>6024</v>
      </c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>
      <c r="A6025" s="8">
        <v>10879.0</v>
      </c>
      <c r="B6025" s="9" t="str">
        <f>HYPERLINK("https://www.lazada.vn/products/1-goi-mi-hao-hao-vi-tom-chua-cay-goi-75g-shop-thu-quan-i2823608935.html", "https://www.lazada.vn/products/1-goi-mi-hao-hao-vi-tom-chua-cay-goi-75g-shop-thu-quan-i2823608935.html")</f>
        <v>https://www.lazada.vn/products/1-goi-mi-hao-hao-vi-tom-chua-cay-goi-75g-shop-thu-quan-i2823608935.html</v>
      </c>
      <c r="C6025" s="10" t="s">
        <v>6025</v>
      </c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>
      <c r="A6026" s="8">
        <v>10880.0</v>
      </c>
      <c r="B6026" s="9" t="str">
        <f>HYPERLINK("https://www.lazada.vn/products/dau-tay-say-thang-hoa-trai-to-nguyen-chat-i3034730592.html", "https://www.lazada.vn/products/dau-tay-say-thang-hoa-trai-to-nguyen-chat-i3034730592.html")</f>
        <v>https://www.lazada.vn/products/dau-tay-say-thang-hoa-trai-to-nguyen-chat-i3034730592.html</v>
      </c>
      <c r="C6026" s="10" t="s">
        <v>6026</v>
      </c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>
      <c r="A6027" s="8">
        <v>10881.0</v>
      </c>
      <c r="B6027" s="9" t="str">
        <f>HYPERLINK("https://www.lazada.vn/products/bento-hai-san-tam-gia-vi-thai-lan-sieu-ngon-nhap-khau-chinh-hang-goi-20g-i1607175742.html", "https://www.lazada.vn/products/bento-hai-san-tam-gia-vi-thai-lan-sieu-ngon-nhap-khau-chinh-hang-goi-20g-i1607175742.html")</f>
        <v>https://www.lazada.vn/products/bento-hai-san-tam-gia-vi-thai-lan-sieu-ngon-nhap-khau-chinh-hang-goi-20g-i1607175742.html</v>
      </c>
      <c r="C6027" s="10" t="s">
        <v>6027</v>
      </c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>
      <c r="A6028" s="8">
        <v>10882.0</v>
      </c>
      <c r="B6028" s="9" t="str">
        <f>HYPERLINK("https://www.lazada.vn/products/mint-candy-old-fashioned-fresh-breath-snack-leisure-greedy-mint-flavor-hard-candy-100g-from-guojianyuan-brand-in-mainland-china-i2711298076.html", "https://www.lazada.vn/products/mint-candy-old-fashioned-fresh-breath-snack-leisure-greedy-mint-flavor-hard-candy-100g-from-guojianyuan-brand-in-mainland-china-i2711298076.html")</f>
        <v>https://www.lazada.vn/products/mint-candy-old-fashioned-fresh-breath-snack-leisure-greedy-mint-flavor-hard-candy-100g-from-guojianyuan-brand-in-mainland-china-i2711298076.html</v>
      </c>
      <c r="C6028" s="10" t="s">
        <v>6028</v>
      </c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>
      <c r="A6029" s="8">
        <v>10883.0</v>
      </c>
      <c r="B6029" s="9" t="str">
        <f>HYPERLINK("https://www.lazada.vn/products/bia-eichbaum-stout-75-nhap-khau-duc-1-lon-500ml-i2922903344.html", "https://www.lazada.vn/products/bia-eichbaum-stout-75-nhap-khau-duc-1-lon-500ml-i2922903344.html")</f>
        <v>https://www.lazada.vn/products/bia-eichbaum-stout-75-nhap-khau-duc-1-lon-500ml-i2922903344.html</v>
      </c>
      <c r="C6029" s="10" t="s">
        <v>6029</v>
      </c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>
      <c r="A6030" s="8">
        <v>10884.0</v>
      </c>
      <c r="B6030" s="9" t="str">
        <f>HYPERLINK("https://www.lazada.vn/products/banh-pia-mini-vi-trung-muoi-i2880896350.html", "https://www.lazada.vn/products/banh-pia-mini-vi-trung-muoi-i2880896350.html")</f>
        <v>https://www.lazada.vn/products/banh-pia-mini-vi-trung-muoi-i2880896350.html</v>
      </c>
      <c r="C6030" s="10" t="s">
        <v>6030</v>
      </c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>
      <c r="A6031" s="8">
        <v>10885.0</v>
      </c>
      <c r="B6031" s="9" t="str">
        <f>HYPERLINK("https://www.lazada.vn/products/banh-mi-kep-sandwich-sua-chua-horsh-dai-loan-banh-le-b54-tknk-beegin-i2637019812.html", "https://www.lazada.vn/products/banh-mi-kep-sandwich-sua-chua-horsh-dai-loan-banh-le-b54-tknk-beegin-i2637019812.html")</f>
        <v>https://www.lazada.vn/products/banh-mi-kep-sandwich-sua-chua-horsh-dai-loan-banh-le-b54-tknk-beegin-i2637019812.html</v>
      </c>
      <c r="C6031" s="10" t="s">
        <v>6031</v>
      </c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>
      <c r="A6032" s="8">
        <v>10886.0</v>
      </c>
      <c r="B6032" s="9" t="str">
        <f>HYPERLINK("https://www.lazada.vn/products/bia-tiger-xuan-lon-cao-thung-24-lon-x-330ml-i2501628467.html", "https://www.lazada.vn/products/bia-tiger-xuan-lon-cao-thung-24-lon-x-330ml-i2501628467.html")</f>
        <v>https://www.lazada.vn/products/bia-tiger-xuan-lon-cao-thung-24-lon-x-330ml-i2501628467.html</v>
      </c>
      <c r="C6032" s="10" t="s">
        <v>6032</v>
      </c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>
      <c r="A6033" s="8">
        <v>10887.0</v>
      </c>
      <c r="B6033" s="9" t="str">
        <f>HYPERLINK("https://www.lazada.vn/products/combo-banh-trang-muoi-beo-paco-food-sieu-hot-gom-1-banh-ria-200g-1-hu-muoi-beo-1-hu-hanh-phi-nguyen-kem-top-mo-va-muoi-d-i2429227796.html", "https://www.lazada.vn/products/combo-banh-trang-muoi-beo-paco-food-sieu-hot-gom-1-banh-ria-200g-1-hu-muoi-beo-1-hu-hanh-phi-nguyen-kem-top-mo-va-muoi-d-i2429227796.html")</f>
        <v>https://www.lazada.vn/products/combo-banh-trang-muoi-beo-paco-food-sieu-hot-gom-1-banh-ria-200g-1-hu-muoi-beo-1-hu-hanh-phi-nguyen-kem-top-mo-va-muoi-d-i2429227796.html</v>
      </c>
      <c r="C6033" s="10" t="s">
        <v>6033</v>
      </c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>
      <c r="A6034" s="8">
        <v>10888.0</v>
      </c>
      <c r="B6034" s="9" t="str">
        <f>HYPERLINK("https://www.lazada.vn/products/ruou-vodka-absolut-nong-do-alc-400-375ml-khong-kem-hop-i2403207368.html", "https://www.lazada.vn/products/ruou-vodka-absolut-nong-do-alc-400-375ml-khong-kem-hop-i2403207368.html")</f>
        <v>https://www.lazada.vn/products/ruou-vodka-absolut-nong-do-alc-400-375ml-khong-kem-hop-i2403207368.html</v>
      </c>
      <c r="C6034" s="10" t="s">
        <v>6034</v>
      </c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>
      <c r="A6035" s="8">
        <v>10889.0</v>
      </c>
      <c r="B6035" s="9" t="str">
        <f>HYPERLINK("https://www.lazada.vn/products/nuoc-ngot-co-ga-vi-dau-tay-nuoc-dau-tay-co-ga-okf-han-quoc-x-24-lon-350ml-i2416510466.html", "https://www.lazada.vn/products/nuoc-ngot-co-ga-vi-dau-tay-nuoc-dau-tay-co-ga-okf-han-quoc-x-24-lon-350ml-i2416510466.html")</f>
        <v>https://www.lazada.vn/products/nuoc-ngot-co-ga-vi-dau-tay-nuoc-dau-tay-co-ga-okf-han-quoc-x-24-lon-350ml-i2416510466.html</v>
      </c>
      <c r="C6035" s="10" t="s">
        <v>6035</v>
      </c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>
      <c r="A6036" s="8">
        <v>10890.0</v>
      </c>
      <c r="B6036" s="9" t="str">
        <f>HYPERLINK("https://www.lazada.vn/products/loc-6-lon-nuoc-tang-luc-warrior-vi-nho-dau-lan-chinh-hang-i2373380998.html", "https://www.lazada.vn/products/loc-6-lon-nuoc-tang-luc-warrior-vi-nho-dau-lan-chinh-hang-i2373380998.html")</f>
        <v>https://www.lazada.vn/products/loc-6-lon-nuoc-tang-luc-warrior-vi-nho-dau-lan-chinh-hang-i2373380998.html</v>
      </c>
      <c r="C6036" s="10" t="s">
        <v>6036</v>
      </c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>
      <c r="A6037" s="8">
        <v>10891.0</v>
      </c>
      <c r="B6037" s="9" t="str">
        <f>HYPERLINK("https://www.lazada.vn/products/vang-cp-trivarietal-mix-syrah-malbec-viognie-i2605038364.html", "https://www.lazada.vn/products/vang-cp-trivarietal-mix-syrah-malbec-viognie-i2605038364.html")</f>
        <v>https://www.lazada.vn/products/vang-cp-trivarietal-mix-syrah-malbec-viognie-i2605038364.html</v>
      </c>
      <c r="C6037" s="10" t="s">
        <v>6037</v>
      </c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>
      <c r="A6038" s="8">
        <v>10892.0</v>
      </c>
      <c r="B6038" s="9" t="str">
        <f>HYPERLINK("https://www.lazada.vn/products/bim-bim-ca-chua-khong-lo-bim-bim-khong-lo-trung-quoc-bim-bim-khong-lo-vi-ca-chua-do-an-vat-i2690337264.html", "https://www.lazada.vn/products/bim-bim-ca-chua-khong-lo-bim-bim-khong-lo-trung-quoc-bim-bim-khong-lo-vi-ca-chua-do-an-vat-i2690337264.html")</f>
        <v>https://www.lazada.vn/products/bim-bim-ca-chua-khong-lo-bim-bim-khong-lo-trung-quoc-bim-bim-khong-lo-vi-ca-chua-do-an-vat-i2690337264.html</v>
      </c>
      <c r="C6038" s="10" t="s">
        <v>6038</v>
      </c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>
      <c r="A6039" s="8">
        <v>10893.0</v>
      </c>
      <c r="B6039" s="9" t="str">
        <f>HYPERLINK("https://www.lazada.vn/products/bot-ngu-coc-dinh-duong-han-quoc-hop-50-goi-date-moi-boi-bo-co-the-giup-tang-luong-sua-ba-bau-tot-cho-thai-nhi-_-nguoi-cao-tuoi-i527114317.html", "https://www.lazada.vn/products/bot-ngu-coc-dinh-duong-han-quoc-hop-50-goi-date-moi-boi-bo-co-the-giup-tang-luong-sua-ba-bau-tot-cho-thai-nhi-_-nguoi-cao-tuoi-i527114317.html")</f>
        <v>https://www.lazada.vn/products/bot-ngu-coc-dinh-duong-han-quoc-hop-50-goi-date-moi-boi-bo-co-the-giup-tang-luong-sua-ba-bau-tot-cho-thai-nhi-_-nguoi-cao-tuoi-i527114317.html</v>
      </c>
      <c r="C6039" s="10" t="s">
        <v>6039</v>
      </c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>
      <c r="A6040" s="8">
        <v>10894.0</v>
      </c>
      <c r="B6040" s="9" t="str">
        <f>HYPERLINK("https://www.lazada.vn/products/sinh-to-berrino-chai-120ml-vi-chanh-day-dau-dao-viet-quat-xoai-kiwi-nguyen-lieu-hucha-i2744538996.html", "https://www.lazada.vn/products/sinh-to-berrino-chai-120ml-vi-chanh-day-dau-dao-viet-quat-xoai-kiwi-nguyen-lieu-hucha-i2744538996.html")</f>
        <v>https://www.lazada.vn/products/sinh-to-berrino-chai-120ml-vi-chanh-day-dau-dao-viet-quat-xoai-kiwi-nguyen-lieu-hucha-i2744538996.html</v>
      </c>
      <c r="C6040" s="10" t="s">
        <v>6040</v>
      </c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>
      <c r="A6041" s="8">
        <v>10895.0</v>
      </c>
      <c r="B6041" s="9" t="str">
        <f>HYPERLINK("https://www.lazada.vn/products/banh-lat-snack-khoai-tay-slide-vi-ngau-nhien-tu-nhien-thit-nuong-thom-cay-so-diep-combo-3-lon-x-150g-1-lon-x-145g-i2683749693.html", "https://www.lazada.vn/products/banh-lat-snack-khoai-tay-slide-vi-ngau-nhien-tu-nhien-thit-nuong-thom-cay-so-diep-combo-3-lon-x-150g-1-lon-x-145g-i2683749693.html")</f>
        <v>https://www.lazada.vn/products/banh-lat-snack-khoai-tay-slide-vi-ngau-nhien-tu-nhien-thit-nuong-thom-cay-so-diep-combo-3-lon-x-150g-1-lon-x-145g-i2683749693.html</v>
      </c>
      <c r="C6041" s="10" t="s">
        <v>6041</v>
      </c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>
      <c r="A6042" s="8">
        <v>10896.0</v>
      </c>
      <c r="B6042" s="9" t="str">
        <f>HYPERLINK("https://www.lazada.vn/products/bot-cacao-nguyen-chat-lacacao-standard-tu-hat-ca-cao-250g-the-kaffeine-coffee-i1719360164.html", "https://www.lazada.vn/products/bot-cacao-nguyen-chat-lacacao-standard-tu-hat-ca-cao-250g-the-kaffeine-coffee-i1719360164.html")</f>
        <v>https://www.lazada.vn/products/bot-cacao-nguyen-chat-lacacao-standard-tu-hat-ca-cao-250g-the-kaffeine-coffee-i1719360164.html</v>
      </c>
      <c r="C6042" s="10" t="s">
        <v>6042</v>
      </c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>
      <c r="A6043" s="8">
        <v>10897.0</v>
      </c>
      <c r="B6043" s="9" t="str">
        <f>HYPERLINK("https://www.lazada.vn/products/banh-quy-man-bibizan-kieu-nhat-cao-cap-vi-bo-sua-vi-rau-cu-gion-thom-an-la-me-lien-bich-lon-408g-i2879929749.html", "https://www.lazada.vn/products/banh-quy-man-bibizan-kieu-nhat-cao-cap-vi-bo-sua-vi-rau-cu-gion-thom-an-la-me-lien-bich-lon-408g-i2879929749.html")</f>
        <v>https://www.lazada.vn/products/banh-quy-man-bibizan-kieu-nhat-cao-cap-vi-bo-sua-vi-rau-cu-gion-thom-an-la-me-lien-bich-lon-408g-i2879929749.html</v>
      </c>
      <c r="C6043" s="10" t="s">
        <v>6043</v>
      </c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>
      <c r="A6044" s="8">
        <v>10898.0</v>
      </c>
      <c r="B6044" s="9" t="str">
        <f>HYPERLINK("https://www.lazada.vn/products/mi-chay-rau-cu-soon-vegie-nongshim-ly-67g-i2821269634.html", "https://www.lazada.vn/products/mi-chay-rau-cu-soon-vegie-nongshim-ly-67g-i2821269634.html")</f>
        <v>https://www.lazada.vn/products/mi-chay-rau-cu-soon-vegie-nongshim-ly-67g-i2821269634.html</v>
      </c>
      <c r="C6044" s="10" t="s">
        <v>6044</v>
      </c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>
      <c r="A6045" s="8">
        <v>10899.0</v>
      </c>
      <c r="B6045" s="9" t="str">
        <f>HYPERLINK("https://www.lazada.vn/products/ca-trich-sea-crown-ngam-dau-125g-hsd42027-i3034712794.html", "https://www.lazada.vn/products/ca-trich-sea-crown-ngam-dau-125g-hsd42027-i3034712794.html")</f>
        <v>https://www.lazada.vn/products/ca-trich-sea-crown-ngam-dau-125g-hsd42027-i3034712794.html</v>
      </c>
      <c r="C6045" s="10" t="s">
        <v>6045</v>
      </c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>
      <c r="A6046" s="8">
        <v>10900.0</v>
      </c>
      <c r="B6046" s="9" t="str">
        <f>HYPERLINK("https://www.lazada.vn/products/keo-deo-playmore-xep-hinh-64g-i2710148079.html", "https://www.lazada.vn/products/keo-deo-playmore-xep-hinh-64g-i2710148079.html")</f>
        <v>https://www.lazada.vn/products/keo-deo-playmore-xep-hinh-64g-i2710148079.html</v>
      </c>
      <c r="C6046" s="10" t="s">
        <v>6046</v>
      </c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>
      <c r="A6047" s="8">
        <v>10901.0</v>
      </c>
      <c r="B6047" s="9" t="str">
        <f>HYPERLINK("https://www.lazada.vn/products/bia-eichbaum-stout-75-nhap-khau-duc-1-thung-24-lon-500ml-i2922896404.html", "https://www.lazada.vn/products/bia-eichbaum-stout-75-nhap-khau-duc-1-thung-24-lon-500ml-i2922896404.html")</f>
        <v>https://www.lazada.vn/products/bia-eichbaum-stout-75-nhap-khau-duc-1-thung-24-lon-500ml-i2922896404.html</v>
      </c>
      <c r="C6047" s="10" t="s">
        <v>6047</v>
      </c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>
      <c r="A6048" s="8">
        <v>10902.0</v>
      </c>
      <c r="B6048" s="9" t="str">
        <f>HYPERLINK("https://www.lazada.vn/products/hop-500g-banh-mi-kep-sandwich-sua-chua-horsh-b54-tknk-beegin-i2636994775.html", "https://www.lazada.vn/products/hop-500g-banh-mi-kep-sandwich-sua-chua-horsh-b54-tknk-beegin-i2636994775.html")</f>
        <v>https://www.lazada.vn/products/hop-500g-banh-mi-kep-sandwich-sua-chua-horsh-b54-tknk-beegin-i2636994775.html</v>
      </c>
      <c r="C6048" s="10" t="s">
        <v>6048</v>
      </c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>
      <c r="A6049" s="8">
        <v>10903.0</v>
      </c>
      <c r="B6049" s="9" t="str">
        <f>HYPERLINK("https://www.lazada.vn/products/heineken-phien-ban-ky-niem-150-nam-lon-250ml-date-thang-424-i2395782372.html", "https://www.lazada.vn/products/heineken-phien-ban-ky-niem-150-nam-lon-250ml-date-thang-424-i2395782372.html")</f>
        <v>https://www.lazada.vn/products/heineken-phien-ban-ky-niem-150-nam-lon-250ml-date-thang-424-i2395782372.html</v>
      </c>
      <c r="C6049" s="10" t="s">
        <v>6049</v>
      </c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>
      <c r="A6050" s="8">
        <v>10904.0</v>
      </c>
      <c r="B6050" s="9" t="str">
        <f>HYPERLINK("https://www.lazada.vn/products/set-2-combo-banh-trang-phoi-suong-gom-combo-ut-cung-combo-muoi-beo-hot-trend-nha-paco-food-do-an-vat-snacks-i2429206841.html", "https://www.lazada.vn/products/set-2-combo-banh-trang-phoi-suong-gom-combo-ut-cung-combo-muoi-beo-hot-trend-nha-paco-food-do-an-vat-snacks-i2429206841.html")</f>
        <v>https://www.lazada.vn/products/set-2-combo-banh-trang-phoi-suong-gom-combo-ut-cung-combo-muoi-beo-hot-trend-nha-paco-food-do-an-vat-snacks-i2429206841.html</v>
      </c>
      <c r="C6050" s="10" t="s">
        <v>6050</v>
      </c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>
      <c r="A6051" s="8">
        <v>10905.0</v>
      </c>
      <c r="B6051" s="9" t="str">
        <f>HYPERLINK("https://www.lazada.vn/products/ruou-vodka-absolut-nong-do-alc-400-700ml-khong-kem-hop-i2403111889.html", "https://www.lazada.vn/products/ruou-vodka-absolut-nong-do-alc-400-700ml-khong-kem-hop-i2403111889.html")</f>
        <v>https://www.lazada.vn/products/ruou-vodka-absolut-nong-do-alc-400-700ml-khong-kem-hop-i2403111889.html</v>
      </c>
      <c r="C6051" s="10" t="s">
        <v>6051</v>
      </c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>
      <c r="A6052" s="8">
        <v>10906.0</v>
      </c>
      <c r="B6052" s="9" t="str">
        <f>HYPERLINK("https://www.lazada.vn/products/nuoc-ngot-pepsi-cola-thung-24-chai-loai-600ml-i2410552505.html", "https://www.lazada.vn/products/nuoc-ngot-pepsi-cola-thung-24-chai-loai-600ml-i2410552505.html")</f>
        <v>https://www.lazada.vn/products/nuoc-ngot-pepsi-cola-thung-24-chai-loai-600ml-i2410552505.html</v>
      </c>
      <c r="C6052" s="10" t="s">
        <v>6052</v>
      </c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>
      <c r="A6053" s="8">
        <v>10907.0</v>
      </c>
      <c r="B6053" s="9" t="str">
        <f>HYPERLINK("https://www.lazada.vn/products/vang-soliera-tempranillo-la-mancha-i2604007563.html", "https://www.lazada.vn/products/vang-soliera-tempranillo-la-mancha-i2604007563.html")</f>
        <v>https://www.lazada.vn/products/vang-soliera-tempranillo-la-mancha-i2604007563.html</v>
      </c>
      <c r="C6053" s="10" t="s">
        <v>6053</v>
      </c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>
      <c r="A6054" s="8">
        <v>10908.0</v>
      </c>
      <c r="B6054" s="9" t="str">
        <f>HYPERLINK("https://www.lazada.vn/products/combo-6-lon-nuoc-tang-luc-sting-huong-dau-320ml-i2370795238.html", "https://www.lazada.vn/products/combo-6-lon-nuoc-tang-luc-sting-huong-dau-320ml-i2370795238.html")</f>
        <v>https://www.lazada.vn/products/combo-6-lon-nuoc-tang-luc-sting-huong-dau-320ml-i2370795238.html</v>
      </c>
      <c r="C6054" s="10" t="s">
        <v>6054</v>
      </c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>
      <c r="A6055" s="8">
        <v>10909.0</v>
      </c>
      <c r="B6055" s="9" t="str">
        <f>HYPERLINK("https://www.lazada.vn/products/combo-10-goi-mi-ga-cay-samyang-han-quoc-an-vat-sieu-ngon-i527102523.html", "https://www.lazada.vn/products/combo-10-goi-mi-ga-cay-samyang-han-quoc-an-vat-sieu-ngon-i527102523.html")</f>
        <v>https://www.lazada.vn/products/combo-10-goi-mi-ga-cay-samyang-han-quoc-an-vat-sieu-ngon-i527102523.html</v>
      </c>
      <c r="C6055" s="10" t="s">
        <v>6055</v>
      </c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>
      <c r="A6056" s="8">
        <v>10910.0</v>
      </c>
      <c r="B6056" s="9" t="str">
        <f>HYPERLINK("https://www.lazada.vn/products/ban-si-bich-bim-bim-oishi-snack-khoai-tay-sieu-mong-tater-thins-vi-dua-leo-goi-lon-32-g10-goi-gion-sun-thom-ngon-i2681556032.html", "https://www.lazada.vn/products/ban-si-bich-bim-bim-oishi-snack-khoai-tay-sieu-mong-tater-thins-vi-dua-leo-goi-lon-32-g10-goi-gion-sun-thom-ngon-i2681556032.html")</f>
        <v>https://www.lazada.vn/products/ban-si-bich-bim-bim-oishi-snack-khoai-tay-sieu-mong-tater-thins-vi-dua-leo-goi-lon-32-g10-goi-gion-sun-thom-ngon-i2681556032.html</v>
      </c>
      <c r="C6056" s="10" t="s">
        <v>6056</v>
      </c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>
      <c r="A6057" s="8">
        <v>10911.0</v>
      </c>
      <c r="B6057" s="9" t="str">
        <f>HYPERLINK("https://www.lazada.vn/products/nuoc-cot-nhau-ngam-duong-phen-100-tu-nhien-khong-chat-bao-quan-tot-cho-suc-khoe-2-chai-1000ml-i2743305593.html", "https://www.lazada.vn/products/nuoc-cot-nhau-ngam-duong-phen-100-tu-nhien-khong-chat-bao-quan-tot-cho-suc-khoe-2-chai-1000ml-i2743305593.html")</f>
        <v>https://www.lazada.vn/products/nuoc-cot-nhau-ngam-duong-phen-100-tu-nhien-khong-chat-bao-quan-tot-cho-suc-khoe-2-chai-1000ml-i2743305593.html</v>
      </c>
      <c r="C6057" s="10" t="s">
        <v>6057</v>
      </c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>
      <c r="A6058" s="8">
        <v>10912.0</v>
      </c>
      <c r="B6058" s="9" t="str">
        <f>HYPERLINK("https://www.lazada.vn/products/bot-cacao-nguyen-chat-lacacao-premium-tu-hat-ca-cao-100g-the-kaffeine-coffee-i1719351060.html", "https://www.lazada.vn/products/bot-cacao-nguyen-chat-lacacao-premium-tu-hat-ca-cao-100g-the-kaffeine-coffee-i1719351060.html")</f>
        <v>https://www.lazada.vn/products/bot-cacao-nguyen-chat-lacacao-premium-tu-hat-ca-cao-100g-the-kaffeine-coffee-i1719351060.html</v>
      </c>
      <c r="C6058" s="10" t="s">
        <v>6058</v>
      </c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>
      <c r="A6059" s="8">
        <v>10913.0</v>
      </c>
      <c r="B6059" s="9" t="str">
        <f>HYPERLINK("https://www.lazada.vn/products/500g-banh-gung-tao-do-i2879877813.html", "https://www.lazada.vn/products/500g-banh-gung-tao-do-i2879877813.html")</f>
        <v>https://www.lazada.vn/products/500g-banh-gung-tao-do-i2879877813.html</v>
      </c>
      <c r="C6059" s="10" t="s">
        <v>6059</v>
      </c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>
      <c r="A6060" s="8">
        <v>10914.0</v>
      </c>
      <c r="B6060" s="9" t="str">
        <f>HYPERLINK("https://www.lazada.vn/products/xoai-ngam-chua-an-do-mothers-mango-pickle-400gr-i3034655601.html", "https://www.lazada.vn/products/xoai-ngam-chua-an-do-mothers-mango-pickle-400gr-i3034655601.html")</f>
        <v>https://www.lazada.vn/products/xoai-ngam-chua-an-do-mothers-mango-pickle-400gr-i3034655601.html</v>
      </c>
      <c r="C6060" s="10" t="s">
        <v>6060</v>
      </c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>
      <c r="A6061" s="8">
        <v>10915.0</v>
      </c>
      <c r="B6061" s="9" t="str">
        <f>HYPERLINK("https://www.lazada.vn/products/20h-3-64-vc-18-cho-don-tu-199k-combo-2-kho-quet-nam-ngu-tom-kho-ca-mau-top-mo-ba-chi-200gr-1-tuong-ot-chin-su-1kg-i2821189193.html", "https://www.lazada.vn/products/20h-3-64-vc-18-cho-don-tu-199k-combo-2-kho-quet-nam-ngu-tom-kho-ca-mau-top-mo-ba-chi-200gr-1-tuong-ot-chin-su-1kg-i2821189193.html")</f>
        <v>https://www.lazada.vn/products/20h-3-64-vc-18-cho-don-tu-199k-combo-2-kho-quet-nam-ngu-tom-kho-ca-mau-top-mo-ba-chi-200gr-1-tuong-ot-chin-su-1kg-i2821189193.html</v>
      </c>
      <c r="C6061" s="10" t="s">
        <v>6061</v>
      </c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>
      <c r="A6062" s="8">
        <v>10916.0</v>
      </c>
      <c r="B6062" s="9" t="str">
        <f>HYPERLINK("https://www.lazada.vn/products/keo-lac-vung-i2709471459.html", "https://www.lazada.vn/products/keo-lac-vung-i2709471459.html")</f>
        <v>https://www.lazada.vn/products/keo-lac-vung-i2709471459.html</v>
      </c>
      <c r="C6062" s="10" t="s">
        <v>6062</v>
      </c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>
      <c r="A6063" s="8">
        <v>10917.0</v>
      </c>
      <c r="B6063" s="9" t="str">
        <f>HYPERLINK("https://www.lazada.vn/products/bia-eichbaum-stout-75-nhap-khau-duc-1-lon-500ml-i2922754901.html", "https://www.lazada.vn/products/bia-eichbaum-stout-75-nhap-khau-duc-1-lon-500ml-i2922754901.html")</f>
        <v>https://www.lazada.vn/products/bia-eichbaum-stout-75-nhap-khau-duc-1-lon-500ml-i2922754901.html</v>
      </c>
      <c r="C6063" s="10" t="s">
        <v>6063</v>
      </c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>
      <c r="A6064" s="8">
        <v>10918.0</v>
      </c>
      <c r="B6064" s="9" t="str">
        <f>HYPERLINK("https://www.lazada.vn/products/thung-1kg-banh-bong-lan-mix-dai-loan-du-vi-loai-ngon-b39-chuyen-si-tpnk-i2636625349.html", "https://www.lazada.vn/products/thung-1kg-banh-bong-lan-mix-dai-loan-du-vi-loai-ngon-b39-chuyen-si-tpnk-i2636625349.html")</f>
        <v>https://www.lazada.vn/products/thung-1kg-banh-bong-lan-mix-dai-loan-du-vi-loai-ngon-b39-chuyen-si-tpnk-i2636625349.html</v>
      </c>
      <c r="C6064" s="10" t="s">
        <v>6064</v>
      </c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>
      <c r="A6065" s="8">
        <v>10919.0</v>
      </c>
      <c r="B6065" s="9" t="str">
        <f>HYPERLINK("https://www.lazada.vn/products/vodka-men-nho-295-300ml-i2393538218.html", "https://www.lazada.vn/products/vodka-men-nho-295-300ml-i2393538218.html")</f>
        <v>https://www.lazada.vn/products/vodka-men-nho-295-300ml-i2393538218.html</v>
      </c>
      <c r="C6065" s="10" t="s">
        <v>6065</v>
      </c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>
      <c r="A6066" s="8">
        <v>10920.0</v>
      </c>
      <c r="B6066" s="9" t="str">
        <f>HYPERLINK("https://www.lazada.vn/products/nuoc-ngot-sodakem-i2409709447.html", "https://www.lazada.vn/products/nuoc-ngot-sodakem-i2409709447.html")</f>
        <v>https://www.lazada.vn/products/nuoc-ngot-sodakem-i2409709447.html</v>
      </c>
      <c r="C6066" s="10" t="s">
        <v>6066</v>
      </c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>
      <c r="A6067" s="8">
        <v>10921.0</v>
      </c>
      <c r="B6067" s="9" t="str">
        <f>HYPERLINK("https://www.lazada.vn/products/loc-chai-nuoc-bu-khoang-revive-muoi-khoang-500ml-i2370722745.html", "https://www.lazada.vn/products/loc-chai-nuoc-bu-khoang-revive-muoi-khoang-500ml-i2370722745.html")</f>
        <v>https://www.lazada.vn/products/loc-chai-nuoc-bu-khoang-revive-muoi-khoang-500ml-i2370722745.html</v>
      </c>
      <c r="C6067" s="10" t="s">
        <v>6067</v>
      </c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>
      <c r="A6068" s="8">
        <v>10922.0</v>
      </c>
      <c r="B6068" s="9" t="str">
        <f>HYPERLINK("https://www.lazada.vn/products/set-5-bich-milo-cube-100-vien-thai-lan-an-vat-sieu-ngon-i527100912.html", "https://www.lazada.vn/products/set-5-bich-milo-cube-100-vien-thai-lan-an-vat-sieu-ngon-i527100912.html")</f>
        <v>https://www.lazada.vn/products/set-5-bich-milo-cube-100-vien-thai-lan-an-vat-sieu-ngon-i527100912.html</v>
      </c>
      <c r="C6068" s="10" t="s">
        <v>6068</v>
      </c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>
      <c r="A6069" s="8">
        <v>10923.0</v>
      </c>
      <c r="B6069" s="9" t="str">
        <f>HYPERLINK("https://www.lazada.vn/products/bot-cacao-nguyen-chat-lacacao-standard-tu-hat-ca-cao-100g-the-kaffeine-coffee-i1719299430.html", "https://www.lazada.vn/products/bot-cacao-nguyen-chat-lacacao-standard-tu-hat-ca-cao-100g-the-kaffeine-coffee-i1719299430.html")</f>
        <v>https://www.lazada.vn/products/bot-cacao-nguyen-chat-lacacao-standard-tu-hat-ca-cao-100g-the-kaffeine-coffee-i1719299430.html</v>
      </c>
      <c r="C6069" s="10" t="s">
        <v>6069</v>
      </c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>
      <c r="A6070" s="8">
        <v>10924.0</v>
      </c>
      <c r="B6070" s="9" t="str">
        <f>HYPERLINK("https://www.lazada.vn/products/monin-caramel-muoi-chai-700-ml-hang-chinh-hang-i2742704052.html", "https://www.lazada.vn/products/monin-caramel-muoi-chai-700-ml-hang-chinh-hang-i2742704052.html")</f>
        <v>https://www.lazada.vn/products/monin-caramel-muoi-chai-700-ml-hang-chinh-hang-i2742704052.html</v>
      </c>
      <c r="C6070" s="10" t="s">
        <v>6070</v>
      </c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>
      <c r="A6071" s="8">
        <v>10925.0</v>
      </c>
      <c r="B6071" s="9" t="str">
        <f>HYPERLINK("https://www.lazada.vn/products/pho-mai-keo-soi-i2878179377.html", "https://www.lazada.vn/products/pho-mai-keo-soi-i2878179377.html")</f>
        <v>https://www.lazada.vn/products/pho-mai-keo-soi-i2878179377.html</v>
      </c>
      <c r="C6071" s="10" t="s">
        <v>6071</v>
      </c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>
      <c r="A6072" s="8">
        <v>10926.0</v>
      </c>
      <c r="B6072" s="9" t="str">
        <f>HYPERLINK("https://www.lazada.vn/products/1-tui-12-cay-40g-xuc-xich-tui-480g-40g-x-12-cay-vi-cay-vi-khong-cay-vi-bap-mon-an-vua-ngon-vua-tien-loi-cho-nguoi-ban-ron-i3034513773.html", "https://www.lazada.vn/products/1-tui-12-cay-40g-xuc-xich-tui-480g-40g-x-12-cay-vi-cay-vi-khong-cay-vi-bap-mon-an-vua-ngon-vua-tien-loi-cho-nguoi-ban-ron-i3034513773.html")</f>
        <v>https://www.lazada.vn/products/1-tui-12-cay-40g-xuc-xich-tui-480g-40g-x-12-cay-vi-cay-vi-khong-cay-vi-bap-mon-an-vua-ngon-vua-tien-loi-cho-nguoi-ban-ron-i3034513773.html</v>
      </c>
      <c r="C6072" s="10" t="s">
        <v>6072</v>
      </c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>
      <c r="A6073" s="8">
        <v>10927.0</v>
      </c>
      <c r="B6073" s="9" t="str">
        <f>HYPERLINK("https://www.lazada.vn/products/mi-ky-khong-gia-vi-vifon-950g-i2815136812.html", "https://www.lazada.vn/products/mi-ky-khong-gia-vi-vifon-950g-i2815136812.html")</f>
        <v>https://www.lazada.vn/products/mi-ky-khong-gia-vi-vifon-950g-i2815136812.html</v>
      </c>
      <c r="C6073" s="10" t="s">
        <v>6073</v>
      </c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>
      <c r="A6074" s="8">
        <v>10928.0</v>
      </c>
      <c r="B6074" s="9" t="str">
        <f>HYPERLINK("https://www.lazada.vn/products/ban-si-bim-bim-oishi-snack-tom-vi-muoi-ot-xanh-goi-lon-32-g-10-goi-gion-cay-thom-ngon-do-an-vat-cong-truong-hot-nhat-i2681541022.html", "https://www.lazada.vn/products/ban-si-bim-bim-oishi-snack-tom-vi-muoi-ot-xanh-goi-lon-32-g-10-goi-gion-cay-thom-ngon-do-an-vat-cong-truong-hot-nhat-i2681541022.html")</f>
        <v>https://www.lazada.vn/products/ban-si-bim-bim-oishi-snack-tom-vi-muoi-ot-xanh-goi-lon-32-g-10-goi-gion-cay-thom-ngon-do-an-vat-cong-truong-hot-nhat-i2681541022.html</v>
      </c>
      <c r="C6074" s="10" t="s">
        <v>6074</v>
      </c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>
      <c r="A6075" s="8">
        <v>10929.0</v>
      </c>
      <c r="B6075" s="9" t="str">
        <f>HYPERLINK("https://www.lazada.vn/products/500g-keo-chuoi-dau-cuon-banh-trang-cuc-ngon-i2709470041.html", "https://www.lazada.vn/products/500g-keo-chuoi-dau-cuon-banh-trang-cuc-ngon-i2709470041.html")</f>
        <v>https://www.lazada.vn/products/500g-keo-chuoi-dau-cuon-banh-trang-cuc-ngon-i2709470041.html</v>
      </c>
      <c r="C6075" s="10" t="s">
        <v>6075</v>
      </c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>
      <c r="A6076" s="8">
        <v>10930.0</v>
      </c>
      <c r="B6076" s="9" t="str">
        <f>HYPERLINK("https://www.lazada.vn/products/thung-24-lon-bia-budweiser-sleek-can-chinh-hang-330mllon-chon-phien-ban-i2922731889.html", "https://www.lazada.vn/products/thung-24-lon-bia-budweiser-sleek-can-chinh-hang-330mllon-chon-phien-ban-i2922731889.html")</f>
        <v>https://www.lazada.vn/products/thung-24-lon-bia-budweiser-sleek-can-chinh-hang-330mllon-chon-phien-ban-i2922731889.html</v>
      </c>
      <c r="C6076" s="10" t="s">
        <v>6076</v>
      </c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>
      <c r="A6077" s="8">
        <v>10931.0</v>
      </c>
      <c r="B6077" s="9" t="str">
        <f>HYPERLINK("https://www.lazada.vn/products/thung-1kg-banh-bong-lan-mix-dai-loan-du-vi-loai-ngon-b39-tknk-beegin-i2636618103.html", "https://www.lazada.vn/products/thung-1kg-banh-bong-lan-mix-dai-loan-du-vi-loai-ngon-b39-tknk-beegin-i2636618103.html")</f>
        <v>https://www.lazada.vn/products/thung-1kg-banh-bong-lan-mix-dai-loan-du-vi-loai-ngon-b39-tknk-beegin-i2636618103.html</v>
      </c>
      <c r="C6077" s="10" t="s">
        <v>6077</v>
      </c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>
      <c r="A6078" s="8">
        <v>10932.0</v>
      </c>
      <c r="B6078" s="9" t="str">
        <f>HYPERLINK("https://www.lazada.vn/products/vodka-ha-noi-nho-295-300ml-i2393343731.html", "https://www.lazada.vn/products/vodka-ha-noi-nho-295-300ml-i2393343731.html")</f>
        <v>https://www.lazada.vn/products/vodka-ha-noi-nho-295-300ml-i2393343731.html</v>
      </c>
      <c r="C6078" s="10" t="s">
        <v>6078</v>
      </c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>
      <c r="A6079" s="8">
        <v>10933.0</v>
      </c>
      <c r="B6079" s="9" t="str">
        <f>HYPERLINK("https://www.lazada.vn/products/thung-24-lon-soda-vikoda-khong-ga-330ml-loc-6-lon-soda-vikoda-khong-ga-330ml-i2408366639.html", "https://www.lazada.vn/products/thung-24-lon-soda-vikoda-khong-ga-330ml-loc-6-lon-soda-vikoda-khong-ga-330ml-i2408366639.html")</f>
        <v>https://www.lazada.vn/products/thung-24-lon-soda-vikoda-khong-ga-330ml-loc-6-lon-soda-vikoda-khong-ga-330ml-i2408366639.html</v>
      </c>
      <c r="C6079" s="10" t="s">
        <v>6079</v>
      </c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>
      <c r="A6080" s="8">
        <v>10934.0</v>
      </c>
      <c r="B6080" s="9" t="str">
        <f>HYPERLINK("https://www.lazada.vn/products/bu-nuoc-dien-giai-green-sea-ho-tro-bu-nuoc-tranh-mat-nuoc-phu-hop-cho-nguoi-van-dong-the-thao-i2370442117.html", "https://www.lazada.vn/products/bu-nuoc-dien-giai-green-sea-ho-tro-bu-nuoc-tranh-mat-nuoc-phu-hop-cho-nguoi-van-dong-the-thao-i2370442117.html")</f>
        <v>https://www.lazada.vn/products/bu-nuoc-dien-giai-green-sea-ho-tro-bu-nuoc-tranh-mat-nuoc-phu-hop-cho-nguoi-van-dong-the-thao-i2370442117.html</v>
      </c>
      <c r="C6080" s="10" t="s">
        <v>6080</v>
      </c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>
      <c r="A6081" s="8">
        <v>10935.0</v>
      </c>
      <c r="B6081" s="9" t="str">
        <f>HYPERLINK("https://www.lazada.vn/products/nhan-hat-bi-xanh-an-do-500gr-tot-cho-tim-mach-thai-phu-i527100900.html", "https://www.lazada.vn/products/nhan-hat-bi-xanh-an-do-500gr-tot-cho-tim-mach-thai-phu-i527100900.html")</f>
        <v>https://www.lazada.vn/products/nhan-hat-bi-xanh-an-do-500gr-tot-cho-tim-mach-thai-phu-i527100900.html</v>
      </c>
      <c r="C6081" s="10" t="s">
        <v>6081</v>
      </c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>
      <c r="A6082" s="8">
        <v>10936.0</v>
      </c>
      <c r="B6082" s="9" t="str">
        <f>HYPERLINK("https://www.lazada.vn/products/tao-do-say-kho-han-quoc-loai-1-goi-500g-chung-yen-_-nau-che-duong-nha-_-lam-tra-i527100896.html", "https://www.lazada.vn/products/tao-do-say-kho-han-quoc-loai-1-goi-500g-chung-yen-_-nau-che-duong-nha-_-lam-tra-i527100896.html")</f>
        <v>https://www.lazada.vn/products/tao-do-say-kho-han-quoc-loai-1-goi-500g-chung-yen-_-nau-che-duong-nha-_-lam-tra-i527100896.html</v>
      </c>
      <c r="C6082" s="10" t="s">
        <v>6082</v>
      </c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>
      <c r="A6083" s="8">
        <v>10937.0</v>
      </c>
      <c r="B6083" s="9" t="str">
        <f>HYPERLINK("https://www.lazada.vn/products/bot-cacao-nguyen-chat-lacacao-premium-tu-hat-ca-cao-250g-the-kaffeine-coffee-i1719299376.html", "https://www.lazada.vn/products/bot-cacao-nguyen-chat-lacacao-premium-tu-hat-ca-cao-250g-the-kaffeine-coffee-i1719299376.html")</f>
        <v>https://www.lazada.vn/products/bot-cacao-nguyen-chat-lacacao-premium-tu-hat-ca-cao-250g-the-kaffeine-coffee-i1719299376.html</v>
      </c>
      <c r="C6083" s="10" t="s">
        <v>6083</v>
      </c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>
      <c r="A6084" s="8">
        <v>10938.0</v>
      </c>
      <c r="B6084" s="9" t="str">
        <f>HYPERLINK("https://www.lazada.vn/products/thach-dinh-duong-giam-can-cac-vi-everydaze-essential-cs-konjac-jelly-1-goi-150ml-i2742686868.html", "https://www.lazada.vn/products/thach-dinh-duong-giam-can-cac-vi-everydaze-essential-cs-konjac-jelly-1-goi-150ml-i2742686868.html")</f>
        <v>https://www.lazada.vn/products/thach-dinh-duong-giam-can-cac-vi-everydaze-essential-cs-konjac-jelly-1-goi-150ml-i2742686868.html</v>
      </c>
      <c r="C6084" s="10" t="s">
        <v>6084</v>
      </c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>
      <c r="A6085" s="8">
        <v>10939.0</v>
      </c>
      <c r="B6085" s="9" t="str">
        <f>HYPERLINK("https://www.lazada.vn/products/combo-10-goi-bim-bim-oishi-32g-du-vi-ngau-nhien-gion-sun-thom-cay-ngon-hap-dan-do-an-vat-cong-truong-hot-nhat-i2681526125.html", "https://www.lazada.vn/products/combo-10-goi-bim-bim-oishi-32g-du-vi-ngau-nhien-gion-sun-thom-cay-ngon-hap-dan-do-an-vat-cong-truong-hot-nhat-i2681526125.html")</f>
        <v>https://www.lazada.vn/products/combo-10-goi-bim-bim-oishi-32g-du-vi-ngau-nhien-gion-sun-thom-cay-ngon-hap-dan-do-an-vat-cong-truong-hot-nhat-i2681526125.html</v>
      </c>
      <c r="C6085" s="10" t="s">
        <v>6085</v>
      </c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>
      <c r="A6086" s="8">
        <v>10940.0</v>
      </c>
      <c r="B6086" s="9" t="str">
        <f>HYPERLINK("https://www.lazada.vn/products/banh-quy-bo-no-brand-han-quoc-hop-400g-hsd-122025-an-vat-shop-mint-mint-i2874332025.html", "https://www.lazada.vn/products/banh-quy-bo-no-brand-han-quoc-hop-400g-hsd-122025-an-vat-shop-mint-mint-i2874332025.html")</f>
        <v>https://www.lazada.vn/products/banh-quy-bo-no-brand-han-quoc-hop-400g-hsd-122025-an-vat-shop-mint-mint-i2874332025.html</v>
      </c>
      <c r="C6086" s="10" t="s">
        <v>6086</v>
      </c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>
      <c r="A6087" s="8">
        <v>10941.0</v>
      </c>
      <c r="B6087" s="9" t="str">
        <f>HYPERLINK("https://www.lazada.vn/products/kho-quet-tom-kho-top-mo-nam-ngu-chin-su-200g-i3034136352.html", "https://www.lazada.vn/products/kho-quet-tom-kho-top-mo-nam-ngu-chin-su-200g-i3034136352.html")</f>
        <v>https://www.lazada.vn/products/kho-quet-tom-kho-top-mo-nam-ngu-chin-su-200g-i3034136352.html</v>
      </c>
      <c r="C6087" s="10" t="s">
        <v>6087</v>
      </c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>
      <c r="A6088" s="8">
        <v>10942.0</v>
      </c>
      <c r="B6088" s="9" t="str">
        <f>HYPERLINK("https://www.lazada.vn/products/thung-2kg-banh-bong-lan-mix-dai-loan-du-vi-b83-chuyen-si-tpnk-i2636521620.html", "https://www.lazada.vn/products/thung-2kg-banh-bong-lan-mix-dai-loan-du-vi-b83-chuyen-si-tpnk-i2636521620.html")</f>
        <v>https://www.lazada.vn/products/thung-2kg-banh-bong-lan-mix-dai-loan-du-vi-b83-chuyen-si-tpnk-i2636521620.html</v>
      </c>
      <c r="C6088" s="10" t="s">
        <v>6088</v>
      </c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>
      <c r="A6089" s="8">
        <v>10943.0</v>
      </c>
      <c r="B6089" s="9" t="str">
        <f>HYPERLINK("https://www.lazada.vn/products/thung-30-goi-mi-chay-rong-bien-dinh-duong-thom-ngon-miliket-goi-75g-i2810932856.html", "https://www.lazada.vn/products/thung-30-goi-mi-chay-rong-bien-dinh-duong-thom-ngon-miliket-goi-75g-i2810932856.html")</f>
        <v>https://www.lazada.vn/products/thung-30-goi-mi-chay-rong-bien-dinh-duong-thom-ngon-miliket-goi-75g-i2810932856.html</v>
      </c>
      <c r="C6089" s="10" t="s">
        <v>6089</v>
      </c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>
      <c r="A6090" s="8">
        <v>10944.0</v>
      </c>
      <c r="B6090" s="9" t="str">
        <f>HYPERLINK("https://www.lazada.vn/products/1kg-keo-chuoi-dau-cuon-banh-trang-cuc-ngon-i2709459095.html", "https://www.lazada.vn/products/1kg-keo-chuoi-dau-cuon-banh-trang-cuc-ngon-i2709459095.html")</f>
        <v>https://www.lazada.vn/products/1kg-keo-chuoi-dau-cuon-banh-trang-cuc-ngon-i2709459095.html</v>
      </c>
      <c r="C6090" s="10" t="s">
        <v>6090</v>
      </c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>
      <c r="A6091" s="8">
        <v>10945.0</v>
      </c>
      <c r="B6091" s="9" t="str">
        <f>HYPERLINK("https://www.lazada.vn/products/thung-24-chai-bia-corona-extra-nhap-khau-300mlchai-i2922719920.html", "https://www.lazada.vn/products/thung-24-chai-bia-corona-extra-nhap-khau-300mlchai-i2922719920.html")</f>
        <v>https://www.lazada.vn/products/thung-24-chai-bia-corona-extra-nhap-khau-300mlchai-i2922719920.html</v>
      </c>
      <c r="C6091" s="10" t="s">
        <v>6091</v>
      </c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>
      <c r="A6092" s="8">
        <v>10946.0</v>
      </c>
      <c r="B6092" s="9" t="str">
        <f>HYPERLINK("https://www.lazada.vn/products/vodka-ha-noi-lon-395-700ml-i2393336737.html", "https://www.lazada.vn/products/vodka-ha-noi-lon-395-700ml-i2393336737.html")</f>
        <v>https://www.lazada.vn/products/vodka-ha-noi-lon-395-700ml-i2393336737.html</v>
      </c>
      <c r="C6092" s="10" t="s">
        <v>6092</v>
      </c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>
      <c r="A6093" s="8">
        <v>10947.0</v>
      </c>
      <c r="B6093" s="9" t="str">
        <f>HYPERLINK("https://www.lazada.vn/products/thung-24-lon-nuoc-ngot-co-gaz-7up-320mllon-i2400768672.html", "https://www.lazada.vn/products/thung-24-lon-nuoc-ngot-co-gaz-7up-320mllon-i2400768672.html")</f>
        <v>https://www.lazada.vn/products/thung-24-lon-nuoc-ngot-co-gaz-7up-320mllon-i2400768672.html</v>
      </c>
      <c r="C6093" s="10" t="s">
        <v>6093</v>
      </c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>
      <c r="A6094" s="8">
        <v>10948.0</v>
      </c>
      <c r="B6094" s="9" t="str">
        <f>HYPERLINK("https://www.lazada.vn/products/nuoc-tang-luc-red-bull-250ml-i2358907008.html", "https://www.lazada.vn/products/nuoc-tang-luc-red-bull-250ml-i2358907008.html")</f>
        <v>https://www.lazada.vn/products/nuoc-tang-luc-red-bull-250ml-i2358907008.html</v>
      </c>
      <c r="C6094" s="10" t="s">
        <v>6094</v>
      </c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>
      <c r="A6095" s="8">
        <v>10949.0</v>
      </c>
      <c r="B6095" s="9" t="str">
        <f>HYPERLINK("https://www.lazada.vn/products/combo-10-goi-mi-kho-ga-cay-pho-mai-han-quoc-hot-chicken-ramen-cheese-flavor-samyang-140g-i527088706.html", "https://www.lazada.vn/products/combo-10-goi-mi-kho-ga-cay-pho-mai-han-quoc-hot-chicken-ramen-cheese-flavor-samyang-140g-i527088706.html")</f>
        <v>https://www.lazada.vn/products/combo-10-goi-mi-kho-ga-cay-pho-mai-han-quoc-hot-chicken-ramen-cheese-flavor-samyang-140g-i527088706.html</v>
      </c>
      <c r="C6095" s="10" t="s">
        <v>6095</v>
      </c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>
      <c r="A6096" s="8">
        <v>10950.0</v>
      </c>
      <c r="B6096" s="9" t="str">
        <f>HYPERLINK("https://www.lazada.vn/products/combo-10-goi-x-22gram-milo-active-go-thuy-si-date-moi-12-thangbach-hoa-uy-tin-i1715053852.html", "https://www.lazada.vn/products/combo-10-goi-x-22gram-milo-active-go-thuy-si-date-moi-12-thangbach-hoa-uy-tin-i1715053852.html")</f>
        <v>https://www.lazada.vn/products/combo-10-goi-x-22gram-milo-active-go-thuy-si-date-moi-12-thangbach-hoa-uy-tin-i1715053852.html</v>
      </c>
      <c r="C6096" s="10" t="s">
        <v>6096</v>
      </c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>
      <c r="A6097" s="8">
        <v>10951.0</v>
      </c>
      <c r="B6097" s="9" t="str">
        <f>HYPERLINK("https://www.lazada.vn/products/ban-si-bich-bim-bim-oishi-snack-indo-chips-banh-phong-tom-huong-vi-cay-goi-lon-32-g10-goi-gion-cay-thom-ngon-i2681426910.html", "https://www.lazada.vn/products/ban-si-bich-bim-bim-oishi-snack-indo-chips-banh-phong-tom-huong-vi-cay-goi-lon-32-g10-goi-gion-cay-thom-ngon-i2681426910.html")</f>
        <v>https://www.lazada.vn/products/ban-si-bich-bim-bim-oishi-snack-indo-chips-banh-phong-tom-huong-vi-cay-goi-lon-32-g10-goi-gion-cay-thom-ngon-i2681426910.html</v>
      </c>
      <c r="C6097" s="10" t="s">
        <v>6097</v>
      </c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>
      <c r="A6098" s="8">
        <v>10952.0</v>
      </c>
      <c r="B6098" s="9" t="str">
        <f>HYPERLINK("https://www.lazada.vn/products/thach-dinh-duong-giam-can-cac-vi-everydaze-essential-cs-konjac-jelly-150-ml-1-goi-i2742678808.html", "https://www.lazada.vn/products/thach-dinh-duong-giam-can-cac-vi-everydaze-essential-cs-konjac-jelly-150-ml-1-goi-i2742678808.html")</f>
        <v>https://www.lazada.vn/products/thach-dinh-duong-giam-can-cac-vi-everydaze-essential-cs-konjac-jelly-150-ml-1-goi-i2742678808.html</v>
      </c>
      <c r="C6098" s="10" t="s">
        <v>6098</v>
      </c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>
      <c r="A6099" s="8">
        <v>10953.0</v>
      </c>
      <c r="B6099" s="9" t="str">
        <f>HYPERLINK("https://www.lazada.vn/products/2-thung-thuc-uong-sua-trai-cay-hero-vi-dau-110ml-48-hopthung-i1712704165.html", "https://www.lazada.vn/products/2-thung-thuc-uong-sua-trai-cay-hero-vi-dau-110ml-48-hopthung-i1712704165.html")</f>
        <v>https://www.lazada.vn/products/2-thung-thuc-uong-sua-trai-cay-hero-vi-dau-110ml-48-hopthung-i1712704165.html</v>
      </c>
      <c r="C6099" s="10" t="s">
        <v>6099</v>
      </c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>
      <c r="A6100" s="8">
        <v>10954.0</v>
      </c>
      <c r="B6100" s="9" t="str">
        <f>HYPERLINK("https://www.lazada.vn/products/banh-mang-cau-cuon-thuong-hieu-tu-bong-dac-san-dong-thap-hop-200gr-kingsmart-i2874295006.html", "https://www.lazada.vn/products/banh-mang-cau-cuon-thuong-hieu-tu-bong-dac-san-dong-thap-hop-200gr-kingsmart-i2874295006.html")</f>
        <v>https://www.lazada.vn/products/banh-mang-cau-cuon-thuong-hieu-tu-bong-dac-san-dong-thap-hop-200gr-kingsmart-i2874295006.html</v>
      </c>
      <c r="C6100" s="10" t="s">
        <v>6100</v>
      </c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>
      <c r="A6101" s="8">
        <v>10955.0</v>
      </c>
      <c r="B6101" s="9" t="str">
        <f>HYPERLINK("https://www.lazada.vn/products/san-25-banh-mix-dai-loan-khong-trung-vi-chuyen-si-tpnk-i2636509709.html", "https://www.lazada.vn/products/san-25-banh-mix-dai-loan-khong-trung-vi-chuyen-si-tpnk-i2636509709.html")</f>
        <v>https://www.lazada.vn/products/san-25-banh-mix-dai-loan-khong-trung-vi-chuyen-si-tpnk-i2636509709.html</v>
      </c>
      <c r="C6101" s="10" t="s">
        <v>6101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>
      <c r="A6102" s="8">
        <v>10956.0</v>
      </c>
      <c r="B6102" s="9" t="str">
        <f>HYPERLINK("https://www.lazada.vn/products/banh-pia-dac-biet-tlp-nhan-trung-xay-vi-la-dua-sau-rieng-dau-xanh-tui-350g-4-banh-dac-san-soc-trang-i2730529015.html", "https://www.lazada.vn/products/banh-pia-dac-biet-tlp-nhan-trung-xay-vi-la-dua-sau-rieng-dau-xanh-tui-350g-4-banh-dac-san-soc-trang-i2730529015.html")</f>
        <v>https://www.lazada.vn/products/banh-pia-dac-biet-tlp-nhan-trung-xay-vi-la-dua-sau-rieng-dau-xanh-tui-350g-4-banh-dac-san-soc-trang-i2730529015.html</v>
      </c>
      <c r="C6102" s="10" t="s">
        <v>6102</v>
      </c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>
      <c r="A6103" s="8">
        <v>10957.0</v>
      </c>
      <c r="B6103" s="9" t="str">
        <f>HYPERLINK("https://www.lazada.vn/products/binh-tay-food-chao-ga-to-52gr-i2810828202.html", "https://www.lazada.vn/products/binh-tay-food-chao-ga-to-52gr-i2810828202.html")</f>
        <v>https://www.lazada.vn/products/binh-tay-food-chao-ga-to-52gr-i2810828202.html</v>
      </c>
      <c r="C6103" s="10" t="s">
        <v>6103</v>
      </c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>
      <c r="A6104" s="8">
        <v>10958.0</v>
      </c>
      <c r="B6104" s="9" t="str">
        <f>HYPERLINK("https://www.lazada.vn/products/thung-12-lon-bia-budweiser-500mllon-i2922703858.html", "https://www.lazada.vn/products/thung-12-lon-bia-budweiser-500mllon-i2922703858.html")</f>
        <v>https://www.lazada.vn/products/thung-12-lon-bia-budweiser-500mllon-i2922703858.html</v>
      </c>
      <c r="C6104" s="10" t="s">
        <v>6104</v>
      </c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>
      <c r="A6105" s="8">
        <v>10959.0</v>
      </c>
      <c r="B6105" s="9" t="str">
        <f>HYPERLINK("https://www.lazada.vn/products/keo-ho-lo-i2709005810.html", "https://www.lazada.vn/products/keo-ho-lo-i2709005810.html")</f>
        <v>https://www.lazada.vn/products/keo-ho-lo-i2709005810.html</v>
      </c>
      <c r="C6105" s="10" t="s">
        <v>6105</v>
      </c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>
      <c r="A6106" s="8">
        <v>10960.0</v>
      </c>
      <c r="B6106" s="9" t="str">
        <f>HYPERLINK("https://www.lazada.vn/products/vodka-ha-noi-33-700ml-i2393335786.html", "https://www.lazada.vn/products/vodka-ha-noi-33-700ml-i2393335786.html")</f>
        <v>https://www.lazada.vn/products/vodka-ha-noi-33-700ml-i2393335786.html</v>
      </c>
      <c r="C6106" s="10" t="s">
        <v>6106</v>
      </c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>
      <c r="A6107" s="8">
        <v>10961.0</v>
      </c>
      <c r="B6107" s="9" t="str">
        <f>HYPERLINK("https://www.lazada.vn/products/coca-cola-original-taste-delicious-refreshing-160-ml-x-30-lon-cua-nhat-date-072025-i2394454059.html", "https://www.lazada.vn/products/coca-cola-original-taste-delicious-refreshing-160-ml-x-30-lon-cua-nhat-date-072025-i2394454059.html")</f>
        <v>https://www.lazada.vn/products/coca-cola-original-taste-delicious-refreshing-160-ml-x-30-lon-cua-nhat-date-072025-i2394454059.html</v>
      </c>
      <c r="C6107" s="10" t="s">
        <v>6107</v>
      </c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>
      <c r="A6108" s="8">
        <v>10962.0</v>
      </c>
      <c r="B6108" s="9" t="str">
        <f>HYPERLINK("https://www.lazada.vn/products/nuoc-oishi-teago-sundays-t-rexx-tui-10goi-180ml-i2357980962.html", "https://www.lazada.vn/products/nuoc-oishi-teago-sundays-t-rexx-tui-10goi-180ml-i2357980962.html")</f>
        <v>https://www.lazada.vn/products/nuoc-oishi-teago-sundays-t-rexx-tui-10goi-180ml-i2357980962.html</v>
      </c>
      <c r="C6108" s="10" t="s">
        <v>6108</v>
      </c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>
      <c r="A6109" s="8">
        <v>10963.0</v>
      </c>
      <c r="B6109" s="9" t="str">
        <f>HYPERLINK("https://www.lazada.vn/products/keo-hong-sam-ong-ba-lao-200g-keo-sam-han-quoc-i527088683.html", "https://www.lazada.vn/products/keo-hong-sam-ong-ba-lao-200g-keo-sam-han-quoc-i527088683.html")</f>
        <v>https://www.lazada.vn/products/keo-hong-sam-ong-ba-lao-200g-keo-sam-han-quoc-i527088683.html</v>
      </c>
      <c r="C6109" s="10" t="s">
        <v>6109</v>
      </c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>
      <c r="A6110" s="8">
        <v>10964.0</v>
      </c>
      <c r="B6110" s="9" t="str">
        <f>HYPERLINK("https://www.lazada.vn/products/snack-bo-kobe-an-cung-ba-tuyet-i2679541435.html", "https://www.lazada.vn/products/snack-bo-kobe-an-cung-ba-tuyet-i2679541435.html")</f>
        <v>https://www.lazada.vn/products/snack-bo-kobe-an-cung-ba-tuyet-i2679541435.html</v>
      </c>
      <c r="C6110" s="10" t="s">
        <v>6110</v>
      </c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>
      <c r="A6111" s="8">
        <v>10965.0</v>
      </c>
      <c r="B6111" s="9" t="str">
        <f>HYPERLINK("https://www.lazada.vn/products/chinh-hang-caoboidacaola150g-i1701575982.html", "https://www.lazada.vn/products/chinh-hang-caoboidacaola150g-i1701575982.html")</f>
        <v>https://www.lazada.vn/products/chinh-hang-caoboidacaola150g-i1701575982.html</v>
      </c>
      <c r="C6111" s="10" t="s">
        <v>6111</v>
      </c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>
      <c r="A6112" s="8">
        <v>10966.0</v>
      </c>
      <c r="B6112" s="9" t="str">
        <f>HYPERLINK("https://www.lazada.vn/products/revive-chanh-muoi-vang-390mltrang-500ml-thung-24-chai-i2741855465.html", "https://www.lazada.vn/products/revive-chanh-muoi-vang-390mltrang-500ml-thung-24-chai-i2741855465.html")</f>
        <v>https://www.lazada.vn/products/revive-chanh-muoi-vang-390mltrang-500ml-thung-24-chai-i2741855465.html</v>
      </c>
      <c r="C6112" s="10" t="s">
        <v>6112</v>
      </c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>
      <c r="A6113" s="8">
        <v>10967.0</v>
      </c>
      <c r="B6113" s="9" t="str">
        <f>HYPERLINK("https://www.lazada.vn/products/banh-quy-gion-vi-dua-gion-hanh-nhan-goi-198g-b331-beegin-mart-i2873810081.html", "https://www.lazada.vn/products/banh-quy-gion-vi-dua-gion-hanh-nhan-goi-198g-b331-beegin-mart-i2873810081.html")</f>
        <v>https://www.lazada.vn/products/banh-quy-gion-vi-dua-gion-hanh-nhan-goi-198g-b331-beegin-mart-i2873810081.html</v>
      </c>
      <c r="C6113" s="10" t="s">
        <v>6113</v>
      </c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>
      <c r="A6114" s="8">
        <v>10968.0</v>
      </c>
      <c r="B6114" s="9" t="str">
        <f>HYPERLINK("https://www.lazada.vn/products/banh_gau-mix-3-vi-lon-lon-sieu-chat-luong-i2636396617.html", "https://www.lazada.vn/products/banh_gau-mix-3-vi-lon-lon-sieu-chat-luong-i2636396617.html")</f>
        <v>https://www.lazada.vn/products/banh_gau-mix-3-vi-lon-lon-sieu-chat-luong-i2636396617.html</v>
      </c>
      <c r="C6114" s="10" t="s">
        <v>6114</v>
      </c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>
      <c r="A6115" s="8">
        <v>10969.0</v>
      </c>
      <c r="B6115" s="9" t="str">
        <f>HYPERLINK("https://www.lazada.vn/products/banh-quy-bo-nhat-ban-kajitani-an-vat-65g-95g-hachi-hachi-japan-shop-i2873678218.html", "https://www.lazada.vn/products/banh-quy-bo-nhat-ban-kajitani-an-vat-65g-95g-hachi-hachi-japan-shop-i2873678218.html")</f>
        <v>https://www.lazada.vn/products/banh-quy-bo-nhat-ban-kajitani-an-vat-65g-95g-hachi-hachi-japan-shop-i2873678218.html</v>
      </c>
      <c r="C6115" s="10" t="s">
        <v>6115</v>
      </c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>
      <c r="A6116" s="8">
        <v>10970.0</v>
      </c>
      <c r="B6116" s="9" t="str">
        <f>HYPERLINK("https://www.lazada.vn/products/combo-5-banh-bong-lan-quasure-light-gac-bibica-126g-thuc-pham-danh-cho-nguoi-an-kieng-tieu-duong-i2695118438.html", "https://www.lazada.vn/products/combo-5-banh-bong-lan-quasure-light-gac-bibica-126g-thuc-pham-danh-cho-nguoi-an-kieng-tieu-duong-i2695118438.html")</f>
        <v>https://www.lazada.vn/products/combo-5-banh-bong-lan-quasure-light-gac-bibica-126g-thuc-pham-danh-cho-nguoi-an-kieng-tieu-duong-i2695118438.html</v>
      </c>
      <c r="C6116" s="10" t="s">
        <v>6116</v>
      </c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>
      <c r="A6117" s="8">
        <v>10971.0</v>
      </c>
      <c r="B6117" s="9" t="str">
        <f>HYPERLINK("https://www.lazada.vn/products/thung-24-chai-aluminum-bia-budweiser-chinh-hang-355ml-chai-i2922688938.html", "https://www.lazada.vn/products/thung-24-chai-aluminum-bia-budweiser-chinh-hang-355ml-chai-i2922688938.html")</f>
        <v>https://www.lazada.vn/products/thung-24-chai-aluminum-bia-budweiser-chinh-hang-355ml-chai-i2922688938.html</v>
      </c>
      <c r="C6117" s="10" t="s">
        <v>6117</v>
      </c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>
      <c r="A6118" s="8">
        <v>10972.0</v>
      </c>
      <c r="B6118" s="9" t="str">
        <f>HYPERLINK("https://www.lazada.vn/products/date-11-122025-bo-suu-tam-18-vi-canh-an-lien-3-phut-co-canh-ngon-nhu-me-nau-khach-chon-phan-loai-i2810814693.html", "https://www.lazada.vn/products/date-11-122025-bo-suu-tam-18-vi-canh-an-lien-3-phut-co-canh-ngon-nhu-me-nau-khach-chon-phan-loai-i2810814693.html")</f>
        <v>https://www.lazada.vn/products/date-11-122025-bo-suu-tam-18-vi-canh-an-lien-3-phut-co-canh-ngon-nhu-me-nau-khach-chon-phan-loai-i2810814693.html</v>
      </c>
      <c r="C6118" s="10" t="s">
        <v>6118</v>
      </c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>
      <c r="A6119" s="8">
        <v>10973.0</v>
      </c>
      <c r="B6119" s="9" t="str">
        <f>HYPERLINK("https://www.lazada.vn/products/vodka-men-lon-295-500ml-i2393332818.html", "https://www.lazada.vn/products/vodka-men-lon-295-500ml-i2393332818.html")</f>
        <v>https://www.lazada.vn/products/vodka-men-lon-295-500ml-i2393332818.html</v>
      </c>
      <c r="C6119" s="10" t="s">
        <v>6119</v>
      </c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>
      <c r="A6120" s="8">
        <v>10974.0</v>
      </c>
      <c r="B6120" s="9" t="str">
        <f>HYPERLINK("https://www.lazada.vn/products/snack-sasimi-an-cung-ba-tuyet-do-an-vat-snack-te-cay-hieu-ba-tuyet-i2679280767.html", "https://www.lazada.vn/products/snack-sasimi-an-cung-ba-tuyet-do-an-vat-snack-te-cay-hieu-ba-tuyet-i2679280767.html")</f>
        <v>https://www.lazada.vn/products/snack-sasimi-an-cung-ba-tuyet-do-an-vat-snack-te-cay-hieu-ba-tuyet-i2679280767.html</v>
      </c>
      <c r="C6120" s="10" t="s">
        <v>6120</v>
      </c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>
      <c r="A6121" s="8">
        <v>10975.0</v>
      </c>
      <c r="B6121" s="9" t="str">
        <f>HYPERLINK("https://www.lazada.vn/products/nuoc-ngot-co-ga-coca-nhat-ban-lon-mini-160ml-vi-thanh-ga-cuc-manh-i2383318292.html", "https://www.lazada.vn/products/nuoc-ngot-co-ga-coca-nhat-ban-lon-mini-160ml-vi-thanh-ga-cuc-manh-i2383318292.html")</f>
        <v>https://www.lazada.vn/products/nuoc-ngot-co-ga-coca-nhat-ban-lon-mini-160ml-vi-thanh-ga-cuc-manh-i2383318292.html</v>
      </c>
      <c r="C6121" s="10" t="s">
        <v>6121</v>
      </c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>
      <c r="A6122" s="8">
        <v>10976.0</v>
      </c>
      <c r="B6122" s="9" t="str">
        <f>HYPERLINK("https://www.lazada.vn/products/loc-6-nuoc-tang-luc-sting-dau-donhan-sam-vang-bach-hoa-tong-hop-nhu-ngoc-i2355569150.html", "https://www.lazada.vn/products/loc-6-nuoc-tang-luc-sting-dau-donhan-sam-vang-bach-hoa-tong-hop-nhu-ngoc-i2355569150.html")</f>
        <v>https://www.lazada.vn/products/loc-6-nuoc-tang-luc-sting-dau-donhan-sam-vang-bach-hoa-tong-hop-nhu-ngoc-i2355569150.html</v>
      </c>
      <c r="C6122" s="10" t="s">
        <v>6122</v>
      </c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>
      <c r="A6123" s="8">
        <v>10977.0</v>
      </c>
      <c r="B6123" s="9" t="str">
        <f>HYPERLINK("https://www.lazada.vn/products/banh-ngu-coc-dinh-duong-12-loai-dau-tui-300g-mang-theo-di-du-lich-i527086576.html", "https://www.lazada.vn/products/banh-ngu-coc-dinh-duong-12-loai-dau-tui-300g-mang-theo-di-du-lich-i527086576.html")</f>
        <v>https://www.lazada.vn/products/banh-ngu-coc-dinh-duong-12-loai-dau-tui-300g-mang-theo-di-du-lich-i527086576.html</v>
      </c>
      <c r="C6123" s="10" t="s">
        <v>6123</v>
      </c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>
      <c r="A6124" s="8">
        <v>10978.0</v>
      </c>
      <c r="B6124" s="9" t="str">
        <f>HYPERLINK("https://www.lazada.vn/products/combo-2-goi-ca-phe-trung-nguyen-khat-vong-i-500g-i527072982.html", "https://www.lazada.vn/products/combo-2-goi-ca-phe-trung-nguyen-khat-vong-i-500g-i527072982.html")</f>
        <v>https://www.lazada.vn/products/combo-2-goi-ca-phe-trung-nguyen-khat-vong-i-500g-i527072982.html</v>
      </c>
      <c r="C6124" s="10" t="s">
        <v>6124</v>
      </c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>
      <c r="A6125" s="8">
        <v>10979.0</v>
      </c>
      <c r="B6125" s="9" t="str">
        <f>HYPERLINK("https://www.lazada.vn/products/khoang-set-bentonite-viet-healthy-200g-i2741752695.html", "https://www.lazada.vn/products/khoang-set-bentonite-viet-healthy-200g-i2741752695.html")</f>
        <v>https://www.lazada.vn/products/khoang-set-bentonite-viet-healthy-200g-i2741752695.html</v>
      </c>
      <c r="C6125" s="10" t="s">
        <v>6125</v>
      </c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>
      <c r="A6126" s="8">
        <v>10980.0</v>
      </c>
      <c r="B6126" s="9" t="str">
        <f>HYPERLINK("https://www.lazada.vn/products/goi-nho-100g-bot-cacao-dang-malaysia-pha-che-pha-sua-tra-sua-lam-banh-i1684308520.html", "https://www.lazada.vn/products/goi-nho-100g-bot-cacao-dang-malaysia-pha-che-pha-sua-tra-sua-lam-banh-i1684308520.html")</f>
        <v>https://www.lazada.vn/products/goi-nho-100g-bot-cacao-dang-malaysia-pha-che-pha-sua-tra-sua-lam-banh-i1684308520.html</v>
      </c>
      <c r="C6126" s="10" t="s">
        <v>6126</v>
      </c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>
      <c r="A6127" s="8">
        <v>10981.0</v>
      </c>
      <c r="B6127" s="9" t="str">
        <f>HYPERLINK("https://www.lazada.vn/products/banh-bong-lan-tam-giac-nhien-loi-vi-dau-tra-xanh-socola-pho-mai-banh-le-b37-tknk-beegin-i2636381642.html", "https://www.lazada.vn/products/banh-bong-lan-tam-giac-nhien-loi-vi-dau-tra-xanh-socola-pho-mai-banh-le-b37-tknk-beegin-i2636381642.html")</f>
        <v>https://www.lazada.vn/products/banh-bong-lan-tam-giac-nhien-loi-vi-dau-tra-xanh-socola-pho-mai-banh-le-b37-tknk-beegin-i2636381642.html</v>
      </c>
      <c r="C6127" s="10" t="s">
        <v>6127</v>
      </c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>
      <c r="A6128" s="8">
        <v>10982.0</v>
      </c>
      <c r="B6128" s="9" t="str">
        <f>HYPERLINK("https://www.lazada.vn/products/bo-hat-phi-phet-cacao-nutella-350g-i1662778569.html", "https://www.lazada.vn/products/bo-hat-phi-phet-cacao-nutella-350g-i1662778569.html")</f>
        <v>https://www.lazada.vn/products/bo-hat-phi-phet-cacao-nutella-350g-i1662778569.html</v>
      </c>
      <c r="C6128" s="10" t="s">
        <v>6128</v>
      </c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>
      <c r="A6129" s="8">
        <v>10983.0</v>
      </c>
      <c r="B6129" s="9" t="str">
        <f>HYPERLINK("https://www.lazada.vn/products/banh-bong-lan-tam-giac-nhien-loi-vi-dau-tra-xanh-socola-pho-mai-banh-le-b37-chuyen-si-tpnk-i2636295612.html", "https://www.lazada.vn/products/banh-bong-lan-tam-giac-nhien-loi-vi-dau-tra-xanh-socola-pho-mai-banh-le-b37-chuyen-si-tpnk-i2636295612.html")</f>
        <v>https://www.lazada.vn/products/banh-bong-lan-tam-giac-nhien-loi-vi-dau-tra-xanh-socola-pho-mai-banh-le-b37-chuyen-si-tpnk-i2636295612.html</v>
      </c>
      <c r="C6129" s="10" t="s">
        <v>6129</v>
      </c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>
      <c r="A6130" s="8">
        <v>10984.0</v>
      </c>
      <c r="B6130" s="9" t="str">
        <f>HYPERLINK("https://www.lazada.vn/products/banh-quy-gion-vi-dua-gion-hanh-nhan-goi-198g-b331-beegin-food-store-i2873674510.html", "https://www.lazada.vn/products/banh-quy-gion-vi-dua-gion-hanh-nhan-goi-198g-b331-beegin-food-store-i2873674510.html")</f>
        <v>https://www.lazada.vn/products/banh-quy-gion-vi-dua-gion-hanh-nhan-goi-198g-b331-beegin-food-store-i2873674510.html</v>
      </c>
      <c r="C6130" s="10" t="s">
        <v>6130</v>
      </c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>
      <c r="A6131" s="8">
        <v>10985.0</v>
      </c>
      <c r="B6131" s="9" t="str">
        <f>HYPERLINK("https://www.lazada.vn/products/binh-tay-food-mi-hai-cua-xanh-goi-70gr-i2810776777.html", "https://www.lazada.vn/products/binh-tay-food-mi-hai-cua-xanh-goi-70gr-i2810776777.html")</f>
        <v>https://www.lazada.vn/products/binh-tay-food-mi-hai-cua-xanh-goi-70gr-i2810776777.html</v>
      </c>
      <c r="C6131" s="10" t="s">
        <v>6131</v>
      </c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>
      <c r="A6132" s="8">
        <v>10986.0</v>
      </c>
      <c r="B6132" s="9" t="str">
        <f>HYPERLINK("https://www.lazada.vn/products/kll-1-thung-bia-corny-khoa-khilong-ngat-ket-noi-cho-bia-nha-kieu-cornelius-i2922585153.html", "https://www.lazada.vn/products/kll-1-thung-bia-corny-khoa-khilong-ngat-ket-noi-cho-bia-nha-kieu-cornelius-i2922585153.html")</f>
        <v>https://www.lazada.vn/products/kll-1-thung-bia-corny-khoa-khilong-ngat-ket-noi-cho-bia-nha-kieu-cornelius-i2922585153.html</v>
      </c>
      <c r="C6132" s="10" t="s">
        <v>6132</v>
      </c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>
      <c r="A6133" s="8">
        <v>10987.0</v>
      </c>
      <c r="B6133" s="9" t="str">
        <f>HYPERLINK("https://www.lazada.vn/products/thach-orihiro-vi-dao-i2338275384.html", "https://www.lazada.vn/products/thach-orihiro-vi-dao-i2338275384.html")</f>
        <v>https://www.lazada.vn/products/thach-orihiro-vi-dao-i2338275384.html</v>
      </c>
      <c r="C6133" s="10" t="s">
        <v>6133</v>
      </c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>
      <c r="A6134" s="8">
        <v>10988.0</v>
      </c>
      <c r="B6134" s="9" t="str">
        <f>HYPERLINK("https://www.lazada.vn/products/ruou-vodka-finlandia-nong-do-alc-40-750ml-i2391846927.html", "https://www.lazada.vn/products/ruou-vodka-finlandia-nong-do-alc-40-750ml-i2391846927.html")</f>
        <v>https://www.lazada.vn/products/ruou-vodka-finlandia-nong-do-alc-40-750ml-i2391846927.html</v>
      </c>
      <c r="C6134" s="10" t="s">
        <v>6134</v>
      </c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>
      <c r="A6135" s="8">
        <v>10989.0</v>
      </c>
      <c r="B6135" s="9" t="str">
        <f>HYPERLINK("https://www.lazada.vn/products/nuoc-ngot-giai-khat-co-ga-fanta-mini-160-ml-vi-cam-nho-tim-hang-noi-dia-nhat-ban-i2383211959.html", "https://www.lazada.vn/products/nuoc-ngot-giai-khat-co-ga-fanta-mini-160-ml-vi-cam-nho-tim-hang-noi-dia-nhat-ban-i2383211959.html")</f>
        <v>https://www.lazada.vn/products/nuoc-ngot-giai-khat-co-ga-fanta-mini-160-ml-vi-cam-nho-tim-hang-noi-dia-nhat-ban-i2383211959.html</v>
      </c>
      <c r="C6135" s="10" t="s">
        <v>6135</v>
      </c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>
      <c r="A6136" s="8">
        <v>10990.0</v>
      </c>
      <c r="B6136" s="9" t="str">
        <f>HYPERLINK("https://www.lazada.vn/products/fruit-me-up-nuoc-ep-thach-dau-tui-90g-fruit-me-up-strawberry-jelly-juice-90g-i2338269256.html", "https://www.lazada.vn/products/fruit-me-up-nuoc-ep-thach-dau-tui-90g-fruit-me-up-strawberry-jelly-juice-90g-i2338269256.html")</f>
        <v>https://www.lazada.vn/products/fruit-me-up-nuoc-ep-thach-dau-tui-90g-fruit-me-up-strawberry-jelly-juice-90g-i2338269256.html</v>
      </c>
      <c r="C6136" s="10" t="s">
        <v>6136</v>
      </c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>
      <c r="A6137" s="8">
        <v>10991.0</v>
      </c>
      <c r="B6137" s="9" t="str">
        <f>HYPERLINK("https://www.lazada.vn/products/blue-weston-french-fries-semi-finished-products-frozen-thin-potato-oil-fried-american-style-air-fryer-food-commercial-snacks-i2679100630.html", "https://www.lazada.vn/products/blue-weston-french-fries-semi-finished-products-frozen-thin-potato-oil-fried-american-style-air-fryer-food-commercial-snacks-i2679100630.html")</f>
        <v>https://www.lazada.vn/products/blue-weston-french-fries-semi-finished-products-frozen-thin-potato-oil-fried-american-style-air-fryer-food-commercial-snacks-i2679100630.html</v>
      </c>
      <c r="C6137" s="10" t="s">
        <v>6137</v>
      </c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>
      <c r="A6138" s="8">
        <v>10992.0</v>
      </c>
      <c r="B6138" s="9" t="str">
        <f>HYPERLINK("https://www.lazada.vn/products/date-moi-nhat-combo-6-chai-sting-dau-do-moi-chai-330mldate-moi-9-thang-co-lua-chon-so-luong-le-khi-thanh-toan-quy-khach-vui-long-chu-y-i2353887099.html", "https://www.lazada.vn/products/date-moi-nhat-combo-6-chai-sting-dau-do-moi-chai-330mldate-moi-9-thang-co-lua-chon-so-luong-le-khi-thanh-toan-quy-khach-vui-long-chu-y-i2353887099.html")</f>
        <v>https://www.lazada.vn/products/date-moi-nhat-combo-6-chai-sting-dau-do-moi-chai-330mldate-moi-9-thang-co-lua-chon-so-luong-le-khi-thanh-toan-quy-khach-vui-long-chu-y-i2353887099.html</v>
      </c>
      <c r="C6138" s="10" t="s">
        <v>6138</v>
      </c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>
      <c r="A6139" s="8">
        <v>10993.0</v>
      </c>
      <c r="B6139" s="9" t="str">
        <f>HYPERLINK("https://www.lazada.vn/products/1-thung-40x120g-chanh-muoi-may-muoi-thai-lan-i527068918.html", "https://www.lazada.vn/products/1-thung-40x120g-chanh-muoi-may-muoi-thai-lan-i527068918.html")</f>
        <v>https://www.lazada.vn/products/1-thung-40x120g-chanh-muoi-may-muoi-thai-lan-i527068918.html</v>
      </c>
      <c r="C6139" s="10" t="s">
        <v>6139</v>
      </c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>
      <c r="A6140" s="8">
        <v>10994.0</v>
      </c>
      <c r="B6140" s="9" t="str">
        <f>HYPERLINK("https://www.lazada.vn/products/combo-8-hop-sua-milo-lua-mach-moi-hop-x-180ml-date-moi-8-thang-co-lua-chon-so-luong-khi-thanh-toan-i1661283639.html", "https://www.lazada.vn/products/combo-8-hop-sua-milo-lua-mach-moi-hop-x-180ml-date-moi-8-thang-co-lua-chon-so-luong-khi-thanh-toan-i1661283639.html")</f>
        <v>https://www.lazada.vn/products/combo-8-hop-sua-milo-lua-mach-moi-hop-x-180ml-date-moi-8-thang-co-lua-chon-so-luong-khi-thanh-toan-i1661283639.html</v>
      </c>
      <c r="C6140" s="10" t="s">
        <v>6140</v>
      </c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>
      <c r="A6141" s="8">
        <v>10995.0</v>
      </c>
      <c r="B6141" s="9" t="str">
        <f>HYPERLINK("https://www.lazada.vn/products/noi-dia-nga-socola-nama-tuoi-nga-chinh-hang-an-la-nghien-i2907874251.html", "https://www.lazada.vn/products/noi-dia-nga-socola-nama-tuoi-nga-chinh-hang-an-la-nghien-i2907874251.html")</f>
        <v>https://www.lazada.vn/products/noi-dia-nga-socola-nama-tuoi-nga-chinh-hang-an-la-nghien-i2907874251.html</v>
      </c>
      <c r="C6141" s="10" t="s">
        <v>6141</v>
      </c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>
      <c r="A6142" s="8">
        <v>10996.0</v>
      </c>
      <c r="B6142" s="9" t="str">
        <f>HYPERLINK("https://www.lazada.vn/products/combo-5-banh-hap-bong-lan-yipin-dai-loan-vi-chuoi-khoai-mon-dau-nanh-dua-luoi-xoai-sau-rieng-sua-dua-b56-chuyen-si-tpnk-i2636230466.html", "https://www.lazada.vn/products/combo-5-banh-hap-bong-lan-yipin-dai-loan-vi-chuoi-khoai-mon-dau-nanh-dua-luoi-xoai-sau-rieng-sua-dua-b56-chuyen-si-tpnk-i2636230466.html")</f>
        <v>https://www.lazada.vn/products/combo-5-banh-hap-bong-lan-yipin-dai-loan-vi-chuoi-khoai-mon-dau-nanh-dua-luoi-xoai-sau-rieng-sua-dua-b56-chuyen-si-tpnk-i2636230466.html</v>
      </c>
      <c r="C6142" s="10" t="s">
        <v>6142</v>
      </c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>
      <c r="A6143" s="8">
        <v>10997.0</v>
      </c>
      <c r="B6143" s="9" t="str">
        <f>HYPERLINK("https://www.lazada.vn/products/banh-gio-lang-trinh-luong-banh-gio-ha-noi-1kg-i2684305109.html", "https://www.lazada.vn/products/banh-gio-lang-trinh-luong-banh-gio-ha-noi-1kg-i2684305109.html")</f>
        <v>https://www.lazada.vn/products/banh-gio-lang-trinh-luong-banh-gio-ha-noi-1kg-i2684305109.html</v>
      </c>
      <c r="C6143" s="10" t="s">
        <v>6143</v>
      </c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>
      <c r="A6144" s="8">
        <v>10998.0</v>
      </c>
      <c r="B6144" s="9" t="str">
        <f>HYPERLINK("https://www.lazada.vn/products/banh-quy-kk-ichibin-bo-duong-thom-ngon-mesocola-i2867251907.html", "https://www.lazada.vn/products/banh-quy-kk-ichibin-bo-duong-thom-ngon-mesocola-i2867251907.html")</f>
        <v>https://www.lazada.vn/products/banh-quy-kk-ichibin-bo-duong-thom-ngon-mesocola-i2867251907.html</v>
      </c>
      <c r="C6144" s="10" t="s">
        <v>6144</v>
      </c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>
      <c r="A6145" s="8">
        <v>10999.0</v>
      </c>
      <c r="B6145" s="9" t="str">
        <f>HYPERLINK("https://www.lazada.vn/products/bia-thu-cong-cao-cap-4-vi-hop-4-chai-500ml-i2922331257.html", "https://www.lazada.vn/products/bia-thu-cong-cao-cap-4-vi-hop-4-chai-500ml-i2922331257.html")</f>
        <v>https://www.lazada.vn/products/bia-thu-cong-cao-cap-4-vi-hop-4-chai-500ml-i2922331257.html</v>
      </c>
      <c r="C6145" s="10" t="s">
        <v>6145</v>
      </c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>
      <c r="A6146" s="8">
        <v>11000.0</v>
      </c>
      <c r="B6146" s="9" t="str">
        <f>HYPERLINK("https://www.lazada.vn/products/noi-dia-nga-socola-nama-tuoi-nga-chinh-hang-an-la-nghien-i2907821500.html", "https://www.lazada.vn/products/noi-dia-nga-socola-nama-tuoi-nga-chinh-hang-an-la-nghien-i2907821500.html")</f>
        <v>https://www.lazada.vn/products/noi-dia-nga-socola-nama-tuoi-nga-chinh-hang-an-la-nghien-i2907821500.html</v>
      </c>
      <c r="C6146" s="10" t="s">
        <v>6146</v>
      </c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>
      <c r="A6147" s="8">
        <v>11001.0</v>
      </c>
      <c r="B6147" s="9" t="str">
        <f>HYPERLINK("https://www.lazada.vn/products/coca-cola-original-taste-cua-nhat-ban-date-122025-i2377100243.html", "https://www.lazada.vn/products/coca-cola-original-taste-cua-nhat-ban-date-122025-i2377100243.html")</f>
        <v>https://www.lazada.vn/products/coca-cola-original-taste-cua-nhat-ban-date-122025-i2377100243.html</v>
      </c>
      <c r="C6147" s="10" t="s">
        <v>6147</v>
      </c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>
      <c r="A6148" s="8">
        <v>11002.0</v>
      </c>
      <c r="B6148" s="9" t="str">
        <f>HYPERLINK("https://www.lazada.vn/products/fruit-me-up-nuoc-ep-thach-tao-tui-90g-fruit-me-up-apple-jelly-juice-90g-i2338188735.html", "https://www.lazada.vn/products/fruit-me-up-nuoc-ep-thach-tao-tui-90g-fruit-me-up-apple-jelly-juice-90g-i2338188735.html")</f>
        <v>https://www.lazada.vn/products/fruit-me-up-nuoc-ep-thach-tao-tui-90g-fruit-me-up-apple-jelly-juice-90g-i2338188735.html</v>
      </c>
      <c r="C6148" s="10" t="s">
        <v>6148</v>
      </c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>
      <c r="A6149" s="8">
        <v>11003.0</v>
      </c>
      <c r="B6149" s="9" t="str">
        <f>HYPERLINK("https://www.lazada.vn/products/combo-20-goi-snack-bo-kobe-an-cung-ba-tuyet-i2678887715.html", "https://www.lazada.vn/products/combo-20-goi-snack-bo-kobe-an-cung-ba-tuyet-i2678887715.html")</f>
        <v>https://www.lazada.vn/products/combo-20-goi-snack-bo-kobe-an-cung-ba-tuyet-i2678887715.html</v>
      </c>
      <c r="C6149" s="10" t="s">
        <v>6149</v>
      </c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>
      <c r="A6150" s="8">
        <v>11004.0</v>
      </c>
      <c r="B6150" s="9" t="str">
        <f>HYPERLINK("https://www.lazada.vn/products/combo-thung-24-chai-nuoc-bo-sung-ion-pocari-sweat-500ml-san-xuat-tai-indonesia-i2348604772.html", "https://www.lazada.vn/products/combo-thung-24-chai-nuoc-bo-sung-ion-pocari-sweat-500ml-san-xuat-tai-indonesia-i2348604772.html")</f>
        <v>https://www.lazada.vn/products/combo-thung-24-chai-nuoc-bo-sung-ion-pocari-sweat-500ml-san-xuat-tai-indonesia-i2348604772.html</v>
      </c>
      <c r="C6150" s="10" t="s">
        <v>6150</v>
      </c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>
      <c r="A6151" s="8">
        <v>11005.0</v>
      </c>
      <c r="B6151" s="9" t="str">
        <f>HYPERLINK("https://www.lazada.vn/products/hat-de-hap-tach-vo-nhat-260g-qua-bieu-suc-khoe-tot-cho-thai-phu-chong-lao-hoa-i527068907.html", "https://www.lazada.vn/products/hat-de-hap-tach-vo-nhat-260g-qua-bieu-suc-khoe-tot-cho-thai-phu-chong-lao-hoa-i527068907.html")</f>
        <v>https://www.lazada.vn/products/hat-de-hap-tach-vo-nhat-260g-qua-bieu-suc-khoe-tot-cho-thai-phu-chong-lao-hoa-i527068907.html</v>
      </c>
      <c r="C6151" s="10" t="s">
        <v>6151</v>
      </c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>
      <c r="A6152" s="8">
        <v>11006.0</v>
      </c>
      <c r="B6152" s="9" t="str">
        <f>HYPERLINK("https://www.lazada.vn/products/5-goi-mi-shin-ramyun-goi-120g-nhap-khau-han-quoc-i417460400.html", "https://www.lazada.vn/products/5-goi-mi-shin-ramyun-goi-120g-nhap-khau-han-quoc-i417460400.html")</f>
        <v>https://www.lazada.vn/products/5-goi-mi-shin-ramyun-goi-120g-nhap-khau-han-quoc-i417460400.html</v>
      </c>
      <c r="C6152" s="10" t="s">
        <v>6152</v>
      </c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>
      <c r="A6153" s="8">
        <v>11007.0</v>
      </c>
      <c r="B6153" s="9" t="str">
        <f>HYPERLINK("https://www.lazada.vn/products/banh-hong-dac-san-tam-quan-binh-dinh-500gr-co-2-vi-truyen-thong-la-dua-banh-khong-co-chat-bao-quan-i2682324668.html", "https://www.lazada.vn/products/banh-hong-dac-san-tam-quan-binh-dinh-500gr-co-2-vi-truyen-thong-la-dua-banh-khong-co-chat-bao-quan-i2682324668.html")</f>
        <v>https://www.lazada.vn/products/banh-hong-dac-san-tam-quan-binh-dinh-500gr-co-2-vi-truyen-thong-la-dua-banh-khong-co-chat-bao-quan-i2682324668.html</v>
      </c>
      <c r="C6153" s="10" t="s">
        <v>6153</v>
      </c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>
      <c r="A6154" s="8">
        <v>11008.0</v>
      </c>
      <c r="B6154" s="9" t="str">
        <f>HYPERLINK("https://www.lazada.vn/products/thung-1kg-banh-hap-bong-lan-yipin-dai-loan-vi-chuoi-khoai-mon-dau-nanh-dua-luoi-xoai-sau-rieng-sua-dua-b56-tknk-beegin-i2635732238.html", "https://www.lazada.vn/products/thung-1kg-banh-hap-bong-lan-yipin-dai-loan-vi-chuoi-khoai-mon-dau-nanh-dua-luoi-xoai-sau-rieng-sua-dua-b56-tknk-beegin-i2635732238.html")</f>
        <v>https://www.lazada.vn/products/thung-1kg-banh-hap-bong-lan-yipin-dai-loan-vi-chuoi-khoai-mon-dau-nanh-dua-luoi-xoai-sau-rieng-sua-dua-b56-tknk-beegin-i2635732238.html</v>
      </c>
      <c r="C6154" s="10" t="s">
        <v>6154</v>
      </c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>
      <c r="A6155" s="8">
        <v>11009.0</v>
      </c>
      <c r="B6155" s="9" t="str">
        <f>HYPERLINK("https://www.lazada.vn/products/banh-dua-nuong-phuc-dat-combo-10-goi-dac-san-quang-nam-banh-keo-tet-an-vat-sieu-ngon-i2865894727.html", "https://www.lazada.vn/products/banh-dua-nuong-phuc-dat-combo-10-goi-dac-san-quang-nam-banh-keo-tet-an-vat-sieu-ngon-i2865894727.html")</f>
        <v>https://www.lazada.vn/products/banh-dua-nuong-phuc-dat-combo-10-goi-dac-san-quang-nam-banh-keo-tet-an-vat-sieu-ngon-i2865894727.html</v>
      </c>
      <c r="C6155" s="10" t="s">
        <v>6155</v>
      </c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>
      <c r="A6156" s="8">
        <v>11010.0</v>
      </c>
      <c r="B6156" s="9" t="str">
        <f>HYPERLINK("https://www.lazada.vn/products/1lit-r-nep-than-nguyen-chat-nha-lam-i1636976597.html", "https://www.lazada.vn/products/1lit-r-nep-than-nguyen-chat-nha-lam-i1636976597.html")</f>
        <v>https://www.lazada.vn/products/1lit-r-nep-than-nguyen-chat-nha-lam-i1636976597.html</v>
      </c>
      <c r="C6156" s="10" t="s">
        <v>6156</v>
      </c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>
      <c r="A6157" s="8">
        <v>11011.0</v>
      </c>
      <c r="B6157" s="9" t="str">
        <f>HYPERLINK("https://www.lazada.vn/products/ket-2-bom-bia-heineken-5l-trai-nghiem-bua-tiec-hoan-hao-i2922239723.html", "https://www.lazada.vn/products/ket-2-bom-bia-heineken-5l-trai-nghiem-bua-tiec-hoan-hao-i2922239723.html")</f>
        <v>https://www.lazada.vn/products/ket-2-bom-bia-heineken-5l-trai-nghiem-bua-tiec-hoan-hao-i2922239723.html</v>
      </c>
      <c r="C6157" s="10" t="s">
        <v>6157</v>
      </c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>
      <c r="A6158" s="8">
        <v>11012.0</v>
      </c>
      <c r="B6158" s="9" t="str">
        <f>HYPERLINK("https://www.lazada.vn/products/keo-socola-ca-phe-capuchino-3d-dam-vi-thom-ngon-tui-500gr-keo-ca-phe-sua-capuchino-keo-ca-phe-ruvask-i2907773674.html", "https://www.lazada.vn/products/keo-socola-ca-phe-capuchino-3d-dam-vi-thom-ngon-tui-500gr-keo-ca-phe-sua-capuchino-keo-ca-phe-ruvask-i2907773674.html")</f>
        <v>https://www.lazada.vn/products/keo-socola-ca-phe-capuchino-3d-dam-vi-thom-ngon-tui-500gr-keo-ca-phe-sua-capuchino-keo-ca-phe-ruvask-i2907773674.html</v>
      </c>
      <c r="C6158" s="10" t="s">
        <v>6158</v>
      </c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>
      <c r="A6159" s="8">
        <v>11013.0</v>
      </c>
      <c r="B6159" s="9" t="str">
        <f>HYPERLINK("https://www.lazada.vn/products/date-moi-nuoc-ngot-my-welchs-nho-dau-dua-fanta-shasta-xa-xi-aw-i2374803443.html", "https://www.lazada.vn/products/date-moi-nuoc-ngot-my-welchs-nho-dau-dua-fanta-shasta-xa-xi-aw-i2374803443.html")</f>
        <v>https://www.lazada.vn/products/date-moi-nuoc-ngot-my-welchs-nho-dau-dua-fanta-shasta-xa-xi-aw-i2374803443.html</v>
      </c>
      <c r="C6159" s="10" t="s">
        <v>6159</v>
      </c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>
      <c r="A6160" s="8">
        <v>11014.0</v>
      </c>
      <c r="B6160" s="9" t="str">
        <f>HYPERLINK("https://www.lazada.vn/products/fruit-me-up-nuoc-ep-thach-dao-tui-90g-fruit-me-up-peach-jelly-juice-90g-i2338175398.html", "https://www.lazada.vn/products/fruit-me-up-nuoc-ep-thach-dao-tui-90g-fruit-me-up-peach-jelly-juice-90g-i2338175398.html")</f>
        <v>https://www.lazada.vn/products/fruit-me-up-nuoc-ep-thach-dao-tui-90g-fruit-me-up-peach-jelly-juice-90g-i2338175398.html</v>
      </c>
      <c r="C6160" s="10" t="s">
        <v>6160</v>
      </c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>
      <c r="A6161" s="8">
        <v>11015.0</v>
      </c>
      <c r="B6161" s="9" t="str">
        <f>HYPERLINK("https://www.lazada.vn/products/nuoc-tang-luc-monter-i2347145572.html", "https://www.lazada.vn/products/nuoc-tang-luc-monter-i2347145572.html")</f>
        <v>https://www.lazada.vn/products/nuoc-tang-luc-monter-i2347145572.html</v>
      </c>
      <c r="C6161" s="10" t="s">
        <v>6161</v>
      </c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>
      <c r="A6162" s="8">
        <v>11016.0</v>
      </c>
      <c r="B6162" s="9" t="str">
        <f>HYPERLINK("https://www.lazada.vn/products/combo-10-goi-snack-nem-nuong-phen-an-cung-ba-tuyet-i2678778892.html", "https://www.lazada.vn/products/combo-10-goi-snack-nem-nuong-phen-an-cung-ba-tuyet-i2678778892.html")</f>
        <v>https://www.lazada.vn/products/combo-10-goi-snack-nem-nuong-phen-an-cung-ba-tuyet-i2678778892.html</v>
      </c>
      <c r="C6162" s="10" t="s">
        <v>6162</v>
      </c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>
      <c r="A6163" s="8">
        <v>11017.0</v>
      </c>
      <c r="B6163" s="9" t="str">
        <f>HYPERLINK("https://www.lazada.vn/products/combo-3-goi-mi-hong-samyang-i235584728.html", "https://www.lazada.vn/products/combo-3-goi-mi-hong-samyang-i235584728.html")</f>
        <v>https://www.lazada.vn/products/combo-3-goi-mi-hong-samyang-i235584728.html</v>
      </c>
      <c r="C6163" s="10" t="s">
        <v>6163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>
      <c r="A6164" s="8">
        <v>11018.0</v>
      </c>
      <c r="B6164" s="9" t="str">
        <f>HYPERLINK("https://www.lazada.vn/products/tang-tho-nhua-combo-x2-tui-cafe-g7-3in1-50goi-x-16gtui-cafe-g7-50-goi-cafe-g7-ca-phe-hoa-tan-ca-phe-sua-da-ca-phe-g7-tui-50-goi-cafe-g7-tui-50-goi-cafe-chinh-hang-trueme-truemenews-truemilk-cafesuag750-i3054386015.html", "https://www.lazada.vn/products/tang-tho-nhua-combo-x2-tui-cafe-g7-3in1-50goi-x-16gtui-cafe-g7-50-goi-cafe-g7-ca-phe-hoa-tan-ca-phe-sua-da-ca-phe-g7-tui-50-goi-cafe-g7-tui-50-goi-cafe-chinh-hang-trueme-truemenews-truemilk-cafesuag750-i3054386015.html")</f>
        <v>https://www.lazada.vn/products/tang-tho-nhua-combo-x2-tui-cafe-g7-3in1-50goi-x-16gtui-cafe-g7-50-goi-cafe-g7-ca-phe-hoa-tan-ca-phe-sua-da-ca-phe-g7-tui-50-goi-cafe-g7-tui-50-goi-cafe-chinh-hang-trueme-truemenews-truemilk-cafesuag750-i3054386015.html</v>
      </c>
      <c r="C6164" s="10" t="s">
        <v>6164</v>
      </c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>
      <c r="A6165" s="8">
        <v>11019.0</v>
      </c>
      <c r="B6165" s="9" t="str">
        <f>HYPERLINK("https://www.lazada.vn/products/loc-5-goi-mi-kho-ga-cay-vi-pho-mai-140g-i102225808.html", "https://www.lazada.vn/products/loc-5-goi-mi-kho-ga-cay-vi-pho-mai-140g-i102225808.html")</f>
        <v>https://www.lazada.vn/products/loc-5-goi-mi-kho-ga-cay-vi-pho-mai-140g-i102225808.html</v>
      </c>
      <c r="C6165" s="10" t="s">
        <v>6165</v>
      </c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>
      <c r="A6166" s="8">
        <v>11020.0</v>
      </c>
      <c r="B6166" s="9" t="str">
        <f>HYPERLINK("https://www.lazada.vn/products/thach-trai-cay-vi-nho-160g-i2338129891.html", "https://www.lazada.vn/products/thach-trai-cay-vi-nho-160g-i2338129891.html")</f>
        <v>https://www.lazada.vn/products/thach-trai-cay-vi-nho-160g-i2338129891.html</v>
      </c>
      <c r="C6166" s="10" t="s">
        <v>6166</v>
      </c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>
      <c r="A6167" s="8">
        <v>11021.0</v>
      </c>
      <c r="B6167" s="9" t="str">
        <f>HYPERLINK("https://www.lazada.vn/products/500g-o-liu-vang-i3038064336.html", "https://www.lazada.vn/products/500g-o-liu-vang-i3038064336.html")</f>
        <v>https://www.lazada.vn/products/500g-o-liu-vang-i3038064336.html</v>
      </c>
      <c r="C6167" s="10" t="s">
        <v>6167</v>
      </c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>
      <c r="A6168" s="8">
        <v>11022.0</v>
      </c>
      <c r="B6168" s="9" t="str">
        <f>HYPERLINK("https://www.lazada.vn/products/cacao-nong-nestle-hot-cocoa-mix-rich-milk-chocolate-flavor-nestle-i1630117342.html", "https://www.lazada.vn/products/cacao-nong-nestle-hot-cocoa-mix-rich-milk-chocolate-flavor-nestle-i1630117342.html")</f>
        <v>https://www.lazada.vn/products/cacao-nong-nestle-hot-cocoa-mix-rich-milk-chocolate-flavor-nestle-i1630117342.html</v>
      </c>
      <c r="C6168" s="10" t="s">
        <v>6168</v>
      </c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>
      <c r="A6169" s="8">
        <v>11023.0</v>
      </c>
      <c r="B6169" s="9" t="str">
        <f>HYPERLINK("https://www.lazada.vn/products/bia-thu-cong-east-west-rose-hop-6-chai-330ml-i2922044910.html", "https://www.lazada.vn/products/bia-thu-cong-east-west-rose-hop-6-chai-330ml-i2922044910.html")</f>
        <v>https://www.lazada.vn/products/bia-thu-cong-east-west-rose-hop-6-chai-330ml-i2922044910.html</v>
      </c>
      <c r="C6169" s="10" t="s">
        <v>6169</v>
      </c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>
      <c r="A6170" s="8">
        <v>11024.0</v>
      </c>
      <c r="B6170" s="9" t="str">
        <f>HYPERLINK("https://www.lazada.vn/products/combo-10-goi-snack-bo-kobe-an-cung-ba-tuyet-i2678769949.html", "https://www.lazada.vn/products/combo-10-goi-snack-bo-kobe-an-cung-ba-tuyet-i2678769949.html")</f>
        <v>https://www.lazada.vn/products/combo-10-goi-snack-bo-kobe-an-cung-ba-tuyet-i2678769949.html</v>
      </c>
      <c r="C6170" s="10" t="s">
        <v>6170</v>
      </c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>
      <c r="A6171" s="8">
        <v>11025.0</v>
      </c>
      <c r="B6171" s="9" t="str">
        <f>HYPERLINK("https://www.lazada.vn/products/1-chai-nuoc-uong-tang-luc-hong-sam-won-100ml-i2344627106.html", "https://www.lazada.vn/products/1-chai-nuoc-uong-tang-luc-hong-sam-won-100ml-i2344627106.html")</f>
        <v>https://www.lazada.vn/products/1-chai-nuoc-uong-tang-luc-hong-sam-won-100ml-i2344627106.html</v>
      </c>
      <c r="C6171" s="10" t="s">
        <v>6171</v>
      </c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>
      <c r="A6172" s="8">
        <v>11026.0</v>
      </c>
      <c r="B6172" s="9" t="str">
        <f>HYPERLINK("https://www.lazada.vn/products/nuoc-ngot-7-up-vi-chanh-loc-6-lon-loai-320ml-i2373660511.html", "https://www.lazada.vn/products/nuoc-ngot-7-up-vi-chanh-loc-6-lon-loai-320ml-i2373660511.html")</f>
        <v>https://www.lazada.vn/products/nuoc-ngot-7-up-vi-chanh-loc-6-lon-loai-320ml-i2373660511.html</v>
      </c>
      <c r="C6172" s="10" t="s">
        <v>6172</v>
      </c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>
      <c r="A6173" s="8">
        <v>11027.0</v>
      </c>
      <c r="B6173" s="9" t="str">
        <f>HYPERLINK("https://www.lazada.vn/products/keo-socola-ca-phe-capuchino-thom-ngon-i2907691929.html", "https://www.lazada.vn/products/keo-socola-ca-phe-capuchino-thom-ngon-i2907691929.html")</f>
        <v>https://www.lazada.vn/products/keo-socola-ca-phe-capuchino-thom-ngon-i2907691929.html</v>
      </c>
      <c r="C6173" s="10" t="s">
        <v>6173</v>
      </c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>
      <c r="A6174" s="8">
        <v>11028.0</v>
      </c>
      <c r="B6174" s="9" t="str">
        <f>HYPERLINK("https://www.lazada.vn/products/3-tang-3-ca-phe-pho-sua-nong-mua-3-hop-tang-3-ly-thuy-tinh-i3035918926.html", "https://www.lazada.vn/products/3-tang-3-ca-phe-pho-sua-nong-mua-3-hop-tang-3-ly-thuy-tinh-i3035918926.html")</f>
        <v>https://www.lazada.vn/products/3-tang-3-ca-phe-pho-sua-nong-mua-3-hop-tang-3-ly-thuy-tinh-i3035918926.html</v>
      </c>
      <c r="C6174" s="10" t="s">
        <v>6174</v>
      </c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>
      <c r="A6175" s="8">
        <v>11029.0</v>
      </c>
      <c r="B6175" s="9" t="str">
        <f>HYPERLINK("https://www.lazada.vn/products/combo-5-banh-sua-chua-hosh-ong-gia-dai-loan-5-vi-b05-tknk-beegin-i2635661489.html", "https://www.lazada.vn/products/combo-5-banh-sua-chua-hosh-ong-gia-dai-loan-5-vi-b05-tknk-beegin-i2635661489.html")</f>
        <v>https://www.lazada.vn/products/combo-5-banh-sua-chua-hosh-ong-gia-dai-loan-5-vi-b05-tknk-beegin-i2635661489.html</v>
      </c>
      <c r="C6175" s="10" t="s">
        <v>6175</v>
      </c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>
      <c r="A6176" s="8">
        <v>11030.0</v>
      </c>
      <c r="B6176" s="9" t="str">
        <f>HYPERLINK("https://www.lazada.vn/products/loc-6-lon-bia-budweiser-sleek-330ml-sieu-thi-tops-market-i2303734143.html", "https://www.lazada.vn/products/loc-6-lon-bia-budweiser-sleek-330ml-sieu-thi-tops-market-i2303734143.html")</f>
        <v>https://www.lazada.vn/products/loc-6-lon-bia-budweiser-sleek-330ml-sieu-thi-tops-market-i2303734143.html</v>
      </c>
      <c r="C6176" s="10" t="s">
        <v>6176</v>
      </c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>
      <c r="A6177" s="8">
        <v>11031.0</v>
      </c>
      <c r="B6177" s="9" t="str">
        <f>HYPERLINK("https://www.lazada.vn/products/hong-say-deo-tui-500g-an-la-dinh-i2925094070.html", "https://www.lazada.vn/products/hong-say-deo-tui-500g-an-la-dinh-i2925094070.html")</f>
        <v>https://www.lazada.vn/products/hong-say-deo-tui-500g-an-la-dinh-i2925094070.html</v>
      </c>
      <c r="C6177" s="10" t="s">
        <v>6177</v>
      </c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>
      <c r="A6178" s="8">
        <v>11032.0</v>
      </c>
      <c r="B6178" s="9" t="str">
        <f>HYPERLINK("https://www.lazada.vn/products/thung-24-lon-bia-carlsberg-danish-pilsner-330ml-huong-vi-dam-da-tuoi-moi-tu-dan-mach-i2921043316.html", "https://www.lazada.vn/products/thung-24-lon-bia-carlsberg-danish-pilsner-330ml-huong-vi-dam-da-tuoi-moi-tu-dan-mach-i2921043316.html")</f>
        <v>https://www.lazada.vn/products/thung-24-lon-bia-carlsberg-danish-pilsner-330ml-huong-vi-dam-da-tuoi-moi-tu-dan-mach-i2921043316.html</v>
      </c>
      <c r="C6178" s="10" t="s">
        <v>6178</v>
      </c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>
      <c r="A6179" s="8">
        <v>11033.0</v>
      </c>
      <c r="B6179" s="9" t="str">
        <f>HYPERLINK("https://www.lazada.vn/products/hoa-toc-gv-thung-24-lon-bia-sai-gon-lager-330ml-bao-bi-tet-bao-bi-co-the-thay-doi-theo-dot-i2920937684.html", "https://www.lazada.vn/products/hoa-toc-gv-thung-24-lon-bia-sai-gon-lager-330ml-bao-bi-tet-bao-bi-co-the-thay-doi-theo-dot-i2920937684.html")</f>
        <v>https://www.lazada.vn/products/hoa-toc-gv-thung-24-lon-bia-sai-gon-lager-330ml-bao-bi-tet-bao-bi-co-the-thay-doi-theo-dot-i2920937684.html</v>
      </c>
      <c r="C6179" s="10" t="s">
        <v>6179</v>
      </c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>
      <c r="A6180" s="8">
        <v>11034.0</v>
      </c>
      <c r="B6180" s="9" t="str">
        <f>HYPERLINK("https://www.lazada.vn/products/hoa-toc-go-vap-thung-24-lon-bia-lager-beer-tiger-330ml-tiger-nau-bao-bi-co-the-thay-doi-theo-dot-tiem-anh-em-i2920396383.html", "https://www.lazada.vn/products/hoa-toc-go-vap-thung-24-lon-bia-lager-beer-tiger-330ml-tiger-nau-bao-bi-co-the-thay-doi-theo-dot-tiem-anh-em-i2920396383.html")</f>
        <v>https://www.lazada.vn/products/hoa-toc-go-vap-thung-24-lon-bia-lager-beer-tiger-330ml-tiger-nau-bao-bi-co-the-thay-doi-theo-dot-tiem-anh-em-i2920396383.html</v>
      </c>
      <c r="C6180" s="10" t="s">
        <v>6180</v>
      </c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>
      <c r="A6181" s="8">
        <v>11035.0</v>
      </c>
      <c r="B6181" s="9" t="str">
        <f>HYPERLINK("https://www.lazada.vn/products/thung-24-lon-bia-tsingtao-pure-draft-do-con-43-bia-thanh-dao-nhap-khau-chinh-hang-100-i2918327913.html", "https://www.lazada.vn/products/thung-24-lon-bia-tsingtao-pure-draft-do-con-43-bia-thanh-dao-nhap-khau-chinh-hang-100-i2918327913.html")</f>
        <v>https://www.lazada.vn/products/thung-24-lon-bia-tsingtao-pure-draft-do-con-43-bia-thanh-dao-nhap-khau-chinh-hang-100-i2918327913.html</v>
      </c>
      <c r="C6181" s="10" t="s">
        <v>6181</v>
      </c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>
      <c r="A6182" s="8">
        <v>11036.0</v>
      </c>
      <c r="B6182" s="9" t="str">
        <f>HYPERLINK("https://www.lazada.vn/products/combo-2-thung-bia-nhat-ban-sapporo-thung-24-lon-330ml-i2917728248.html", "https://www.lazada.vn/products/combo-2-thung-bia-nhat-ban-sapporo-thung-24-lon-330ml-i2917728248.html")</f>
        <v>https://www.lazada.vn/products/combo-2-thung-bia-nhat-ban-sapporo-thung-24-lon-330ml-i2917728248.html</v>
      </c>
      <c r="C6182" s="10" t="s">
        <v>6182</v>
      </c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>
      <c r="A6183" s="8">
        <v>11037.0</v>
      </c>
      <c r="B6183" s="9" t="str">
        <f>HYPERLINK("https://www.lazada.vn/products/combo-2-thung-budweiser-24-lon-330ml-ship-hoa-toc-ha-noi-i2917672417.html", "https://www.lazada.vn/products/combo-2-thung-budweiser-24-lon-330ml-ship-hoa-toc-ha-noi-i2917672417.html")</f>
        <v>https://www.lazada.vn/products/combo-2-thung-budweiser-24-lon-330ml-ship-hoa-toc-ha-noi-i2917672417.html</v>
      </c>
      <c r="C6183" s="10" t="s">
        <v>6183</v>
      </c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>
      <c r="A6184" s="8">
        <v>11038.0</v>
      </c>
      <c r="B6184" s="9" t="str">
        <f>HYPERLINK("https://www.lazada.vn/products/giao-hoa-tocthung-24-lon-bia-sapporo-premium-tet-2025-330mllon-i2917523828.html", "https://www.lazada.vn/products/giao-hoa-tocthung-24-lon-bia-sapporo-premium-tet-2025-330mllon-i2917523828.html")</f>
        <v>https://www.lazada.vn/products/giao-hoa-tocthung-24-lon-bia-sapporo-premium-tet-2025-330mllon-i2917523828.html</v>
      </c>
      <c r="C6184" s="10" t="s">
        <v>6184</v>
      </c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>
      <c r="A6185" s="8">
        <v>11039.0</v>
      </c>
      <c r="B6185" s="9" t="str">
        <f>HYPERLINK("https://www.lazada.vn/products/tsingtao-lager-beer-330ml24-cans-i2916866061.html", "https://www.lazada.vn/products/tsingtao-lager-beer-330ml24-cans-i2916866061.html")</f>
        <v>https://www.lazada.vn/products/tsingtao-lager-beer-330ml24-cans-i2916866061.html</v>
      </c>
      <c r="C6185" s="10" t="s">
        <v>6185</v>
      </c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>
      <c r="A6186" s="8">
        <v>11040.0</v>
      </c>
      <c r="B6186" s="9" t="str">
        <f>HYPERLINK("https://www.lazada.vn/products/zhoutt-1-thung-bia-corny-khoa-khilong-ngat-ket-noi-cho-bia-nha-kieu-cornelius-i2915013298.html", "https://www.lazada.vn/products/zhoutt-1-thung-bia-corny-khoa-khilong-ngat-ket-noi-cho-bia-nha-kieu-cornelius-i2915013298.html")</f>
        <v>https://www.lazada.vn/products/zhoutt-1-thung-bia-corny-khoa-khilong-ngat-ket-noi-cho-bia-nha-kieu-cornelius-i2915013298.html</v>
      </c>
      <c r="C6186" s="10" t="s">
        <v>6186</v>
      </c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>
      <c r="A6187" s="8">
        <v>11041.0</v>
      </c>
      <c r="B6187" s="9" t="str">
        <f>HYPERLINK("https://www.lazada.vn/products/bia-duc-oettinger-black-bia-den-500ml-i2914277712.html", "https://www.lazada.vn/products/bia-duc-oettinger-black-bia-den-500ml-i2914277712.html")</f>
        <v>https://www.lazada.vn/products/bia-duc-oettinger-black-bia-den-500ml-i2914277712.html</v>
      </c>
      <c r="C6187" s="10" t="s">
        <v>6187</v>
      </c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>
      <c r="A6188" s="8">
        <v>11042.0</v>
      </c>
      <c r="B6188" s="9" t="str">
        <f>HYPERLINK("https://www.lazada.vn/products/bo-6-ly-bia-thuy-tinh-dang-mang-cau-255ml-i2913563380.html", "https://www.lazada.vn/products/bo-6-ly-bia-thuy-tinh-dang-mang-cau-255ml-i2913563380.html")</f>
        <v>https://www.lazada.vn/products/bo-6-ly-bia-thuy-tinh-dang-mang-cau-255ml-i2913563380.html</v>
      </c>
      <c r="C6188" s="10" t="s">
        <v>6188</v>
      </c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>
      <c r="A6189" s="8">
        <v>11043.0</v>
      </c>
      <c r="B6189" s="9" t="str">
        <f>HYPERLINK("https://www.lazada.vn/products/bo-6-ly-bia-thuy-tinh-soc-360ml-i2913395904.html", "https://www.lazada.vn/products/bo-6-ly-bia-thuy-tinh-soc-360ml-i2913395904.html")</f>
        <v>https://www.lazada.vn/products/bo-6-ly-bia-thuy-tinh-soc-360ml-i2913395904.html</v>
      </c>
      <c r="C6189" s="10" t="s">
        <v>6189</v>
      </c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>
      <c r="A6190" s="8">
        <v>11044.0</v>
      </c>
      <c r="B6190" s="9" t="str">
        <f>HYPERLINK("https://www.lazada.vn/products/bo-6-ly-bia-thuy-tinh-dang-mang-cau-380ml-i2913386967.html", "https://www.lazada.vn/products/bo-6-ly-bia-thuy-tinh-dang-mang-cau-380ml-i2913386967.html")</f>
        <v>https://www.lazada.vn/products/bo-6-ly-bia-thuy-tinh-dang-mang-cau-380ml-i2913386967.html</v>
      </c>
      <c r="C6190" s="10" t="s">
        <v>6190</v>
      </c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>
      <c r="A6191" s="8">
        <v>11045.0</v>
      </c>
      <c r="B6191" s="9" t="str">
        <f>HYPERLINK("https://www.lazada.vn/products/bia-nhap-khau-my-burp-beaver-lost-coast-bo-dau-phong-sua-stout-4-chai-new-date-zada-i2912513362.html", "https://www.lazada.vn/products/bia-nhap-khau-my-burp-beaver-lost-coast-bo-dau-phong-sua-stout-4-chai-new-date-zada-i2912513362.html")</f>
        <v>https://www.lazada.vn/products/bia-nhap-khau-my-burp-beaver-lost-coast-bo-dau-phong-sua-stout-4-chai-new-date-zada-i2912513362.html</v>
      </c>
      <c r="C6191" s="10" t="s">
        <v>6191</v>
      </c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>
      <c r="A6192" s="8">
        <v>11046.0</v>
      </c>
      <c r="B6192" s="9" t="str">
        <f>HYPERLINK("https://www.lazada.vn/products/bia-oettinger-bavarian-helles-47-nhap-khau-duc-1-lon-500ml-i2911726017.html", "https://www.lazada.vn/products/bia-oettinger-bavarian-helles-47-nhap-khau-duc-1-lon-500ml-i2911726017.html")</f>
        <v>https://www.lazada.vn/products/bia-oettinger-bavarian-helles-47-nhap-khau-duc-1-lon-500ml-i2911726017.html</v>
      </c>
      <c r="C6192" s="10" t="s">
        <v>6192</v>
      </c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>
      <c r="A6193" s="8">
        <v>11047.0</v>
      </c>
      <c r="B6193" s="9" t="str">
        <f>HYPERLINK("https://www.lazada.vn/products/bia-oettinger-bavarian-helles-47-nhap-khau-duc-1-lon-500ml-i2911523466.html", "https://www.lazada.vn/products/bia-oettinger-bavarian-helles-47-nhap-khau-duc-1-lon-500ml-i2911523466.html")</f>
        <v>https://www.lazada.vn/products/bia-oettinger-bavarian-helles-47-nhap-khau-duc-1-lon-500ml-i2911523466.html</v>
      </c>
      <c r="C6193" s="10" t="s">
        <v>6193</v>
      </c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>
      <c r="A6194" s="8">
        <v>11048.0</v>
      </c>
      <c r="B6194" s="9" t="str">
        <f>HYPERLINK("https://www.lazada.vn/products/thung-24-lon-bia-huda-330ml-330mllon-do-con-47-hoa-toc-i2909280022.html", "https://www.lazada.vn/products/thung-24-lon-bia-huda-330ml-330mllon-do-con-47-hoa-toc-i2909280022.html")</f>
        <v>https://www.lazada.vn/products/thung-24-lon-bia-huda-330ml-330mllon-do-con-47-hoa-toc-i2909280022.html</v>
      </c>
      <c r="C6194" s="10" t="s">
        <v>6194</v>
      </c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>
      <c r="A6195" s="8">
        <v>11049.0</v>
      </c>
      <c r="B6195" s="9" t="str">
        <f>HYPERLINK("https://www.lazada.vn/products/bia-engel-bock-hell-72-duc-chai-500ml-i2909137439.html", "https://www.lazada.vn/products/bia-engel-bock-hell-72-duc-chai-500ml-i2909137439.html")</f>
        <v>https://www.lazada.vn/products/bia-engel-bock-hell-72-duc-chai-500ml-i2909137439.html</v>
      </c>
      <c r="C6195" s="10" t="s">
        <v>6195</v>
      </c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>
      <c r="A6196" s="8">
        <v>11050.0</v>
      </c>
      <c r="B6196" s="9" t="str">
        <f>HYPERLINK("https://www.lazada.vn/products/bia-engel-bock-hell-72-duc-chai-500ml-i2909107545.html", "https://www.lazada.vn/products/bia-engel-bock-hell-72-duc-chai-500ml-i2909107545.html")</f>
        <v>https://www.lazada.vn/products/bia-engel-bock-hell-72-duc-chai-500ml-i2909107545.html</v>
      </c>
      <c r="C6196" s="10" t="s">
        <v>6196</v>
      </c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>
      <c r="A6197" s="8">
        <v>11051.0</v>
      </c>
      <c r="B6197" s="9" t="str">
        <f>HYPERLINK("https://www.lazada.vn/products/hoa-toc-thung-24-lon-bia-kaiserin-gold-cong-nghe-duc-i2907649271.html", "https://www.lazada.vn/products/hoa-toc-thung-24-lon-bia-kaiserin-gold-cong-nghe-duc-i2907649271.html")</f>
        <v>https://www.lazada.vn/products/hoa-toc-thung-24-lon-bia-kaiserin-gold-cong-nghe-duc-i2907649271.html</v>
      </c>
      <c r="C6197" s="10" t="s">
        <v>6197</v>
      </c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>
      <c r="A6198" s="8">
        <v>11052.0</v>
      </c>
      <c r="B6198" s="9" t="str">
        <f>HYPERLINK("https://www.lazada.vn/products/bia-corona-extra-thung-24-chai_355ml-i2901333384.html", "https://www.lazada.vn/products/bia-corona-extra-thung-24-chai_355ml-i2901333384.html")</f>
        <v>https://www.lazada.vn/products/bia-corona-extra-thung-24-chai_355ml-i2901333384.html</v>
      </c>
      <c r="C6198" s="10" t="s">
        <v>6198</v>
      </c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>
      <c r="A6199" s="8">
        <v>11053.0</v>
      </c>
      <c r="B6199" s="9" t="str">
        <f>HYPERLINK("https://www.lazada.vn/products/bo-binh-nuoc-dep-hoa-tiet-ve-tay-mau-pastel-xinh-xan-dung-tich-1500-ml-gom-su-bat-trang-i2898469431.html", "https://www.lazada.vn/products/bo-binh-nuoc-dep-hoa-tiet-ve-tay-mau-pastel-xinh-xan-dung-tich-1500-ml-gom-su-bat-trang-i2898469431.html")</f>
        <v>https://www.lazada.vn/products/bo-binh-nuoc-dep-hoa-tiet-ve-tay-mau-pastel-xinh-xan-dung-tich-1500-ml-gom-su-bat-trang-i2898469431.html</v>
      </c>
      <c r="C6199" s="10" t="s">
        <v>6199</v>
      </c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>
      <c r="A6200" s="8">
        <v>11054.0</v>
      </c>
      <c r="B6200" s="9" t="str">
        <f>HYPERLINK("https://www.lazada.vn/products/classic-beer-leather-espresso-i2897834725.html", "https://www.lazada.vn/products/classic-beer-leather-espresso-i2897834725.html")</f>
        <v>https://www.lazada.vn/products/classic-beer-leather-espresso-i2897834725.html</v>
      </c>
      <c r="C6200" s="10" t="s">
        <v>6200</v>
      </c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>
      <c r="A6201" s="8">
        <v>11055.0</v>
      </c>
      <c r="B6201" s="9" t="str">
        <f>HYPERLINK("https://www.lazada.vn/products/bia-su-schorsch-bock-13-nhap-khau-duc-1-thung-6-chai-500ml-i2896869522.html", "https://www.lazada.vn/products/bia-su-schorsch-bock-13-nhap-khau-duc-1-thung-6-chai-500ml-i2896869522.html")</f>
        <v>https://www.lazada.vn/products/bia-su-schorsch-bock-13-nhap-khau-duc-1-thung-6-chai-500ml-i2896869522.html</v>
      </c>
      <c r="C6201" s="10" t="s">
        <v>6201</v>
      </c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>
      <c r="A6202" s="8">
        <v>11056.0</v>
      </c>
      <c r="B6202" s="9" t="str">
        <f>HYPERLINK("https://www.lazada.vn/products/bia-su-schorsch-bock-13-nhap-khau-duc-1-chai-500ml-i2896796802.html", "https://www.lazada.vn/products/bia-su-schorsch-bock-13-nhap-khau-duc-1-chai-500ml-i2896796802.html")</f>
        <v>https://www.lazada.vn/products/bia-su-schorsch-bock-13-nhap-khau-duc-1-chai-500ml-i2896796802.html</v>
      </c>
      <c r="C6202" s="10" t="s">
        <v>6202</v>
      </c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>
      <c r="A6203" s="8">
        <v>11057.0</v>
      </c>
      <c r="B6203" s="9" t="str">
        <f>HYPERLINK("https://www.lazada.vn/products/bia-su-schorsch-bock-13-nhap-khau-duc-1-thung-6-chai-500ml-i2896783400.html", "https://www.lazada.vn/products/bia-su-schorsch-bock-13-nhap-khau-duc-1-thung-6-chai-500ml-i2896783400.html")</f>
        <v>https://www.lazada.vn/products/bia-su-schorsch-bock-13-nhap-khau-duc-1-thung-6-chai-500ml-i2896783400.html</v>
      </c>
      <c r="C6203" s="10" t="s">
        <v>6203</v>
      </c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>
      <c r="A6204" s="8">
        <v>11058.0</v>
      </c>
      <c r="B6204" s="9" t="str">
        <f>HYPERLINK("https://www.lazada.vn/products/chai-nep-cai-hoa-vang-co-truyen-lang-van-500ml-chai-lun-loai-dac-biet-i2495422962.html", "https://www.lazada.vn/products/chai-nep-cai-hoa-vang-co-truyen-lang-van-500ml-chai-lun-loai-dac-biet-i2495422962.html")</f>
        <v>https://www.lazada.vn/products/chai-nep-cai-hoa-vang-co-truyen-lang-van-500ml-chai-lun-loai-dac-biet-i2495422962.html</v>
      </c>
      <c r="C6204" s="10" t="s">
        <v>6204</v>
      </c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>
      <c r="A6205" s="8">
        <v>11059.0</v>
      </c>
      <c r="B6205" s="9" t="str">
        <f>HYPERLINK("https://www.lazada.vn/products/fruit-me-up-nuoc-ep-thach-dua-hau-tui-90g-fruit-me-up-watermelon-jelly-juice-90g-i2338088959.html", "https://www.lazada.vn/products/fruit-me-up-nuoc-ep-thach-dua-hau-tui-90g-fruit-me-up-watermelon-jelly-juice-90g-i2338088959.html")</f>
        <v>https://www.lazada.vn/products/fruit-me-up-nuoc-ep-thach-dua-hau-tui-90g-fruit-me-up-watermelon-jelly-juice-90g-i2338088959.html</v>
      </c>
      <c r="C6205" s="10" t="s">
        <v>6205</v>
      </c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>
      <c r="A6206" s="8">
        <v>11060.0</v>
      </c>
      <c r="B6206" s="9" t="str">
        <f>HYPERLINK("https://www.lazada.vn/products/coca-cola-plus-320ml-i2335494132.html", "https://www.lazada.vn/products/coca-cola-plus-320ml-i2335494132.html")</f>
        <v>https://www.lazada.vn/products/coca-cola-plus-320ml-i2335494132.html</v>
      </c>
      <c r="C6206" s="10" t="s">
        <v>6206</v>
      </c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>
      <c r="A6207" s="8">
        <v>11061.0</v>
      </c>
      <c r="B6207" s="9" t="str">
        <f>HYPERLINK("https://www.lazada.vn/products/cacao-nong-nestle-hot-cocoa-mix-rich-milk-chocolate-flavor-nestle-6-goi-x-202gr-i1630044890.html", "https://www.lazada.vn/products/cacao-nong-nestle-hot-cocoa-mix-rich-milk-chocolate-flavor-nestle-6-goi-x-202gr-i1630044890.html")</f>
        <v>https://www.lazada.vn/products/cacao-nong-nestle-hot-cocoa-mix-rich-milk-chocolate-flavor-nestle-6-goi-x-202gr-i1630044890.html</v>
      </c>
      <c r="C6207" s="10" t="s">
        <v>6207</v>
      </c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>
      <c r="A6208" s="8">
        <v>11062.0</v>
      </c>
      <c r="B6208" s="9" t="str">
        <f>HYPERLINK("https://www.lazada.vn/products/loc-6-lon-nuoc-ngot-pepsi-320ml-i2370817089.html", "https://www.lazada.vn/products/loc-6-lon-nuoc-ngot-pepsi-320ml-i2370817089.html")</f>
        <v>https://www.lazada.vn/products/loc-6-lon-nuoc-ngot-pepsi-320ml-i2370817089.html</v>
      </c>
      <c r="C6208" s="10" t="s">
        <v>6208</v>
      </c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>
      <c r="A6209" s="8">
        <v>11063.0</v>
      </c>
      <c r="B6209" s="9" t="str">
        <f>HYPERLINK("https://www.lazada.vn/products/combo-3-hop-ca-phe-xanh-cafe-xanh-khang-mo-giam-can-hieu-qua-i3030071038.html", "https://www.lazada.vn/products/combo-3-hop-ca-phe-xanh-cafe-xanh-khang-mo-giam-can-hieu-qua-i3030071038.html")</f>
        <v>https://www.lazada.vn/products/combo-3-hop-ca-phe-xanh-cafe-xanh-khang-mo-giam-can-hieu-qua-i3030071038.html</v>
      </c>
      <c r="C6209" s="10" t="s">
        <v>6209</v>
      </c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>
      <c r="A6210" s="8">
        <v>11064.0</v>
      </c>
      <c r="B6210" s="9" t="str">
        <f>HYPERLINK("https://www.lazada.vn/products/date-725-chocolate-hersheys-nugget-asortment-145-vien-4-vi-hang-my-i2907343930.html", "https://www.lazada.vn/products/date-725-chocolate-hersheys-nugget-asortment-145-vien-4-vi-hang-my-i2907343930.html")</f>
        <v>https://www.lazada.vn/products/date-725-chocolate-hersheys-nugget-asortment-145-vien-4-vi-hang-my-i2907343930.html</v>
      </c>
      <c r="C6210" s="10" t="s">
        <v>6210</v>
      </c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>
      <c r="A6211" s="8">
        <v>11065.0</v>
      </c>
      <c r="B6211" s="9" t="str">
        <f>HYPERLINK("https://www.lazada.vn/products/snack-dried-fruit-mix-home-strawberry-apple-mango-dried-fruit-daily-freezing-dried-fruit-mix-sweet-snacks-health-food-i2923889203.html", "https://www.lazada.vn/products/snack-dried-fruit-mix-home-strawberry-apple-mango-dried-fruit-daily-freezing-dried-fruit-mix-sweet-snacks-health-food-i2923889203.html")</f>
        <v>https://www.lazada.vn/products/snack-dried-fruit-mix-home-strawberry-apple-mango-dried-fruit-daily-freezing-dried-fruit-mix-sweet-snacks-health-food-i2923889203.html</v>
      </c>
      <c r="C6211" s="10" t="s">
        <v>6211</v>
      </c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>
      <c r="A6212" s="8">
        <v>11066.0</v>
      </c>
      <c r="B6212" s="9" t="str">
        <f>HYPERLINK("https://www.lazada.vn/products/bia-larue-xanh-330ml-sieu-thi-tops-market-i2303661723.html", "https://www.lazada.vn/products/bia-larue-xanh-330ml-sieu-thi-tops-market-i2303661723.html")</f>
        <v>https://www.lazada.vn/products/bia-larue-xanh-330ml-sieu-thi-tops-market-i2303661723.html</v>
      </c>
      <c r="C6212" s="10" t="s">
        <v>6212</v>
      </c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>
      <c r="A6213" s="8">
        <v>11067.0</v>
      </c>
      <c r="B6213" s="9" t="str">
        <f>HYPERLINK("https://www.lazada.vn/products/thach-orihiro-vi-nho-i2337734213.html", "https://www.lazada.vn/products/thach-orihiro-vi-nho-i2337734213.html")</f>
        <v>https://www.lazada.vn/products/thach-orihiro-vi-nho-i2337734213.html</v>
      </c>
      <c r="C6213" s="10" t="s">
        <v>6213</v>
      </c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>
      <c r="A6214" s="8">
        <v>11068.0</v>
      </c>
      <c r="B6214" s="9" t="str">
        <f>HYPERLINK("https://www.lazada.vn/products/thach-dua-mien-bac-thom-ngon-zon-zai-1-bich-20-goi-i2336818911.html", "https://www.lazada.vn/products/thach-dua-mien-bac-thom-ngon-zon-zai-1-bich-20-goi-i2336818911.html")</f>
        <v>https://www.lazada.vn/products/thach-dua-mien-bac-thom-ngon-zon-zai-1-bich-20-goi-i2336818911.html</v>
      </c>
      <c r="C6214" s="10" t="s">
        <v>6214</v>
      </c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>
      <c r="A6215" s="8">
        <v>11069.0</v>
      </c>
      <c r="B6215" s="9" t="str">
        <f>HYPERLINK("https://www.lazada.vn/products/combo-5-banh-sua-chua-hosh-ong-gia-dai-loan-5-vi-b05-chuyen-si-tpnk-i2635537801.html", "https://www.lazada.vn/products/combo-5-banh-sua-chua-hosh-ong-gia-dai-loan-5-vi-b05-chuyen-si-tpnk-i2635537801.html")</f>
        <v>https://www.lazada.vn/products/combo-5-banh-sua-chua-hosh-ong-gia-dai-loan-5-vi-b05-chuyen-si-tpnk-i2635537801.html</v>
      </c>
      <c r="C6215" s="10" t="s">
        <v>6215</v>
      </c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>
      <c r="A6216" s="8">
        <v>11070.0</v>
      </c>
      <c r="B6216" s="9" t="str">
        <f>HYPERLINK("https://www.lazada.vn/products/hcmbanh-cookie-yen-mach-thuong-hieu-gach-do-170g-an-kieng-thom-ngon-khong-duong-an-vat-giam-can-sieu-ngon-dav006-i1394109856.html", "https://www.lazada.vn/products/hcmbanh-cookie-yen-mach-thuong-hieu-gach-do-170g-an-kieng-thom-ngon-khong-duong-an-vat-giam-can-sieu-ngon-dav006-i1394109856.html")</f>
        <v>https://www.lazada.vn/products/hcmbanh-cookie-yen-mach-thuong-hieu-gach-do-170g-an-kieng-thom-ngon-khong-duong-an-vat-giam-can-sieu-ngon-dav006-i1394109856.html</v>
      </c>
      <c r="C6216" s="10" t="s">
        <v>6216</v>
      </c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>
      <c r="A6217" s="8">
        <v>11071.0</v>
      </c>
      <c r="B6217" s="9" t="str">
        <f>HYPERLINK("https://www.lazada.vn/products/bot-suong-sao-den-black-grass-jelly-thuan-phat-50g-do-an-vat-bot-suong-sao-trang-i2326365391.html", "https://www.lazada.vn/products/bot-suong-sao-den-black-grass-jelly-thuan-phat-50g-do-an-vat-bot-suong-sao-trang-i2326365391.html")</f>
        <v>https://www.lazada.vn/products/bot-suong-sao-den-black-grass-jelly-thuan-phat-50g-do-an-vat-bot-suong-sao-trang-i2326365391.html</v>
      </c>
      <c r="C6217" s="10" t="s">
        <v>6217</v>
      </c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>
      <c r="A6218" s="8">
        <v>11072.0</v>
      </c>
      <c r="B6218" s="9" t="str">
        <f>HYPERLINK("https://www.lazada.vn/products/combo-2-goi-bot-suong-sao-den-suong-sao-trang-blackwhite-grass-jelly-thuan-phat-50g-do-an-vat-i2326352439.html", "https://www.lazada.vn/products/combo-2-goi-bot-suong-sao-den-suong-sao-trang-blackwhite-grass-jelly-thuan-phat-50g-do-an-vat-i2326352439.html")</f>
        <v>https://www.lazada.vn/products/combo-2-goi-bot-suong-sao-den-suong-sao-trang-blackwhite-grass-jelly-thuan-phat-50g-do-an-vat-i2326352439.html</v>
      </c>
      <c r="C6218" s="10" t="s">
        <v>6218</v>
      </c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>
      <c r="A6219" s="8">
        <v>11073.0</v>
      </c>
      <c r="B6219" s="9" t="str">
        <f>HYPERLINK("https://www.lazada.vn/products/bot-suong-sao-den-white-grass-jelly-thuan-phat-combo-5-goi-50g-i2326326315.html", "https://www.lazada.vn/products/bot-suong-sao-den-white-grass-jelly-thuan-phat-combo-5-goi-50g-i2326326315.html")</f>
        <v>https://www.lazada.vn/products/bot-suong-sao-den-white-grass-jelly-thuan-phat-combo-5-goi-50g-i2326326315.html</v>
      </c>
      <c r="C6219" s="10" t="s">
        <v>6219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>
      <c r="A6220" s="8">
        <v>11074.0</v>
      </c>
      <c r="B6220" s="9" t="str">
        <f>HYPERLINK("https://www.lazada.vn/products/combo-2-goi-bot-suong-sao-den-suong-sao-trang-black-white-grass-jelly-thuan-phat-50g-do-an-vat-i2326176880.html", "https://www.lazada.vn/products/combo-2-goi-bot-suong-sao-den-suong-sao-trang-black-white-grass-jelly-thuan-phat-50g-do-an-vat-i2326176880.html")</f>
        <v>https://www.lazada.vn/products/combo-2-goi-bot-suong-sao-den-suong-sao-trang-black-white-grass-jelly-thuan-phat-50g-do-an-vat-i2326176880.html</v>
      </c>
      <c r="C6220" s="10" t="s">
        <v>6220</v>
      </c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>
      <c r="A6221" s="8">
        <v>11075.0</v>
      </c>
      <c r="B6221" s="9" t="str">
        <f>HYPERLINK("https://www.lazada.vn/products/thach-trai-cay-zai-zai-duc-hanh-mix-vi-i2320490906.html", "https://www.lazada.vn/products/thach-trai-cay-zai-zai-duc-hanh-mix-vi-i2320490906.html")</f>
        <v>https://www.lazada.vn/products/thach-trai-cay-zai-zai-duc-hanh-mix-vi-i2320490906.html</v>
      </c>
      <c r="C6221" s="10" t="s">
        <v>6221</v>
      </c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>
      <c r="A6222" s="8">
        <v>11076.0</v>
      </c>
      <c r="B6222" s="9" t="str">
        <f>HYPERLINK("https://www.lazada.vn/products/thach-giam-can-chanh-gung-mq-healthy-diet-skin-chinh-hang-mq-skin-10goi-i2316549372.html", "https://www.lazada.vn/products/thach-giam-can-chanh-gung-mq-healthy-diet-skin-chinh-hang-mq-skin-10goi-i2316549372.html")</f>
        <v>https://www.lazada.vn/products/thach-giam-can-chanh-gung-mq-healthy-diet-skin-chinh-hang-mq-skin-10goi-i2316549372.html</v>
      </c>
      <c r="C6222" s="10" t="s">
        <v>6222</v>
      </c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>
      <c r="A6223" s="8">
        <v>11077.0</v>
      </c>
      <c r="B6223" s="9" t="str">
        <f>HYPERLINK("https://www.lazada.vn/products/thach-trai-cay-orihiro-nhat-ban-1-goi-mix-2-vi-i2310654732.html", "https://www.lazada.vn/products/thach-trai-cay-orihiro-nhat-ban-1-goi-mix-2-vi-i2310654732.html")</f>
        <v>https://www.lazada.vn/products/thach-trai-cay-orihiro-nhat-ban-1-goi-mix-2-vi-i2310654732.html</v>
      </c>
      <c r="C6223" s="10" t="s">
        <v>6223</v>
      </c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>
      <c r="A6224" s="8">
        <v>11078.0</v>
      </c>
      <c r="B6224" s="9" t="str">
        <f>HYPERLINK("https://www.lazada.vn/products/hop-thach-trai-cay-xoai-dao-litchi-jelly-400g-dai-loan-i2293846146.html", "https://www.lazada.vn/products/hop-thach-trai-cay-xoai-dao-litchi-jelly-400g-dai-loan-i2293846146.html")</f>
        <v>https://www.lazada.vn/products/hop-thach-trai-cay-xoai-dao-litchi-jelly-400g-dai-loan-i2293846146.html</v>
      </c>
      <c r="C6224" s="10" t="s">
        <v>6224</v>
      </c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>
      <c r="A6225" s="8">
        <v>11079.0</v>
      </c>
      <c r="B6225" s="9" t="str">
        <f>HYPERLINK("https://www.lazada.vn/products/orihiro-thach-konjac-nhieu-vi-nhat-i2293806428.html", "https://www.lazada.vn/products/orihiro-thach-konjac-nhieu-vi-nhat-i2293806428.html")</f>
        <v>https://www.lazada.vn/products/orihiro-thach-konjac-nhieu-vi-nhat-i2293806428.html</v>
      </c>
      <c r="C6225" s="10" t="s">
        <v>6225</v>
      </c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>
      <c r="A6226" s="8">
        <v>11080.0</v>
      </c>
      <c r="B6226" s="9" t="str">
        <f>HYPERLINK("https://www.lazada.vn/products/undurraga-cabernet-sauvignon-vang-do-chile-i2603977494.html", "https://www.lazada.vn/products/undurraga-cabernet-sauvignon-vang-do-chile-i2603977494.html")</f>
        <v>https://www.lazada.vn/products/undurraga-cabernet-sauvignon-vang-do-chile-i2603977494.html</v>
      </c>
      <c r="C6226" s="10" t="s">
        <v>6226</v>
      </c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>
      <c r="A6227" s="8">
        <v>11081.0</v>
      </c>
      <c r="B6227" s="9" t="str">
        <f>HYPERLINK("https://www.lazada.vn/products/thach-zonzai-vuong-400gr-i2275781337.html", "https://www.lazada.vn/products/thach-zonzai-vuong-400gr-i2275781337.html")</f>
        <v>https://www.lazada.vn/products/thach-zonzai-vuong-400gr-i2275781337.html</v>
      </c>
      <c r="C6227" s="10" t="s">
        <v>6227</v>
      </c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>
      <c r="A6228" s="8">
        <v>11082.0</v>
      </c>
      <c r="B6228" s="9" t="str">
        <f>HYPERLINK("https://www.lazada.vn/products/500g-thach-zai-mix-du-vi-ngon-hon-khi-an-lanh-cong-ty-duc-hanh-thanh-ngan-muasam-nhanh-i2259787100.html", "https://www.lazada.vn/products/500g-thach-zai-mix-du-vi-ngon-hon-khi-an-lanh-cong-ty-duc-hanh-thanh-ngan-muasam-nhanh-i2259787100.html")</f>
        <v>https://www.lazada.vn/products/500g-thach-zai-mix-du-vi-ngon-hon-khi-an-lanh-cong-ty-duc-hanh-thanh-ngan-muasam-nhanh-i2259787100.html</v>
      </c>
      <c r="C6228" s="10" t="s">
        <v>6228</v>
      </c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>
      <c r="A6229" s="8">
        <v>11083.0</v>
      </c>
      <c r="B6229" s="9" t="str">
        <f>HYPERLINK("https://www.lazada.vn/products/hcm-500g-thach-zai-mix-du-vi-ngon-hon-khi-an-lanh-cong-ty-duc-hanh-muasam-nhanh-i2259687489.html", "https://www.lazada.vn/products/hcm-500g-thach-zai-mix-du-vi-ngon-hon-khi-an-lanh-cong-ty-duc-hanh-muasam-nhanh-i2259687489.html")</f>
        <v>https://www.lazada.vn/products/hcm-500g-thach-zai-mix-du-vi-ngon-hon-khi-an-lanh-cong-ty-duc-hanh-muasam-nhanh-i2259687489.html</v>
      </c>
      <c r="C6229" s="10" t="s">
        <v>6229</v>
      </c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>
      <c r="A6230" s="8">
        <v>11084.0</v>
      </c>
      <c r="B6230" s="9" t="str">
        <f>HYPERLINK("https://www.lazada.vn/products/banh-trang-tron-toi-bo-cay-hop-350gr-i3021997003.html", "https://www.lazada.vn/products/banh-trang-tron-toi-bo-cay-hop-350gr-i3021997003.html")</f>
        <v>https://www.lazada.vn/products/banh-trang-tron-toi-bo-cay-hop-350gr-i3021997003.html</v>
      </c>
      <c r="C6230" s="10" t="s">
        <v>6230</v>
      </c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>
      <c r="A6231" s="8">
        <v>11085.0</v>
      </c>
      <c r="B6231" s="9" t="str">
        <f>HYPERLINK("https://www.lazada.vn/products/thach-trai-cay-dai-loan-royal-family-160g-thach-hoa-qua-deo-ngon-dinh-duong-an-gia-sweets-snacks-i2259274171.html", "https://www.lazada.vn/products/thach-trai-cay-dai-loan-royal-family-160g-thach-hoa-qua-deo-ngon-dinh-duong-an-gia-sweets-snacks-i2259274171.html")</f>
        <v>https://www.lazada.vn/products/thach-trai-cay-dai-loan-royal-family-160g-thach-hoa-qua-deo-ngon-dinh-duong-an-gia-sweets-snacks-i2259274171.html</v>
      </c>
      <c r="C6231" s="10" t="s">
        <v>6231</v>
      </c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>
      <c r="A6232" s="8">
        <v>11086.0</v>
      </c>
      <c r="B6232" s="9" t="str">
        <f>HYPERLINK("https://www.lazada.vn/products/combo-10-tui-thach-pudding-cherish-405g-vi-xoai-vi-thom-vi-mang-cau-vi-tong-hop-lai-phu-i2239892899.html", "https://www.lazada.vn/products/combo-10-tui-thach-pudding-cherish-405g-vi-xoai-vi-thom-vi-mang-cau-vi-tong-hop-lai-phu-i2239892899.html")</f>
        <v>https://www.lazada.vn/products/combo-10-tui-thach-pudding-cherish-405g-vi-xoai-vi-thom-vi-mang-cau-vi-tong-hop-lai-phu-i2239892899.html</v>
      </c>
      <c r="C6232" s="10" t="s">
        <v>6232</v>
      </c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>
      <c r="A6233" s="8">
        <v>11087.0</v>
      </c>
      <c r="B6233" s="9" t="str">
        <f>HYPERLINK("https://www.lazada.vn/products/thach-trai-cay-alibaba-vi-ngot-thom-mui-trai-cay-i2238029424.html", "https://www.lazada.vn/products/thach-trai-cay-alibaba-vi-ngot-thom-mui-trai-cay-i2238029424.html")</f>
        <v>https://www.lazada.vn/products/thach-trai-cay-alibaba-vi-ngot-thom-mui-trai-cay-i2238029424.html</v>
      </c>
      <c r="C6233" s="10" t="s">
        <v>6233</v>
      </c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>
      <c r="A6234" s="8">
        <v>11088.0</v>
      </c>
      <c r="B6234" s="9" t="str">
        <f>HYPERLINK("https://www.lazada.vn/products/thach-rau-cau-an-lien-drq-vi-nho-voi-22-nuoc-trai-cay-nguyen-chat-265g-dr-q-i2234450972.html", "https://www.lazada.vn/products/thach-rau-cau-an-lien-drq-vi-nho-voi-22-nuoc-trai-cay-nguyen-chat-265g-dr-q-i2234450972.html")</f>
        <v>https://www.lazada.vn/products/thach-rau-cau-an-lien-drq-vi-nho-voi-22-nuoc-trai-cay-nguyen-chat-265g-dr-q-i2234450972.html</v>
      </c>
      <c r="C6234" s="10" t="s">
        <v>6234</v>
      </c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>
      <c r="A6235" s="8">
        <v>11089.0</v>
      </c>
      <c r="B6235" s="9" t="str">
        <f>HYPERLINK("https://www.lazada.vn/products/thach-hoa-qua-vi-thom-mat-i2229271305.html", "https://www.lazada.vn/products/thach-hoa-qua-vi-thom-mat-i2229271305.html")</f>
        <v>https://www.lazada.vn/products/thach-hoa-qua-vi-thom-mat-i2229271305.html</v>
      </c>
      <c r="C6235" s="10" t="s">
        <v>6235</v>
      </c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>
      <c r="A6236" s="8">
        <v>11090.0</v>
      </c>
      <c r="B6236" s="9" t="str">
        <f>HYPERLINK("https://www.lazada.vn/products/bot-quy-linh-cao-120gr-12-goi-x-10gr-thach-suong-sao-thanh-nhiet-i2224281120.html", "https://www.lazada.vn/products/bot-quy-linh-cao-120gr-12-goi-x-10gr-thach-suong-sao-thanh-nhiet-i2224281120.html")</f>
        <v>https://www.lazada.vn/products/bot-quy-linh-cao-120gr-12-goi-x-10gr-thach-suong-sao-thanh-nhiet-i2224281120.html</v>
      </c>
      <c r="C6236" s="10" t="s">
        <v>6236</v>
      </c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>
      <c r="A6237" s="8">
        <v>11091.0</v>
      </c>
      <c r="B6237" s="9" t="str">
        <f>HYPERLINK("https://www.lazada.vn/products/thach-rong-bien-soi-gion-ngon-kaneryo-2mm-500g-tron-salad-an-kem-sushi-sashimi-i2211741902.html", "https://www.lazada.vn/products/thach-rong-bien-soi-gion-ngon-kaneryo-2mm-500g-tron-salad-an-kem-sushi-sashimi-i2211741902.html")</f>
        <v>https://www.lazada.vn/products/thach-rong-bien-soi-gion-ngon-kaneryo-2mm-500g-tron-salad-an-kem-sushi-sashimi-i2211741902.html</v>
      </c>
      <c r="C6237" s="10" t="s">
        <v>6237</v>
      </c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>
      <c r="A6238" s="8">
        <v>11092.0</v>
      </c>
      <c r="B6238" s="9" t="str">
        <f>HYPERLINK("https://www.lazada.vn/products/thach-trai-cay-dau-do-nhat-ban-mitsumame-hop-130g-i2204565231.html", "https://www.lazada.vn/products/thach-trai-cay-dau-do-nhat-ban-mitsumame-hop-130g-i2204565231.html")</f>
        <v>https://www.lazada.vn/products/thach-trai-cay-dau-do-nhat-ban-mitsumame-hop-130g-i2204565231.html</v>
      </c>
      <c r="C6238" s="10" t="s">
        <v>6238</v>
      </c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>
      <c r="A6239" s="8">
        <v>11093.0</v>
      </c>
      <c r="B6239" s="9" t="str">
        <f>HYPERLINK("https://www.lazada.vn/products/thach-dua-luoi-hokkaido-nhat-ban-hop-6-hu-i2202953788.html", "https://www.lazada.vn/products/thach-dua-luoi-hokkaido-nhat-ban-hop-6-hu-i2202953788.html")</f>
        <v>https://www.lazada.vn/products/thach-dua-luoi-hokkaido-nhat-ban-hop-6-hu-i2202953788.html</v>
      </c>
      <c r="C6239" s="10" t="s">
        <v>6239</v>
      </c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>
      <c r="A6240" s="8">
        <v>11094.0</v>
      </c>
      <c r="B6240" s="9" t="str">
        <f>HYPERLINK("https://www.lazada.vn/products/thach-dua-vi-dao-lotus-food-bich-15kg-i2200013910.html", "https://www.lazada.vn/products/thach-dua-vi-dao-lotus-food-bich-15kg-i2200013910.html")</f>
        <v>https://www.lazada.vn/products/thach-dua-vi-dao-lotus-food-bich-15kg-i2200013910.html</v>
      </c>
      <c r="C6240" s="10" t="s">
        <v>6240</v>
      </c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>
      <c r="A6241" s="8">
        <v>11095.0</v>
      </c>
      <c r="B6241" s="9" t="str">
        <f>HYPERLINK("https://www.lazada.vn/products/thach-hung-chuong-22kg-du-vi-i2193831054.html", "https://www.lazada.vn/products/thach-hung-chuong-22kg-du-vi-i2193831054.html")</f>
        <v>https://www.lazada.vn/products/thach-hung-chuong-22kg-du-vi-i2193831054.html</v>
      </c>
      <c r="C6241" s="10" t="s">
        <v>6241</v>
      </c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>
      <c r="A6242" s="8">
        <v>11096.0</v>
      </c>
      <c r="B6242" s="9" t="str">
        <f>HYPERLINK("https://www.lazada.vn/products/khay-24-lon-nuoc-cot-dua-mom-cooks-400mllon-i2079969970.html", "https://www.lazada.vn/products/khay-24-lon-nuoc-cot-dua-mom-cooks-400mllon-i2079969970.html")</f>
        <v>https://www.lazada.vn/products/khay-24-lon-nuoc-cot-dua-mom-cooks-400mllon-i2079969970.html</v>
      </c>
      <c r="C6242" s="10" t="s">
        <v>6242</v>
      </c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>
      <c r="A6243" s="8">
        <v>11097.0</v>
      </c>
      <c r="B6243" s="9" t="str">
        <f>HYPERLINK("https://www.lazada.vn/products/thung-1kg-banh-sua-chua-hosh-ong-gia-dai-loan-5-vi-b05-chuyen-si-tpnk-i2635450898.html", "https://www.lazada.vn/products/thung-1kg-banh-sua-chua-hosh-ong-gia-dai-loan-5-vi-b05-chuyen-si-tpnk-i2635450898.html")</f>
        <v>https://www.lazada.vn/products/thung-1kg-banh-sua-chua-hosh-ong-gia-dai-loan-5-vi-b05-chuyen-si-tpnk-i2635450898.html</v>
      </c>
      <c r="C6243" s="10" t="s">
        <v>6243</v>
      </c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>
      <c r="A6244" s="8">
        <v>11098.0</v>
      </c>
      <c r="B6244" s="9" t="str">
        <f>HYPERLINK("https://www.lazada.vn/products/thach-douxian-hop-25kg-du-vi-i2193767386.html", "https://www.lazada.vn/products/thach-douxian-hop-25kg-du-vi-i2193767386.html")</f>
        <v>https://www.lazada.vn/products/thach-douxian-hop-25kg-du-vi-i2193767386.html</v>
      </c>
      <c r="C6244" s="10" t="s">
        <v>6244</v>
      </c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>
      <c r="A6245" s="8">
        <v>11099.0</v>
      </c>
      <c r="B6245" s="9" t="str">
        <f>HYPERLINK("https://www.lazada.vn/products/hoanh-thanh-sui-cao-500g-i2066130407.html", "https://www.lazada.vn/products/hoanh-thanh-sui-cao-500g-i2066130407.html")</f>
        <v>https://www.lazada.vn/products/hoanh-thanh-sui-cao-500g-i2066130407.html</v>
      </c>
      <c r="C6245" s="10" t="s">
        <v>6245</v>
      </c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>
      <c r="A6246" s="8">
        <v>11100.0</v>
      </c>
      <c r="B6246" s="9" t="str">
        <f>HYPERLINK("https://www.lazada.vn/products/thung-1kg-banh-sua-chua-hosh-ong-gia-dai-loan-vi-truyen-thong-b05-chuyen-si-tpnk-i2635446909.html", "https://www.lazada.vn/products/thung-1kg-banh-sua-chua-hosh-ong-gia-dai-loan-vi-truyen-thong-b05-chuyen-si-tpnk-i2635446909.html")</f>
        <v>https://www.lazada.vn/products/thung-1kg-banh-sua-chua-hosh-ong-gia-dai-loan-vi-truyen-thong-b05-chuyen-si-tpnk-i2635446909.html</v>
      </c>
      <c r="C6246" s="10" t="s">
        <v>6246</v>
      </c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>
      <c r="A6247" s="8">
        <v>11101.0</v>
      </c>
      <c r="B6247" s="9" t="str">
        <f>HYPERLINK("https://www.lazada.vn/products/thach-zon-zai-i2187470546.html", "https://www.lazada.vn/products/thach-zon-zai-i2187470546.html")</f>
        <v>https://www.lazada.vn/products/thach-zon-zai-i2187470546.html</v>
      </c>
      <c r="C6247" s="10" t="s">
        <v>6247</v>
      </c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>
      <c r="A6248" s="8">
        <v>11102.0</v>
      </c>
      <c r="B6248" s="9" t="str">
        <f>HYPERLINK("https://www.lazada.vn/products/nhuy-hoa-nghe-tay-saffron-bahraman-ntfood-hop-1gr-nhat-tin-food-i2017694066.html", "https://www.lazada.vn/products/nhuy-hoa-nghe-tay-saffron-bahraman-ntfood-hop-1gr-nhat-tin-food-i2017694066.html")</f>
        <v>https://www.lazada.vn/products/nhuy-hoa-nghe-tay-saffron-bahraman-ntfood-hop-1gr-nhat-tin-food-i2017694066.html</v>
      </c>
      <c r="C6248" s="10" t="s">
        <v>6248</v>
      </c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>
      <c r="A6249" s="8">
        <v>11103.0</v>
      </c>
      <c r="B6249" s="9" t="str">
        <f>HYPERLINK("https://www.lazada.vn/products/combo-4-banh-sua-chua-hosh-ong-gia-dai-loan-vi-truyen-thong-b05-tknk-beegin-i2635399925.html", "https://www.lazada.vn/products/combo-4-banh-sua-chua-hosh-ong-gia-dai-loan-vi-truyen-thong-b05-tknk-beegin-i2635399925.html")</f>
        <v>https://www.lazada.vn/products/combo-4-banh-sua-chua-hosh-ong-gia-dai-loan-vi-truyen-thong-b05-tknk-beegin-i2635399925.html</v>
      </c>
      <c r="C6249" s="10" t="s">
        <v>6249</v>
      </c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>
      <c r="A6250" s="8">
        <v>11104.0</v>
      </c>
      <c r="B6250" s="9" t="str">
        <f>HYPERLINK("https://www.lazada.vn/products/combo-thach-zonzai-2-tui-2-vi-tra-sua-va-trai-cay-tui-400g-i2186869808.html", "https://www.lazada.vn/products/combo-thach-zonzai-2-tui-2-vi-tra-sua-va-trai-cay-tui-400g-i2186869808.html")</f>
        <v>https://www.lazada.vn/products/combo-thach-zonzai-2-tui-2-vi-tra-sua-va-trai-cay-tui-400g-i2186869808.html</v>
      </c>
      <c r="C6250" s="10" t="s">
        <v>6250</v>
      </c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>
      <c r="A6251" s="8">
        <v>11105.0</v>
      </c>
      <c r="B6251" s="9" t="str">
        <f>HYPERLINK("https://www.lazada.vn/products/gold-roasted-coconut-chips-500g-baking-ingredient-cake-decoration-coconut-shavings-dry-meat-snack-tropical-fruit-dry-i2923877095.html", "https://www.lazada.vn/products/gold-roasted-coconut-chips-500g-baking-ingredient-cake-decoration-coconut-shavings-dry-meat-snack-tropical-fruit-dry-i2923877095.html")</f>
        <v>https://www.lazada.vn/products/gold-roasted-coconut-chips-500g-baking-ingredient-cake-decoration-coconut-shavings-dry-meat-snack-tropical-fruit-dry-i2923877095.html</v>
      </c>
      <c r="C6251" s="10" t="s">
        <v>6251</v>
      </c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>
      <c r="A6252" s="8">
        <v>11106.0</v>
      </c>
      <c r="B6252" s="9" t="str">
        <f>HYPERLINK("https://www.lazada.vn/products/chao-mon-nuoc-cot-dua-hu-370gr-i1991190227.html", "https://www.lazada.vn/products/chao-mon-nuoc-cot-dua-hu-370gr-i1991190227.html")</f>
        <v>https://www.lazada.vn/products/chao-mon-nuoc-cot-dua-hu-370gr-i1991190227.html</v>
      </c>
      <c r="C6252" s="10" t="s">
        <v>6252</v>
      </c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>
      <c r="A6253" s="8">
        <v>11107.0</v>
      </c>
      <c r="B6253" s="9" t="str">
        <f>HYPERLINK("https://www.lazada.vn/products/blocs-sua-chua-kho-trai-cay-cho-tre-em-va-ba-bau-blocs-sua-chua-trai-cay-kho-bo-le-dau-tay-dua-dau-tay-qua-oc-cho-i2923794854.html", "https://www.lazada.vn/products/blocs-sua-chua-kho-trai-cay-cho-tre-em-va-ba-bau-blocs-sua-chua-trai-cay-kho-bo-le-dau-tay-dua-dau-tay-qua-oc-cho-i2923794854.html")</f>
        <v>https://www.lazada.vn/products/blocs-sua-chua-kho-trai-cay-cho-tre-em-va-ba-bau-blocs-sua-chua-trai-cay-kho-bo-le-dau-tay-dua-dau-tay-qua-oc-cho-i2923794854.html</v>
      </c>
      <c r="C6253" s="10" t="s">
        <v>6253</v>
      </c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>
      <c r="A6254" s="8">
        <v>11108.0</v>
      </c>
      <c r="B6254" s="9" t="str">
        <f>HYPERLINK("https://www.lazada.vn/products/banh-mi-cua-pho-mai-1-tui-5-banh-i2635147593.html", "https://www.lazada.vn/products/banh-mi-cua-pho-mai-1-tui-5-banh-i2635147593.html")</f>
        <v>https://www.lazada.vn/products/banh-mi-cua-pho-mai-1-tui-5-banh-i2635147593.html</v>
      </c>
      <c r="C6254" s="10" t="s">
        <v>6254</v>
      </c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>
      <c r="A6255" s="8">
        <v>11109.0</v>
      </c>
      <c r="B6255" s="9" t="str">
        <f>HYPERLINK("https://www.lazada.vn/products/thach-trai-cay-chewy-jele-108g-6-tui-nho-i2185098886.html", "https://www.lazada.vn/products/thach-trai-cay-chewy-jele-108g-6-tui-nho-i2185098886.html")</f>
        <v>https://www.lazada.vn/products/thach-trai-cay-chewy-jele-108g-6-tui-nho-i2185098886.html</v>
      </c>
      <c r="C6255" s="10" t="s">
        <v>6255</v>
      </c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>
      <c r="A6256" s="8">
        <v>11110.0</v>
      </c>
      <c r="B6256" s="9" t="str">
        <f>HYPERLINK("https://www.lazada.vn/products/snow-love-fruit-40g-dried-frozen-strawberries-snacks-dry-fruits-honeyed-fruit-preserves-do-an-nhe-kho-dong-lanh-huong-vi-trai-cay-i2923644490.html", "https://www.lazada.vn/products/snow-love-fruit-40g-dried-frozen-strawberries-snacks-dry-fruits-honeyed-fruit-preserves-do-an-nhe-kho-dong-lanh-huong-vi-trai-cay-i2923644490.html")</f>
        <v>https://www.lazada.vn/products/snow-love-fruit-40g-dried-frozen-strawberries-snacks-dry-fruits-honeyed-fruit-preserves-do-an-nhe-kho-dong-lanh-huong-vi-trai-cay-i2923644490.html</v>
      </c>
      <c r="C6256" s="10" t="s">
        <v>6256</v>
      </c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>
      <c r="A6257" s="8">
        <v>11111.0</v>
      </c>
      <c r="B6257" s="9" t="str">
        <f>HYPERLINK("https://www.lazada.vn/products/thung-2kg-banh-sua-chua-hosh-ong-gia-dai-loan-6-vi-b05-tknk-beegin-i2634849512.html", "https://www.lazada.vn/products/thung-2kg-banh-sua-chua-hosh-ong-gia-dai-loan-6-vi-b05-tknk-beegin-i2634849512.html")</f>
        <v>https://www.lazada.vn/products/thung-2kg-banh-sua-chua-hosh-ong-gia-dai-loan-6-vi-b05-tknk-beegin-i2634849512.html</v>
      </c>
      <c r="C6257" s="10" t="s">
        <v>6257</v>
      </c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>
      <c r="A6258" s="8">
        <v>11112.0</v>
      </c>
      <c r="B6258" s="9" t="str">
        <f>HYPERLINK("https://www.lazada.vn/products/kho-tom-tich-hop-500gr-kho-ca-mau-dac-san-ca-mau-kho-tom-tit-dac-san-kho-ca-mau-kho-mien-tay-dac-san-mien-tay-i1948887730.html", "https://www.lazada.vn/products/kho-tom-tich-hop-500gr-kho-ca-mau-dac-san-ca-mau-kho-tom-tit-dac-san-kho-ca-mau-kho-mien-tay-dac-san-mien-tay-i1948887730.html")</f>
        <v>https://www.lazada.vn/products/kho-tom-tich-hop-500gr-kho-ca-mau-dac-san-ca-mau-kho-tom-tit-dac-san-kho-ca-mau-kho-mien-tay-dac-san-mien-tay-i1948887730.html</v>
      </c>
      <c r="C6258" s="10" t="s">
        <v>6258</v>
      </c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>
      <c r="A6259" s="8">
        <v>11113.0</v>
      </c>
      <c r="B6259" s="9" t="str">
        <f>HYPERLINK("https://www.lazada.vn/products/combo-4-bich-che-dua-dam-hai-phong-giao-nhanh-i2180892285.html", "https://www.lazada.vn/products/combo-4-bich-che-dua-dam-hai-phong-giao-nhanh-i2180892285.html")</f>
        <v>https://www.lazada.vn/products/combo-4-bich-che-dua-dam-hai-phong-giao-nhanh-i2180892285.html</v>
      </c>
      <c r="C6259" s="10" t="s">
        <v>6259</v>
      </c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>
      <c r="A6260" s="8">
        <v>11114.0</v>
      </c>
      <c r="B6260" s="9" t="str">
        <f>HYPERLINK("https://www.lazada.vn/products/underraga-cabernet-sauvignon-vang-do-chile-i2603535809.html", "https://www.lazada.vn/products/underraga-cabernet-sauvignon-vang-do-chile-i2603535809.html")</f>
        <v>https://www.lazada.vn/products/underraga-cabernet-sauvignon-vang-do-chile-i2603535809.html</v>
      </c>
      <c r="C6260" s="10" t="s">
        <v>6260</v>
      </c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>
      <c r="A6261" s="8">
        <v>11115.0</v>
      </c>
      <c r="B6261" s="9" t="str">
        <f>HYPERLINK("https://www.lazada.vn/products/nuoc-tang-luc-bo-cung-redbull-150ml-noi-dia-thai-lan-chai-thuy-tinh-i2333919065.html", "https://www.lazada.vn/products/nuoc-tang-luc-bo-cung-redbull-150ml-noi-dia-thai-lan-chai-thuy-tinh-i2333919065.html")</f>
        <v>https://www.lazada.vn/products/nuoc-tang-luc-bo-cung-redbull-150ml-noi-dia-thai-lan-chai-thuy-tinh-i2333919065.html</v>
      </c>
      <c r="C6261" s="10" t="s">
        <v>6261</v>
      </c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>
      <c r="A6262" s="8">
        <v>11116.0</v>
      </c>
      <c r="B6262" s="9" t="str">
        <f>HYPERLINK("https://www.lazada.vn/products/1-hu-bot-cacao-nguyen-chat-starbuck-thom-dam-vi-chuan-costco-usa-i1600845556.html", "https://www.lazada.vn/products/1-hu-bot-cacao-nguyen-chat-starbuck-thom-dam-vi-chuan-costco-usa-i1600845556.html")</f>
        <v>https://www.lazada.vn/products/1-hu-bot-cacao-nguyen-chat-starbuck-thom-dam-vi-chuan-costco-usa-i1600845556.html</v>
      </c>
      <c r="C6262" s="10" t="s">
        <v>6262</v>
      </c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>
      <c r="A6263" s="8">
        <v>11117.0</v>
      </c>
      <c r="B6263" s="9" t="str">
        <f>HYPERLINK("https://www.lazada.vn/products/combo-5goi-banh-mi-tuoi-bo-sua-kido-55grgoi-i2633597438.html", "https://www.lazada.vn/products/combo-5goi-banh-mi-tuoi-bo-sua-kido-55grgoi-i2633597438.html")</f>
        <v>https://www.lazada.vn/products/combo-5goi-banh-mi-tuoi-bo-sua-kido-55grgoi-i2633597438.html</v>
      </c>
      <c r="C6263" s="10" t="s">
        <v>6263</v>
      </c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>
      <c r="A6264" s="8">
        <v>11118.0</v>
      </c>
      <c r="B6264" s="9" t="str">
        <f>HYPERLINK("https://www.lazada.vn/products/pepsi-nuoc-giai-khat-co-gas-320ml-date-tu-2025-i2366825351.html", "https://www.lazada.vn/products/pepsi-nuoc-giai-khat-co-gas-320ml-date-tu-2025-i2366825351.html")</f>
        <v>https://www.lazada.vn/products/pepsi-nuoc-giai-khat-co-gas-320ml-date-tu-2025-i2366825351.html</v>
      </c>
      <c r="C6264" s="10" t="s">
        <v>6264</v>
      </c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>
      <c r="A6265" s="8">
        <v>11119.0</v>
      </c>
      <c r="B6265" s="9" t="str">
        <f>HYPERLINK("https://www.lazada.vn/products/siro-huong-viet-quat-blueberry-syrup-davinci-750ml-i2495413160.html", "https://www.lazada.vn/products/siro-huong-viet-quat-blueberry-syrup-davinci-750ml-i2495413160.html")</f>
        <v>https://www.lazada.vn/products/siro-huong-viet-quat-blueberry-syrup-davinci-750ml-i2495413160.html</v>
      </c>
      <c r="C6265" s="10" t="s">
        <v>6265</v>
      </c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>
      <c r="A6266" s="8">
        <v>11120.0</v>
      </c>
      <c r="B6266" s="9" t="str">
        <f>HYPERLINK("https://www.lazada.vn/products/banh-cookies-socola-an-kieng-125g-ma-gl9415-i1390322899.html", "https://www.lazada.vn/products/banh-cookies-socola-an-kieng-125g-ma-gl9415-i1390322899.html")</f>
        <v>https://www.lazada.vn/products/banh-cookies-socola-an-kieng-125g-ma-gl9415-i1390322899.html</v>
      </c>
      <c r="C6266" s="10" t="s">
        <v>6266</v>
      </c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>
      <c r="A6267" s="8">
        <v>11121.0</v>
      </c>
      <c r="B6267" s="9" t="str">
        <f>HYPERLINK("https://www.lazada.vn/products/socola-dubai-nhan-soi-kataifi-hop-60gr-socola-dubai-hot-trend-an-vat-denfood-i2907293129.html", "https://www.lazada.vn/products/socola-dubai-nhan-soi-kataifi-hop-60gr-socola-dubai-hot-trend-an-vat-denfood-i2907293129.html")</f>
        <v>https://www.lazada.vn/products/socola-dubai-nhan-soi-kataifi-hop-60gr-socola-dubai-hot-trend-an-vat-denfood-i2907293129.html</v>
      </c>
      <c r="C6267" s="10" t="s">
        <v>6267</v>
      </c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>
      <c r="A6268" s="8">
        <v>11122.0</v>
      </c>
      <c r="B6268" s="9" t="str">
        <f>HYPERLINK("https://www.lazada.vn/products/date-12026-nescafe-3in1-cong-thuc-cai-tien-vi-rang-dam-bich-46-goi-46x16g-i3029650222.html", "https://www.lazada.vn/products/date-12026-nescafe-3in1-cong-thuc-cai-tien-vi-rang-dam-bich-46-goi-46x16g-i3029650222.html")</f>
        <v>https://www.lazada.vn/products/date-12026-nescafe-3in1-cong-thuc-cai-tien-vi-rang-dam-bich-46-goi-46x16g-i3029650222.html</v>
      </c>
      <c r="C6268" s="10" t="s">
        <v>6268</v>
      </c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>
      <c r="A6269" s="8">
        <v>11123.0</v>
      </c>
      <c r="B6269" s="9" t="str">
        <f>HYPERLINK("https://www.lazada.vn/products/thung-30-banh-bong-lan-ruoc-gau-phu-cha-bong-dai-loan-b80-beegin-food-store-i2676802153.html", "https://www.lazada.vn/products/thung-30-banh-bong-lan-ruoc-gau-phu-cha-bong-dai-loan-b80-beegin-food-store-i2676802153.html")</f>
        <v>https://www.lazada.vn/products/thung-30-banh-bong-lan-ruoc-gau-phu-cha-bong-dai-loan-b80-beegin-food-store-i2676802153.html</v>
      </c>
      <c r="C6269" s="10" t="s">
        <v>6269</v>
      </c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>
      <c r="A6270" s="8">
        <v>11124.0</v>
      </c>
      <c r="B6270" s="9" t="str">
        <f>HYPERLINK("https://www.lazada.vn/products/1-cay-4-banh-trung-thu-thap-cam-man-truyen-thong-it-trung-muoi-700g-banh-tan-tan-an-vat-food-cake-i2676648792.html", "https://www.lazada.vn/products/1-cay-4-banh-trung-thu-thap-cam-man-truyen-thong-it-trung-muoi-700g-banh-tan-tan-an-vat-food-cake-i2676648792.html")</f>
        <v>https://www.lazada.vn/products/1-cay-4-banh-trung-thu-thap-cam-man-truyen-thong-it-trung-muoi-700g-banh-tan-tan-an-vat-food-cake-i2676648792.html</v>
      </c>
      <c r="C6270" s="10" t="s">
        <v>6270</v>
      </c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>
      <c r="A6271" s="8">
        <v>11125.0</v>
      </c>
      <c r="B6271" s="9" t="str">
        <f>HYPERLINK("https://www.lazada.vn/products/mem-ngon-100g-banh-sua-xoai-dau-tay-say-kho-banh-sua-pho-mai-mix-qua-xoai-say-dau-tay-keo-nougat-sua-dac-dau-tay-xoai-phu-pho-mai-thom-ngon-an-sieu-nghien-i2674689320.html", "https://www.lazada.vn/products/mem-ngon-100g-banh-sua-xoai-dau-tay-say-kho-banh-sua-pho-mai-mix-qua-xoai-say-dau-tay-keo-nougat-sua-dac-dau-tay-xoai-phu-pho-mai-thom-ngon-an-sieu-nghien-i2674689320.html")</f>
        <v>https://www.lazada.vn/products/mem-ngon-100g-banh-sua-xoai-dau-tay-say-kho-banh-sua-pho-mai-mix-qua-xoai-say-dau-tay-keo-nougat-sua-dac-dau-tay-xoai-phu-pho-mai-thom-ngon-an-sieu-nghien-i2674689320.html</v>
      </c>
      <c r="C6271" s="10" t="s">
        <v>6271</v>
      </c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>
      <c r="A6272" s="8">
        <v>11126.0</v>
      </c>
      <c r="B6272" s="9" t="str">
        <f>HYPERLINK("https://www.lazada.vn/products/combo-5-chai-pet-bia-tuoi-89-1l-i2300951498.html", "https://www.lazada.vn/products/combo-5-chai-pet-bia-tuoi-89-1l-i2300951498.html")</f>
        <v>https://www.lazada.vn/products/combo-5-chai-pet-bia-tuoi-89-1l-i2300951498.html</v>
      </c>
      <c r="C6272" s="10" t="s">
        <v>6272</v>
      </c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>
      <c r="A6273" s="8">
        <v>11127.0</v>
      </c>
      <c r="B6273" s="9" t="str">
        <f>HYPERLINK("https://www.lazada.vn/products/me-xung-gion-thuan-hung-thom-ngon-dac-san-xu-hue-i2670106165.html", "https://www.lazada.vn/products/me-xung-gion-thuan-hung-thom-ngon-dac-san-xu-hue-i2670106165.html")</f>
        <v>https://www.lazada.vn/products/me-xung-gion-thuan-hung-thom-ngon-dac-san-xu-hue-i2670106165.html</v>
      </c>
      <c r="C6273" s="10" t="s">
        <v>6273</v>
      </c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>
      <c r="A6274" s="8">
        <v>11128.0</v>
      </c>
      <c r="B6274" s="9" t="str">
        <f>HYPERLINK("https://www.lazada.vn/products/luong-kho-mini-sbt-mix-13-vi-goi-500gr-them-nhieu-vi-them-nhieu-trai-nghiem-rat-thom-ngon-tien-dung-i2668438390.html", "https://www.lazada.vn/products/luong-kho-mini-sbt-mix-13-vi-goi-500gr-them-nhieu-vi-them-nhieu-trai-nghiem-rat-thom-ngon-tien-dung-i2668438390.html")</f>
        <v>https://www.lazada.vn/products/luong-kho-mini-sbt-mix-13-vi-goi-500gr-them-nhieu-vi-them-nhieu-trai-nghiem-rat-thom-ngon-tien-dung-i2668438390.html</v>
      </c>
      <c r="C6274" s="10" t="s">
        <v>6274</v>
      </c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>
      <c r="A6275" s="8">
        <v>11129.0</v>
      </c>
      <c r="B6275" s="9" t="str">
        <f>HYPERLINK("https://www.lazada.vn/products/xoai-ngam-chua-an-do-mothers-mango-pickle-400gr-i3033942075.html", "https://www.lazada.vn/products/xoai-ngam-chua-an-do-mothers-mango-pickle-400gr-i3033942075.html")</f>
        <v>https://www.lazada.vn/products/xoai-ngam-chua-an-do-mothers-mango-pickle-400gr-i3033942075.html</v>
      </c>
      <c r="C6275" s="10" t="s">
        <v>6275</v>
      </c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>
      <c r="A6276" s="8">
        <v>11130.0</v>
      </c>
      <c r="B6276" s="9" t="str">
        <f>HYPERLINK("https://www.lazada.vn/products/bento-hai-san-tam-gia-vi-thai-lan-sieu-ngon-nhap-khau-chinh-hang-goi-20g-i1607148900.html", "https://www.lazada.vn/products/bento-hai-san-tam-gia-vi-thai-lan-sieu-ngon-nhap-khau-chinh-hang-goi-20g-i1607148900.html")</f>
        <v>https://www.lazada.vn/products/bento-hai-san-tam-gia-vi-thai-lan-sieu-ngon-nhap-khau-chinh-hang-goi-20g-i1607148900.html</v>
      </c>
      <c r="C6276" s="10" t="s">
        <v>6276</v>
      </c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>
      <c r="A6277" s="8">
        <v>11131.0</v>
      </c>
      <c r="B6277" s="9" t="str">
        <f>HYPERLINK("https://www.lazada.vn/products/1-thung-banh-ruoc-gau-30-cai-15kg-i1386104036.html", "https://www.lazada.vn/products/1-thung-banh-ruoc-gau-30-cai-15kg-i1386104036.html")</f>
        <v>https://www.lazada.vn/products/1-thung-banh-ruoc-gau-30-cai-15kg-i1386104036.html</v>
      </c>
      <c r="C6277" s="10" t="s">
        <v>6277</v>
      </c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>
      <c r="A6278" s="8">
        <v>11132.0</v>
      </c>
      <c r="B6278" s="9" t="str">
        <f>HYPERLINK("https://www.lazada.vn/products/do-an-nhe-kho-dong-lanh-chat-ket-hop-nhieu-loai-trai-cay-da-dang-vo-cam-deo-deo-kho-qua-le-deo-kho-deo-kho-i2923619471.html", "https://www.lazada.vn/products/do-an-nhe-kho-dong-lanh-chat-ket-hop-nhieu-loai-trai-cay-da-dang-vo-cam-deo-deo-kho-qua-le-deo-kho-deo-kho-i2923619471.html")</f>
        <v>https://www.lazada.vn/products/do-an-nhe-kho-dong-lanh-chat-ket-hop-nhieu-loai-trai-cay-da-dang-vo-cam-deo-deo-kho-qua-le-deo-kho-deo-kho-i2923619471.html</v>
      </c>
      <c r="C6278" s="10" t="s">
        <v>6278</v>
      </c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>
      <c r="A6279" s="8">
        <v>11133.0</v>
      </c>
      <c r="B6279" s="9" t="str">
        <f>HYPERLINK("https://www.lazada.vn/products/1-thung-20-hop-banh-ca-marine-boy-bo-sung-canxi-35g-do-an-vat-gia-re-i1385353480.html", "https://www.lazada.vn/products/1-thung-20-hop-banh-ca-marine-boy-bo-sung-canxi-35g-do-an-vat-gia-re-i1385353480.html")</f>
        <v>https://www.lazada.vn/products/1-thung-20-hop-banh-ca-marine-boy-bo-sung-canxi-35g-do-an-vat-gia-re-i1385353480.html</v>
      </c>
      <c r="C6279" s="10" t="s">
        <v>6279</v>
      </c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>
      <c r="A6280" s="8">
        <v>11134.0</v>
      </c>
      <c r="B6280" s="9" t="str">
        <f>HYPERLINK("https://www.lazada.vn/products/becheery-snack-dried-fruit-mix-30g-crispy-vegetables-dry-fruit-snacks-from-fujian-china-dried-fruit-mixed-pack-i2923577567.html", "https://www.lazada.vn/products/becheery-snack-dried-fruit-mix-30g-crispy-vegetables-dry-fruit-snacks-from-fujian-china-dried-fruit-mixed-pack-i2923577567.html")</f>
        <v>https://www.lazada.vn/products/becheery-snack-dried-fruit-mix-30g-crispy-vegetables-dry-fruit-snacks-from-fujian-china-dried-fruit-mixed-pack-i2923577567.html</v>
      </c>
      <c r="C6280" s="10" t="s">
        <v>6280</v>
      </c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>
      <c r="A6281" s="8">
        <v>11135.0</v>
      </c>
      <c r="B6281" s="9" t="str">
        <f>HYPERLINK("https://www.lazada.vn/products/hop-banh-nextar-socola-nabati-vi-khac-biet-chocolate-chinh-hieu-nhap-khau-tu-indonesia-khoi-luong-112g-i1363709257.html", "https://www.lazada.vn/products/hop-banh-nextar-socola-nabati-vi-khac-biet-chocolate-chinh-hieu-nhap-khau-tu-indonesia-khoi-luong-112g-i1363709257.html")</f>
        <v>https://www.lazada.vn/products/hop-banh-nextar-socola-nabati-vi-khac-biet-chocolate-chinh-hieu-nhap-khau-tu-indonesia-khoi-luong-112g-i1363709257.html</v>
      </c>
      <c r="C6281" s="10" t="s">
        <v>6281</v>
      </c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>
      <c r="A6282" s="8">
        <v>11136.0</v>
      </c>
      <c r="B6282" s="9" t="str">
        <f>HYPERLINK("https://www.lazada.vn/products/pia-mini-cong-phat-co-trung-hop-10-banh-i2666989324.html", "https://www.lazada.vn/products/pia-mini-cong-phat-co-trung-hop-10-banh-i2666989324.html")</f>
        <v>https://www.lazada.vn/products/pia-mini-cong-phat-co-trung-hop-10-banh-i2666989324.html</v>
      </c>
      <c r="C6282" s="10" t="s">
        <v>6282</v>
      </c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>
      <c r="A6283" s="8">
        <v>11137.0</v>
      </c>
      <c r="B6283" s="9" t="str">
        <f>HYPERLINK("https://www.lazada.vn/products/hat-de-dong-kho-golden-pillow-fruit-dry-block-hat-de-dong-kho-dong-hop-three-squirrels-snack-nuts-dac-san-trai-cay-kho-i2923573912.html", "https://www.lazada.vn/products/hat-de-dong-kho-golden-pillow-fruit-dry-block-hat-de-dong-kho-dong-hop-three-squirrels-snack-nuts-dac-san-trai-cay-kho-i2923573912.html")</f>
        <v>https://www.lazada.vn/products/hat-de-dong-kho-golden-pillow-fruit-dry-block-hat-de-dong-kho-dong-hop-three-squirrels-snack-nuts-dac-san-trai-cay-kho-i2923573912.html</v>
      </c>
      <c r="C6283" s="10" t="s">
        <v>6283</v>
      </c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>
      <c r="A6284" s="8">
        <v>11138.0</v>
      </c>
      <c r="B6284" s="9" t="str">
        <f>HYPERLINK("https://www.lazada.vn/products/luong-kho-mini-sbt-vi-tran-bi-vo-quyt-goi-500gr-i2666729285.html", "https://www.lazada.vn/products/luong-kho-mini-sbt-vi-tran-bi-vo-quyt-goi-500gr-i2666729285.html")</f>
        <v>https://www.lazada.vn/products/luong-kho-mini-sbt-vi-tran-bi-vo-quyt-goi-500gr-i2666729285.html</v>
      </c>
      <c r="C6284" s="10" t="s">
        <v>6284</v>
      </c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>
      <c r="A6285" s="8">
        <v>11139.0</v>
      </c>
      <c r="B6285" s="9" t="str">
        <f>HYPERLINK("https://www.lazada.vn/products/yajia-hong-kong-red-date-walnut-cake-500g-wedding-candy-snacks-leisure-mixed-nuts-soft-sugar-bag-packaging-i2923547728.html", "https://www.lazada.vn/products/yajia-hong-kong-red-date-walnut-cake-500g-wedding-candy-snacks-leisure-mixed-nuts-soft-sugar-bag-packaging-i2923547728.html")</f>
        <v>https://www.lazada.vn/products/yajia-hong-kong-red-date-walnut-cake-500g-wedding-candy-snacks-leisure-mixed-nuts-soft-sugar-bag-packaging-i2923547728.html</v>
      </c>
      <c r="C6285" s="10" t="s">
        <v>6285</v>
      </c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>
      <c r="A6286" s="8">
        <v>11140.0</v>
      </c>
      <c r="B6286" s="9" t="str">
        <f>HYPERLINK("https://www.lazada.vn/products/banh-in-nhan-dua-me-deo-hop-500g-i1353191064.html", "https://www.lazada.vn/products/banh-in-nhan-dua-me-deo-hop-500g-i1353191064.html")</f>
        <v>https://www.lazada.vn/products/banh-in-nhan-dua-me-deo-hop-500g-i1353191064.html</v>
      </c>
      <c r="C6286" s="10" t="s">
        <v>6286</v>
      </c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>
      <c r="A6287" s="8">
        <v>11141.0</v>
      </c>
      <c r="B6287" s="9" t="str">
        <f>HYPERLINK("https://www.lazada.vn/products/luong-kho-mini-sbt-vi-viet-quat-goi-285gr-i2666679507.html", "https://www.lazada.vn/products/luong-kho-mini-sbt-vi-viet-quat-goi-285gr-i2666679507.html")</f>
        <v>https://www.lazada.vn/products/luong-kho-mini-sbt-vi-viet-quat-goi-285gr-i2666679507.html</v>
      </c>
      <c r="C6287" s="10" t="s">
        <v>6287</v>
      </c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>
      <c r="A6288" s="8">
        <v>11142.0</v>
      </c>
      <c r="B6288" s="9" t="str">
        <f>HYPERLINK("https://www.lazada.vn/products/strawberry-dried-freeze-dried-baking-large-size-fruit-for-making-caramels-snowflake-crisp-sweet-snack-dried-fruit-bag-100g-i2923547661.html", "https://www.lazada.vn/products/strawberry-dried-freeze-dried-baking-large-size-fruit-for-making-caramels-snowflake-crisp-sweet-snack-dried-fruit-bag-100g-i2923547661.html")</f>
        <v>https://www.lazada.vn/products/strawberry-dried-freeze-dried-baking-large-size-fruit-for-making-caramels-snowflake-crisp-sweet-snack-dried-fruit-bag-100g-i2923547661.html</v>
      </c>
      <c r="C6288" s="10" t="s">
        <v>6288</v>
      </c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>
      <c r="A6289" s="8">
        <v>11143.0</v>
      </c>
      <c r="B6289" s="9" t="str">
        <f>HYPERLINK("https://www.lazada.vn/products/banh-sua-ba-vi-180g-i1344349260.html", "https://www.lazada.vn/products/banh-sua-ba-vi-180g-i1344349260.html")</f>
        <v>https://www.lazada.vn/products/banh-sua-ba-vi-180g-i1344349260.html</v>
      </c>
      <c r="C6289" s="10" t="s">
        <v>6289</v>
      </c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>
      <c r="A6290" s="8">
        <v>11144.0</v>
      </c>
      <c r="B6290" s="9" t="str">
        <f>HYPERLINK("https://www.lazada.vn/products/bot-suong-san-ho-kho-lanh-dried-strawberry-crumbles-baking-coffee-dessert-milk-tea-shop-special-ingredient-100g-bag-i2923545942.html", "https://www.lazada.vn/products/bot-suong-san-ho-kho-lanh-dried-strawberry-crumbles-baking-coffee-dessert-milk-tea-shop-special-ingredient-100g-bag-i2923545942.html")</f>
        <v>https://www.lazada.vn/products/bot-suong-san-ho-kho-lanh-dried-strawberry-crumbles-baking-coffee-dessert-milk-tea-shop-special-ingredient-100g-bag-i2923545942.html</v>
      </c>
      <c r="C6290" s="10" t="s">
        <v>6290</v>
      </c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>
      <c r="A6291" s="8">
        <v>11145.0</v>
      </c>
      <c r="B6291" s="9" t="str">
        <f>HYPERLINK("https://www.lazada.vn/products/pet-300gr-keo-deo-da-lat-i1328272441.html", "https://www.lazada.vn/products/pet-300gr-keo-deo-da-lat-i1328272441.html")</f>
        <v>https://www.lazada.vn/products/pet-300gr-keo-deo-da-lat-i1328272441.html</v>
      </c>
      <c r="C6291" s="10" t="s">
        <v>6291</v>
      </c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>
      <c r="A6292" s="8">
        <v>11146.0</v>
      </c>
      <c r="B6292" s="9" t="str">
        <f>HYPERLINK("https://www.lazada.vn/products/bear-kids-dried-blueberry-yogurt-snack-25g-probiotics-children-mango-leisure-strawberry-small-snacks-dried-fruit-milk-block-i2923542996.html", "https://www.lazada.vn/products/bear-kids-dried-blueberry-yogurt-snack-25g-probiotics-children-mango-leisure-strawberry-small-snacks-dried-fruit-milk-block-i2923542996.html")</f>
        <v>https://www.lazada.vn/products/bear-kids-dried-blueberry-yogurt-snack-25g-probiotics-children-mango-leisure-strawberry-small-snacks-dried-fruit-milk-block-i2923542996.html</v>
      </c>
      <c r="C6292" s="10" t="s">
        <v>6292</v>
      </c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>
      <c r="A6293" s="8">
        <v>11147.0</v>
      </c>
      <c r="B6293" s="9" t="str">
        <f>HYPERLINK("https://www.lazada.vn/products/loc-10-goi-banh-xop-nabati-17g-i1274281223.html", "https://www.lazada.vn/products/loc-10-goi-banh-xop-nabati-17g-i1274281223.html")</f>
        <v>https://www.lazada.vn/products/loc-10-goi-banh-xop-nabati-17g-i1274281223.html</v>
      </c>
      <c r="C6293" s="10" t="s">
        <v>6293</v>
      </c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>
      <c r="A6294" s="8">
        <v>11148.0</v>
      </c>
      <c r="B6294" s="9" t="str">
        <f>HYPERLINK("https://www.lazada.vn/products/bo-suu-tap-trai-cay-kho-orchard-oriental-dried-durian-snack-nho-goi-san-an-lien-dried-durian-crispy-trai-cay-kho-nhe-nhang-i2923541995.html", "https://www.lazada.vn/products/bo-suu-tap-trai-cay-kho-orchard-oriental-dried-durian-snack-nho-goi-san-an-lien-dried-durian-crispy-trai-cay-kho-nhe-nhang-i2923541995.html")</f>
        <v>https://www.lazada.vn/products/bo-suu-tap-trai-cay-kho-orchard-oriental-dried-durian-snack-nho-goi-san-an-lien-dried-durian-crispy-trai-cay-kho-nhe-nhang-i2923541995.html</v>
      </c>
      <c r="C6294" s="10" t="s">
        <v>6294</v>
      </c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>
      <c r="A6295" s="8">
        <v>11149.0</v>
      </c>
      <c r="B6295" s="9" t="str">
        <f>HYPERLINK("https://www.lazada.vn/products/banh-in-mini-nhan-dau-xanh-sau-rieng-hop-500g-12-cai-i1237234131.html", "https://www.lazada.vn/products/banh-in-mini-nhan-dau-xanh-sau-rieng-hop-500g-12-cai-i1237234131.html")</f>
        <v>https://www.lazada.vn/products/banh-in-mini-nhan-dau-xanh-sau-rieng-hop-500g-12-cai-i1237234131.html</v>
      </c>
      <c r="C6295" s="10" t="s">
        <v>6295</v>
      </c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>
      <c r="A6296" s="8">
        <v>11150.0</v>
      </c>
      <c r="B6296" s="9" t="str">
        <f>HYPERLINK("https://www.lazada.vn/products/trai-o-liu-vo-mong-dac-san-dai-duong-nam-2024-trai-o-liu-khong-dang-khong-cay-trai-o-liu-giay-dai-duong-trai-o-liu-kho-i2923541785.html", "https://www.lazada.vn/products/trai-o-liu-vo-mong-dac-san-dai-duong-nam-2024-trai-o-liu-khong-dang-khong-cay-trai-o-liu-giay-dai-duong-trai-o-liu-kho-i2923541785.html")</f>
        <v>https://www.lazada.vn/products/trai-o-liu-vo-mong-dac-san-dai-duong-nam-2024-trai-o-liu-khong-dang-khong-cay-trai-o-liu-giay-dai-duong-trai-o-liu-kho-i2923541785.html</v>
      </c>
      <c r="C6296" s="10" t="s">
        <v>6296</v>
      </c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>
      <c r="A6297" s="8">
        <v>11151.0</v>
      </c>
      <c r="B6297" s="9" t="str">
        <f>HYPERLINK("https://www.lazada.vn/products/banh-quy-danisa-i1191908613.html", "https://www.lazada.vn/products/banh-quy-danisa-i1191908613.html")</f>
        <v>https://www.lazada.vn/products/banh-quy-danisa-i1191908613.html</v>
      </c>
      <c r="C6297" s="10" t="s">
        <v>6297</v>
      </c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>
      <c r="A6298" s="8">
        <v>11152.0</v>
      </c>
      <c r="B6298" s="9" t="str">
        <f>HYPERLINK("https://www.lazada.vn/products/strawberry-dried-freeze-1kg-baking-snowflake-snack-decoration-cake-milk-tea-snow-cap-ingredient-commercial-use-crisp-bits-i2923526826.html", "https://www.lazada.vn/products/strawberry-dried-freeze-1kg-baking-snowflake-snack-decoration-cake-milk-tea-snow-cap-ingredient-commercial-use-crisp-bits-i2923526826.html")</f>
        <v>https://www.lazada.vn/products/strawberry-dried-freeze-1kg-baking-snowflake-snack-decoration-cake-milk-tea-snow-cap-ingredient-commercial-use-crisp-bits-i2923526826.html</v>
      </c>
      <c r="C6298" s="10" t="s">
        <v>6298</v>
      </c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>
      <c r="A6299" s="8">
        <v>11153.0</v>
      </c>
      <c r="B6299" s="9" t="str">
        <f>HYPERLINK("https://www.lazada.vn/products/banh-kem-trung-custas-ho-tai-loc-hop-282g-12-cai-i1043712198.html", "https://www.lazada.vn/products/banh-kem-trung-custas-ho-tai-loc-hop-282g-12-cai-i1043712198.html")</f>
        <v>https://www.lazada.vn/products/banh-kem-trung-custas-ho-tai-loc-hop-282g-12-cai-i1043712198.html</v>
      </c>
      <c r="C6299" s="10" t="s">
        <v>6299</v>
      </c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>
      <c r="A6300" s="8">
        <v>11154.0</v>
      </c>
      <c r="B6300" s="9" t="str">
        <f>HYPERLINK("https://www.lazada.vn/products/chuoi-say-deo-500g-1kg-i2922972826.html", "https://www.lazada.vn/products/chuoi-say-deo-500g-1kg-i2922972826.html")</f>
        <v>https://www.lazada.vn/products/chuoi-say-deo-500g-1kg-i2922972826.html</v>
      </c>
      <c r="C6300" s="10" t="s">
        <v>6300</v>
      </c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>
      <c r="A6301" s="8">
        <v>11155.0</v>
      </c>
      <c r="B6301" s="9" t="str">
        <f>HYPERLINK("https://www.lazada.vn/products/khoai-lang-mat-say-deo-loai-1-dong-goi-rieng-tung-cu-500ggiao-hcm-i2921693069.html", "https://www.lazada.vn/products/khoai-lang-mat-say-deo-loai-1-dong-goi-rieng-tung-cu-500ggiao-hcm-i2921693069.html")</f>
        <v>https://www.lazada.vn/products/khoai-lang-mat-say-deo-loai-1-dong-goi-rieng-tung-cu-500ggiao-hcm-i2921693069.html</v>
      </c>
      <c r="C6301" s="10" t="s">
        <v>6301</v>
      </c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>
      <c r="A6302" s="8">
        <v>11156.0</v>
      </c>
      <c r="B6302" s="9" t="str">
        <f>HYPERLINK("https://www.lazada.vn/products/500gr-kiwi-say-deo-da-lat-nguyen-lieu-lam-keo-nougat-keo-hanh-phuc-i2921435262.html", "https://www.lazada.vn/products/500gr-kiwi-say-deo-da-lat-nguyen-lieu-lam-keo-nougat-keo-hanh-phuc-i2921435262.html")</f>
        <v>https://www.lazada.vn/products/500gr-kiwi-say-deo-da-lat-nguyen-lieu-lam-keo-nougat-keo-hanh-phuc-i2921435262.html</v>
      </c>
      <c r="C6302" s="10" t="s">
        <v>6302</v>
      </c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>
      <c r="A6303" s="8">
        <v>11157.0</v>
      </c>
      <c r="B6303" s="9" t="str">
        <f>HYPERLINK("https://www.lazada.vn/products/three-squirrels-dried-mango-durian-almonds-25g-dried-fruit-office-snacks-free-shipping-over-99-cny-dried-fruit-from-zhangzhou-fujian-i2919766299.html", "https://www.lazada.vn/products/three-squirrels-dried-mango-durian-almonds-25g-dried-fruit-office-snacks-free-shipping-over-99-cny-dried-fruit-from-zhangzhou-fujian-i2919766299.html")</f>
        <v>https://www.lazada.vn/products/three-squirrels-dried-mango-durian-almonds-25g-dried-fruit-office-snacks-free-shipping-over-99-cny-dried-fruit-from-zhangzhou-fujian-i2919766299.html</v>
      </c>
      <c r="C6303" s="10" t="s">
        <v>6303</v>
      </c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>
      <c r="A6304" s="8">
        <v>11158.0</v>
      </c>
      <c r="B6304" s="9" t="str">
        <f>HYPERLINK("https://www.lazada.vn/products/zek-trai-cay-kho-deo-gion-hat-tieu-hat-bi-ngo-huong-vi-thit-lon-25g-trang-mieng-hang-ngay-deo-gion-rau-ma-trang-mieng-i2919708246.html", "https://www.lazada.vn/products/zek-trai-cay-kho-deo-gion-hat-tieu-hat-bi-ngo-huong-vi-thit-lon-25g-trang-mieng-hang-ngay-deo-gion-rau-ma-trang-mieng-i2919708246.html")</f>
        <v>https://www.lazada.vn/products/zek-trai-cay-kho-deo-gion-hat-tieu-hat-bi-ngo-huong-vi-thit-lon-25g-trang-mieng-hang-ngay-deo-gion-rau-ma-trang-mieng-i2919708246.html</v>
      </c>
      <c r="C6304" s="10" t="s">
        <v>6304</v>
      </c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>
      <c r="A6305" s="8">
        <v>11159.0</v>
      </c>
      <c r="B6305" s="9" t="str">
        <f>HYPERLINK("https://www.lazada.vn/products/trai-cay-dong-kho-hon-hop-25g-snack-duong-pho-mai-nguyen-lieu-nuong-trai-cay-kho-khong-bao-gom-dried-fruit-snacks-i2919680555.html", "https://www.lazada.vn/products/trai-cay-dong-kho-hon-hop-25g-snack-duong-pho-mai-nguyen-lieu-nuong-trai-cay-kho-khong-bao-gom-dried-fruit-snacks-i2919680555.html")</f>
        <v>https://www.lazada.vn/products/trai-cay-dong-kho-hon-hop-25g-snack-duong-pho-mai-nguyen-lieu-nuong-trai-cay-kho-khong-bao-gom-dried-fruit-snacks-i2919680555.html</v>
      </c>
      <c r="C6305" s="10" t="s">
        <v>6305</v>
      </c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>
      <c r="A6306" s="8">
        <v>11160.0</v>
      </c>
      <c r="B6306" s="9" t="str">
        <f>HYPERLINK("https://www.lazada.vn/products/apple-dried-red-fuji-snack-20g4-bags-fruit-dry-candy-dried-apple-snack-leisure-time-sweet-treats-from-gansu-province-i2919640557.html", "https://www.lazada.vn/products/apple-dried-red-fuji-snack-20g4-bags-fruit-dry-candy-dried-apple-snack-leisure-time-sweet-treats-from-gansu-province-i2919640557.html")</f>
        <v>https://www.lazada.vn/products/apple-dried-red-fuji-snack-20g4-bags-fruit-dry-candy-dried-apple-snack-leisure-time-sweet-treats-from-gansu-province-i2919640557.html</v>
      </c>
      <c r="C6306" s="10" t="s">
        <v>6306</v>
      </c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>
      <c r="A6307" s="8">
        <v>11161.0</v>
      </c>
      <c r="B6307" s="9" t="str">
        <f>HYPERLINK("https://www.lazada.vn/products/combo-5goi-banh-mi-tuoi-so-co-la-kido-55grgoi-i2633585467.html", "https://www.lazada.vn/products/combo-5goi-banh-mi-tuoi-so-co-la-kido-55grgoi-i2633585467.html")</f>
        <v>https://www.lazada.vn/products/combo-5goi-banh-mi-tuoi-so-co-la-kido-55grgoi-i2633585467.html</v>
      </c>
      <c r="C6307" s="10" t="s">
        <v>6307</v>
      </c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>
      <c r="A6308" s="8">
        <v>11162.0</v>
      </c>
      <c r="B6308" s="9" t="str">
        <f>HYPERLINK("https://www.lazada.vn/products/genesis-cabernet-sauvignon-vang-do-chile-i2603391701.html", "https://www.lazada.vn/products/genesis-cabernet-sauvignon-vang-do-chile-i2603391701.html")</f>
        <v>https://www.lazada.vn/products/genesis-cabernet-sauvignon-vang-do-chile-i2603391701.html</v>
      </c>
      <c r="C6308" s="10" t="s">
        <v>6308</v>
      </c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>
      <c r="A6309" s="8">
        <v>11163.0</v>
      </c>
      <c r="B6309" s="9" t="str">
        <f>HYPERLINK("https://www.lazada.vn/products/becheery-snack-dried-fruit-yogurt-block-54g-mango-and-strawberry-flavor-dried-fruit-leisure-food-snack-dry-fruit-treats-i2919587662.html", "https://www.lazada.vn/products/becheery-snack-dried-fruit-yogurt-block-54g-mango-and-strawberry-flavor-dried-fruit-leisure-food-snack-dry-fruit-treats-i2919587662.html")</f>
        <v>https://www.lazada.vn/products/becheery-snack-dried-fruit-yogurt-block-54g-mango-and-strawberry-flavor-dried-fruit-leisure-food-snack-dry-fruit-treats-i2919587662.html</v>
      </c>
      <c r="C6309" s="10" t="s">
        <v>6309</v>
      </c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>
      <c r="A6310" s="8">
        <v>11164.0</v>
      </c>
      <c r="B6310" s="9" t="str">
        <f>HYPERLINK("https://www.lazada.vn/products/mam-ca-com-pha-san-mam-nem-pha-san-dac-san-binh-dinh-i3033863197.html", "https://www.lazada.vn/products/mam-ca-com-pha-san-mam-nem-pha-san-dac-san-binh-dinh-i3033863197.html")</f>
        <v>https://www.lazada.vn/products/mam-ca-com-pha-san-mam-nem-pha-san-dac-san-binh-dinh-i3033863197.html</v>
      </c>
      <c r="C6310" s="10" t="s">
        <v>6310</v>
      </c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>
      <c r="A6311" s="8">
        <v>11165.0</v>
      </c>
      <c r="B6311" s="9" t="str">
        <f>HYPERLINK("https://www.lazada.vn/products/combo-2-thach-rau-cau-pudding-cherish-vi-xoai-720g-lai-phu-i2166520912.html", "https://www.lazada.vn/products/combo-2-thach-rau-cau-pudding-cherish-vi-xoai-720g-lai-phu-i2166520912.html")</f>
        <v>https://www.lazada.vn/products/combo-2-thach-rau-cau-pudding-cherish-vi-xoai-720g-lai-phu-i2166520912.html</v>
      </c>
      <c r="C6311" s="10" t="s">
        <v>6311</v>
      </c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>
      <c r="A6312" s="8">
        <v>11166.0</v>
      </c>
      <c r="B6312" s="9" t="str">
        <f>HYPERLINK("https://www.lazada.vn/products/chao-gao-men-do-ong-cha-va-hu-380g-nhap-khau-dai-loan-i1911132965.html", "https://www.lazada.vn/products/chao-gao-men-do-ong-cha-va-hu-380g-nhap-khau-dai-loan-i1911132965.html")</f>
        <v>https://www.lazada.vn/products/chao-gao-men-do-ong-cha-va-hu-380g-nhap-khau-dai-loan-i1911132965.html</v>
      </c>
      <c r="C6312" s="10" t="s">
        <v>6312</v>
      </c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>
      <c r="A6313" s="8">
        <v>11167.0</v>
      </c>
      <c r="B6313" s="9" t="str">
        <f>HYPERLINK("https://www.lazada.vn/products/banh-choco-pie-tinh-hop-396g-12-cai-i1043080557.html", "https://www.lazada.vn/products/banh-choco-pie-tinh-hop-396g-12-cai-i1043080557.html")</f>
        <v>https://www.lazada.vn/products/banh-choco-pie-tinh-hop-396g-12-cai-i1043080557.html</v>
      </c>
      <c r="C6313" s="10" t="s">
        <v>6313</v>
      </c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>
      <c r="A6314" s="8">
        <v>11168.0</v>
      </c>
      <c r="B6314" s="9" t="str">
        <f>HYPERLINK("https://www.lazada.vn/products/bot-socola-more-maulin-bot-huong-chocolate-dai-loan-bot-tra-sua-socola-maulin-dai-loan-1kg-i1599853603.html", "https://www.lazada.vn/products/bot-socola-more-maulin-bot-huong-chocolate-dai-loan-bot-tra-sua-socola-maulin-dai-loan-1kg-i1599853603.html")</f>
        <v>https://www.lazada.vn/products/bot-socola-more-maulin-bot-huong-chocolate-dai-loan-bot-tra-sua-socola-maulin-dai-loan-1kg-i1599853603.html</v>
      </c>
      <c r="C6314" s="10" t="s">
        <v>6314</v>
      </c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>
      <c r="A6315" s="8">
        <v>11169.0</v>
      </c>
      <c r="B6315" s="9" t="str">
        <f>HYPERLINK("https://www.lazada.vn/products/nuoc-uong-co-gas-vi-chanh-phuc-bon-tu-franklin-pressed-raspberry-lemonade-i2364301389.html", "https://www.lazada.vn/products/nuoc-uong-co-gas-vi-chanh-phuc-bon-tu-franklin-pressed-raspberry-lemonade-i2364301389.html")</f>
        <v>https://www.lazada.vn/products/nuoc-uong-co-gas-vi-chanh-phuc-bon-tu-franklin-pressed-raspberry-lemonade-i2364301389.html</v>
      </c>
      <c r="C6315" s="10" t="s">
        <v>6315</v>
      </c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>
      <c r="A6316" s="8">
        <v>11170.0</v>
      </c>
      <c r="B6316" s="9" t="str">
        <f>HYPERLINK("https://www.lazada.vn/products/panvit-b15-10ml-tang-luc-chien-ke-i2331384494.html", "https://www.lazada.vn/products/panvit-b15-10ml-tang-luc-chien-ke-i2331384494.html")</f>
        <v>https://www.lazada.vn/products/panvit-b15-10ml-tang-luc-chien-ke-i2331384494.html</v>
      </c>
      <c r="C6316" s="10" t="s">
        <v>6316</v>
      </c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>
      <c r="A6317" s="8">
        <v>11171.0</v>
      </c>
      <c r="B6317" s="9" t="str">
        <f>HYPERLINK("https://www.lazada.vn/products/1-hop-thach-rau-cau-trai-cay-mix-vi-thom-ngon-i3024679740.html", "https://www.lazada.vn/products/1-hop-thach-rau-cau-trai-cay-mix-vi-thom-ngon-i3024679740.html")</f>
        <v>https://www.lazada.vn/products/1-hop-thach-rau-cau-trai-cay-mix-vi-thom-ngon-i3024679740.html</v>
      </c>
      <c r="C6317" s="10" t="s">
        <v>6317</v>
      </c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>
      <c r="A6318" s="8">
        <v>11172.0</v>
      </c>
      <c r="B6318" s="9" t="str">
        <f>HYPERLINK("https://www.lazada.vn/products/shop-khanh-ha-absolut-vodka-chai700ml-40-i2350475009.html", "https://www.lazada.vn/products/shop-khanh-ha-absolut-vodka-chai700ml-40-i2350475009.html")</f>
        <v>https://www.lazada.vn/products/shop-khanh-ha-absolut-vodka-chai700ml-40-i2350475009.html</v>
      </c>
      <c r="C6318" s="10" t="s">
        <v>6318</v>
      </c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>
      <c r="A6319" s="8">
        <v>11173.0</v>
      </c>
      <c r="B6319" s="9" t="str">
        <f>HYPERLINK("https://www.lazada.vn/products/thung-keo-trung-hop-giay-akita-keo-trung-khung-long-24-cai-hop-i2905877971.html", "https://www.lazada.vn/products/thung-keo-trung-hop-giay-akita-keo-trung-khung-long-24-cai-hop-i2905877971.html")</f>
        <v>https://www.lazada.vn/products/thung-keo-trung-hop-giay-akita-keo-trung-khung-long-24-cai-hop-i2905877971.html</v>
      </c>
      <c r="C6319" s="10" t="s">
        <v>6319</v>
      </c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>
      <c r="A6320" s="8">
        <v>11174.0</v>
      </c>
      <c r="B6320" s="9" t="str">
        <f>HYPERLINK("https://www.lazada.vn/products/siro-thai-lan-ding-fong-du-huong-vi-chai-760ml-i2495339258.html", "https://www.lazada.vn/products/siro-thai-lan-ding-fong-du-huong-vi-chai-760ml-i2495339258.html")</f>
        <v>https://www.lazada.vn/products/siro-thai-lan-ding-fong-du-huong-vi-chai-760ml-i2495339258.html</v>
      </c>
      <c r="C6320" s="10" t="s">
        <v>6320</v>
      </c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>
      <c r="A6321" s="8">
        <v>11175.0</v>
      </c>
      <c r="B6321" s="9" t="str">
        <f>HYPERLINK("https://www.lazada.vn/products/ca-phe-sua-kopiko-machiato-3-in-1-noi-dia-tha-lan-i3023835723.html", "https://www.lazada.vn/products/ca-phe-sua-kopiko-machiato-3-in-1-noi-dia-tha-lan-i3023835723.html")</f>
        <v>https://www.lazada.vn/products/ca-phe-sua-kopiko-machiato-3-in-1-noi-dia-tha-lan-i3023835723.html</v>
      </c>
      <c r="C6321" s="10" t="s">
        <v>6321</v>
      </c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>
      <c r="A6322" s="8">
        <v>11176.0</v>
      </c>
      <c r="B6322" s="9" t="str">
        <f>HYPERLINK("https://www.lazada.vn/products/combo-3-chai-pet-bia-tuoi-89-1l-i2300884953.html", "https://www.lazada.vn/products/combo-3-chai-pet-bia-tuoi-89-1l-i2300884953.html")</f>
        <v>https://www.lazada.vn/products/combo-3-chai-pet-bia-tuoi-89-1l-i2300884953.html</v>
      </c>
      <c r="C6322" s="10" t="s">
        <v>6322</v>
      </c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>
      <c r="A6323" s="8">
        <v>11177.0</v>
      </c>
      <c r="B6323" s="9" t="str">
        <f>HYPERLINK("https://www.lazada.vn/products/mi-kho-ga-cay-samyang-nhap-khau-han-quoc-ly-70g-i3061799227.html", "https://www.lazada.vn/products/mi-kho-ga-cay-samyang-nhap-khau-han-quoc-ly-70g-i3061799227.html")</f>
        <v>https://www.lazada.vn/products/mi-kho-ga-cay-samyang-nhap-khau-han-quoc-ly-70g-i3061799227.html</v>
      </c>
      <c r="C6323" s="10" t="s">
        <v>6323</v>
      </c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>
      <c r="A6324" s="8">
        <v>11178.0</v>
      </c>
      <c r="B6324" s="9" t="str">
        <f>HYPERLINK("https://www.lazada.vn/products/banh-bao-nguyen-cam-nhan-chay-nam-healthy-set-4-cai-i2631626887.html", "https://www.lazada.vn/products/banh-bao-nguyen-cam-nhan-chay-nam-healthy-set-4-cai-i2631626887.html")</f>
        <v>https://www.lazada.vn/products/banh-bao-nguyen-cam-nhan-chay-nam-healthy-set-4-cai-i2631626887.html</v>
      </c>
      <c r="C6324" s="10" t="s">
        <v>6324</v>
      </c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>
      <c r="A6325" s="8">
        <v>11179.0</v>
      </c>
      <c r="B6325" s="9" t="str">
        <f>HYPERLINK("https://www.lazada.vn/products/luccarelli-negroamaro-2021-vang-do-y-i2602393955.html", "https://www.lazada.vn/products/luccarelli-negroamaro-2021-vang-do-y-i2602393955.html")</f>
        <v>https://www.lazada.vn/products/luccarelli-negroamaro-2021-vang-do-y-i2602393955.html</v>
      </c>
      <c r="C6325" s="10" t="s">
        <v>6325</v>
      </c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>
      <c r="A6326" s="8">
        <v>11180.0</v>
      </c>
      <c r="B6326" s="9" t="str">
        <f>HYPERLINK("https://www.lazada.vn/products/combo-mut-mang-cut-850gram-va-nuoc-cot-mang-cut-650ml-lafresh-da-lat-i3033863055.html", "https://www.lazada.vn/products/combo-mut-mang-cut-850gram-va-nuoc-cot-mang-cut-650ml-lafresh-da-lat-i3033863055.html")</f>
        <v>https://www.lazada.vn/products/combo-mut-mang-cut-850gram-va-nuoc-cot-mang-cut-650ml-lafresh-da-lat-i3033863055.html</v>
      </c>
      <c r="C6326" s="10" t="s">
        <v>6326</v>
      </c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>
      <c r="A6327" s="8">
        <v>11181.0</v>
      </c>
      <c r="B6327" s="9" t="str">
        <f>HYPERLINK("https://www.lazada.vn/products/banh-bao-nguyen-cam-gao-lut-khong-nhan-healthy-set-5-cai-i2631330441.html", "https://www.lazada.vn/products/banh-bao-nguyen-cam-gao-lut-khong-nhan-healthy-set-5-cai-i2631330441.html")</f>
        <v>https://www.lazada.vn/products/banh-bao-nguyen-cam-gao-lut-khong-nhan-healthy-set-5-cai-i2631330441.html</v>
      </c>
      <c r="C6327" s="10" t="s">
        <v>6327</v>
      </c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>
      <c r="A6328" s="8">
        <v>11182.0</v>
      </c>
      <c r="B6328" s="9" t="str">
        <f>HYPERLINK("https://www.lazada.vn/products/keo-me-thai-say-cay-truong-xuong-sieu-ngon-500g-candy-food-thuc-an-vat-hottrend-sieu-ngon-i3006405166.html", "https://www.lazada.vn/products/keo-me-thai-say-cay-truong-xuong-sieu-ngon-500g-candy-food-thuc-an-vat-hottrend-sieu-ngon-i3006405166.html")</f>
        <v>https://www.lazada.vn/products/keo-me-thai-say-cay-truong-xuong-sieu-ngon-500g-candy-food-thuc-an-vat-hottrend-sieu-ngon-i3006405166.html</v>
      </c>
      <c r="C6328" s="10" t="s">
        <v>6328</v>
      </c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>
      <c r="A6329" s="8">
        <v>11183.0</v>
      </c>
      <c r="B6329" s="9" t="str">
        <f>HYPERLINK("https://www.lazada.vn/products/hop-qua-tang-jager-700ml-i2494677480.html", "https://www.lazada.vn/products/hop-qua-tang-jager-700ml-i2494677480.html")</f>
        <v>https://www.lazada.vn/products/hop-qua-tang-jager-700ml-i2494677480.html</v>
      </c>
      <c r="C6329" s="10" t="s">
        <v>6329</v>
      </c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>
      <c r="A6330" s="8">
        <v>11184.0</v>
      </c>
      <c r="B6330" s="9" t="str">
        <f>HYPERLINK("https://www.lazada.vn/products/500gr-thit-lon-say-thit-heo-say-thit-lon-gac-bep-dac-san-tay-bac-i3033847106.html", "https://www.lazada.vn/products/500gr-thit-lon-say-thit-heo-say-thit-lon-gac-bep-dac-san-tay-bac-i3033847106.html")</f>
        <v>https://www.lazada.vn/products/500gr-thit-lon-say-thit-heo-say-thit-lon-gac-bep-dac-san-tay-bac-i3033847106.html</v>
      </c>
      <c r="C6330" s="10" t="s">
        <v>6330</v>
      </c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>
      <c r="A6331" s="8">
        <v>11185.0</v>
      </c>
      <c r="B6331" s="9" t="str">
        <f>HYPERLINK("https://www.lazada.vn/products/banh-bong-lan-cuon-hap-dai-loan-5-vi-mem-min-thom-ngon-i2628833292.html", "https://www.lazada.vn/products/banh-bong-lan-cuon-hap-dai-loan-5-vi-mem-min-thom-ngon-i2628833292.html")</f>
        <v>https://www.lazada.vn/products/banh-bong-lan-cuon-hap-dai-loan-5-vi-mem-min-thom-ngon-i2628833292.html</v>
      </c>
      <c r="C6331" s="10" t="s">
        <v>6331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>
      <c r="A6332" s="8">
        <v>11186.0</v>
      </c>
      <c r="B6332" s="9" t="str">
        <f>HYPERLINK("https://www.lazada.vn/products/hu-1kgsiro-hoa-atiso-do-hibicus-co-mut-canh-hoa-nhai-gion-suc-suc-thuc-uong-thanh-mat-giai-nhiet-tot-cho-suc-khoe-i2494572118.html", "https://www.lazada.vn/products/hu-1kgsiro-hoa-atiso-do-hibicus-co-mut-canh-hoa-nhai-gion-suc-suc-thuc-uong-thanh-mat-giai-nhiet-tot-cho-suc-khoe-i2494572118.html")</f>
        <v>https://www.lazada.vn/products/hu-1kgsiro-hoa-atiso-do-hibicus-co-mut-canh-hoa-nhai-gion-suc-suc-thuc-uong-thanh-mat-giai-nhiet-tot-cho-suc-khoe-i2494572118.html</v>
      </c>
      <c r="C6332" s="10" t="s">
        <v>6332</v>
      </c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>
      <c r="A6333" s="8">
        <v>11187.0</v>
      </c>
      <c r="B6333" s="9" t="str">
        <f>HYPERLINK("https://www.lazada.vn/products/keo-sam-xtreme-candy-chinh-hang-cai-tien-cao-cap-usa-cuc-manh-date-moi-i2994912437.html", "https://www.lazada.vn/products/keo-sam-xtreme-candy-chinh-hang-cai-tien-cao-cap-usa-cuc-manh-date-moi-i2994912437.html")</f>
        <v>https://www.lazada.vn/products/keo-sam-xtreme-candy-chinh-hang-cai-tien-cao-cap-usa-cuc-manh-date-moi-i2994912437.html</v>
      </c>
      <c r="C6333" s="10" t="s">
        <v>6333</v>
      </c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>
      <c r="A6334" s="8">
        <v>11188.0</v>
      </c>
      <c r="B6334" s="9" t="str">
        <f>HYPERLINK("https://www.lazada.vn/products/cheese-nuts-dried-milk-snack-high-aesthetic-value-for-girls-and-children-leisure-dry-fruits-mixed-dried-cheese-blocks-i2919558677.html", "https://www.lazada.vn/products/cheese-nuts-dried-milk-snack-high-aesthetic-value-for-girls-and-children-leisure-dry-fruits-mixed-dried-cheese-blocks-i2919558677.html")</f>
        <v>https://www.lazada.vn/products/cheese-nuts-dried-milk-snack-high-aesthetic-value-for-girls-and-children-leisure-dry-fruits-mixed-dried-cheese-blocks-i2919558677.html</v>
      </c>
      <c r="C6334" s="10" t="s">
        <v>6334</v>
      </c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>
      <c r="A6335" s="8">
        <v>11189.0</v>
      </c>
      <c r="B6335" s="9" t="str">
        <f>HYPERLINK("https://www.lazada.vn/products/500gr-thit-trau-say-thit-trau-gac-bep-dac-san-tay-bac-i3033804309.html", "https://www.lazada.vn/products/500gr-thit-trau-say-thit-trau-gac-bep-dac-san-tay-bac-i3033804309.html")</f>
        <v>https://www.lazada.vn/products/500gr-thit-trau-say-thit-trau-gac-bep-dac-san-tay-bac-i3033804309.html</v>
      </c>
      <c r="C6335" s="10" t="s">
        <v>6335</v>
      </c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>
      <c r="A6336" s="8">
        <v>11190.0</v>
      </c>
      <c r="B6336" s="9" t="str">
        <f>HYPERLINK("https://www.lazada.vn/products/hang-cong-ty-banh-an-kieng-dinh-duong-vi-mat-ong-an-nhien-thuc-pham-chay-dinh-duonghealthy-i1036086547.html", "https://www.lazada.vn/products/hang-cong-ty-banh-an-kieng-dinh-duong-vi-mat-ong-an-nhien-thuc-pham-chay-dinh-duonghealthy-i1036086547.html")</f>
        <v>https://www.lazada.vn/products/hang-cong-ty-banh-an-kieng-dinh-duong-vi-mat-ong-an-nhien-thuc-pham-chay-dinh-duonghealthy-i1036086547.html</v>
      </c>
      <c r="C6336" s="10" t="s">
        <v>6336</v>
      </c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>
      <c r="A6337" s="8">
        <v>11191.0</v>
      </c>
      <c r="B6337" s="9" t="str">
        <f>HYPERLINK("https://www.lazada.vn/products/mi-udon-chien-nhap-khau-han-quoc-ly-62g-i3061780261.html", "https://www.lazada.vn/products/mi-udon-chien-nhap-khau-han-quoc-ly-62g-i3061780261.html")</f>
        <v>https://www.lazada.vn/products/mi-udon-chien-nhap-khau-han-quoc-ly-62g-i3061780261.html</v>
      </c>
      <c r="C6337" s="10" t="s">
        <v>6337</v>
      </c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>
      <c r="A6338" s="8">
        <v>11192.0</v>
      </c>
      <c r="B6338" s="9" t="str">
        <f>HYPERLINK("https://www.lazada.vn/products/1-thung-24-lon-mirinda-cam-thai-lan-i2330547326.html", "https://www.lazada.vn/products/1-thung-24-lon-mirinda-cam-thai-lan-i2330547326.html")</f>
        <v>https://www.lazada.vn/products/1-thung-24-lon-mirinda-cam-thai-lan-i2330547326.html</v>
      </c>
      <c r="C6338" s="10" t="s">
        <v>6338</v>
      </c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>
      <c r="A6339" s="8">
        <v>11193.0</v>
      </c>
      <c r="B6339" s="9" t="str">
        <f>HYPERLINK("https://www.lazada.vn/products/trai-oliu-xanh-den-tach-hat-ngam-nguyen-qua-hieu-latino-bella-450g-nhap-khau-tay-ban-nha-i1886402524.html", "https://www.lazada.vn/products/trai-oliu-xanh-den-tach-hat-ngam-nguyen-qua-hieu-latino-bella-450g-nhap-khau-tay-ban-nha-i1886402524.html")</f>
        <v>https://www.lazada.vn/products/trai-oliu-xanh-den-tach-hat-ngam-nguyen-qua-hieu-latino-bella-450g-nhap-khau-tay-ban-nha-i1886402524.html</v>
      </c>
      <c r="C6339" s="10" t="s">
        <v>6339</v>
      </c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>
      <c r="A6340" s="8">
        <v>11194.0</v>
      </c>
      <c r="B6340" s="9" t="str">
        <f>HYPERLINK("https://www.lazada.vn/products/gion-gionbanh-gao-shouyu-mat-ong-ichi-100g-i1596549503.html", "https://www.lazada.vn/products/gion-gionbanh-gao-shouyu-mat-ong-ichi-100g-i1596549503.html")</f>
        <v>https://www.lazada.vn/products/gion-gionbanh-gao-shouyu-mat-ong-ichi-100g-i1596549503.html</v>
      </c>
      <c r="C6340" s="10" t="s">
        <v>6340</v>
      </c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>
      <c r="A6341" s="8">
        <v>11195.0</v>
      </c>
      <c r="B6341" s="9" t="str">
        <f>HYPERLINK("https://www.lazada.vn/products/thung-24-lon-nuoc-ngot-coca-cola-235ml-i2359913692.html", "https://www.lazada.vn/products/thung-24-lon-nuoc-ngot-coca-cola-235ml-i2359913692.html")</f>
        <v>https://www.lazada.vn/products/thung-24-lon-nuoc-ngot-coca-cola-235ml-i2359913692.html</v>
      </c>
      <c r="C6341" s="10" t="s">
        <v>6341</v>
      </c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>
      <c r="A6342" s="8">
        <v>11196.0</v>
      </c>
      <c r="B6342" s="9" t="str">
        <f>HYPERLINK("https://www.lazada.vn/products/tini-sangiovese-cabernet-rubicone-vang-do-y-i2596766442.html", "https://www.lazada.vn/products/tini-sangiovese-cabernet-rubicone-vang-do-y-i2596766442.html")</f>
        <v>https://www.lazada.vn/products/tini-sangiovese-cabernet-rubicone-vang-do-y-i2596766442.html</v>
      </c>
      <c r="C6342" s="10" t="s">
        <v>6342</v>
      </c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>
      <c r="A6343" s="8">
        <v>11197.0</v>
      </c>
      <c r="B6343" s="9" t="str">
        <f>HYPERLINK("https://www.lazada.vn/products/thach-nha-dam-aloe-vera-jelly-saigonfood-1kg-i2164615706.html", "https://www.lazada.vn/products/thach-nha-dam-aloe-vera-jelly-saigonfood-1kg-i2164615706.html")</f>
        <v>https://www.lazada.vn/products/thach-nha-dam-aloe-vera-jelly-saigonfood-1kg-i2164615706.html</v>
      </c>
      <c r="C6343" s="10" t="s">
        <v>6343</v>
      </c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>
      <c r="A6344" s="8">
        <v>11198.0</v>
      </c>
      <c r="B6344" s="9" t="str">
        <f>HYPERLINK("https://www.lazada.vn/products/ca-phe-sour-love-house-blend-dac-biet-stupiducks-specialty-coffee-i3001214677.html", "https://www.lazada.vn/products/ca-phe-sour-love-house-blend-dac-biet-stupiducks-specialty-coffee-i3001214677.html")</f>
        <v>https://www.lazada.vn/products/ca-phe-sour-love-house-blend-dac-biet-stupiducks-specialty-coffee-i3001214677.html</v>
      </c>
      <c r="C6344" s="10" t="s">
        <v>6344</v>
      </c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>
      <c r="A6345" s="8">
        <v>11199.0</v>
      </c>
      <c r="B6345" s="9" t="str">
        <f>HYPERLINK("https://www.lazada.vn/products/keo-socola-schogetten-den-hat-phi-100gr-04408-i2905028133.html", "https://www.lazada.vn/products/keo-socola-schogetten-den-hat-phi-100gr-04408-i2905028133.html")</f>
        <v>https://www.lazada.vn/products/keo-socola-schogetten-den-hat-phi-100gr-04408-i2905028133.html</v>
      </c>
      <c r="C6345" s="10" t="s">
        <v>6345</v>
      </c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>
      <c r="A6346" s="8">
        <v>11200.0</v>
      </c>
      <c r="B6346" s="9" t="str">
        <f>HYPERLINK("https://www.lazada.vn/products/bia-leffe-bi-vang-66-thung-24-chai-i2274681393.html", "https://www.lazada.vn/products/bia-leffe-bi-vang-66-thung-24-chai-i2274681393.html")</f>
        <v>https://www.lazada.vn/products/bia-leffe-bi-vang-66-thung-24-chai-i2274681393.html</v>
      </c>
      <c r="C6346" s="10" t="s">
        <v>6346</v>
      </c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>
      <c r="A6347" s="8">
        <v>11201.0</v>
      </c>
      <c r="B6347" s="9" t="str">
        <f>HYPERLINK("https://www.lazada.vn/products/hcmbanh-dua-nuong-quy-thu-goi-180g-i985476094.html", "https://www.lazada.vn/products/hcmbanh-dua-nuong-quy-thu-goi-180g-i985476094.html")</f>
        <v>https://www.lazada.vn/products/hcmbanh-dua-nuong-quy-thu-goi-180g-i985476094.html</v>
      </c>
      <c r="C6347" s="10" t="s">
        <v>6347</v>
      </c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>
      <c r="A6348" s="8">
        <v>11202.0</v>
      </c>
      <c r="B6348" s="9" t="str">
        <f>HYPERLINK("https://www.lazada.vn/products/mi-udong-chien-nhap-khau-han-quoc-62g-i3061627740.html", "https://www.lazada.vn/products/mi-udong-chien-nhap-khau-han-quoc-62g-i3061627740.html")</f>
        <v>https://www.lazada.vn/products/mi-udong-chien-nhap-khau-han-quoc-62g-i3061627740.html</v>
      </c>
      <c r="C6348" s="10" t="s">
        <v>6348</v>
      </c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>
      <c r="A6349" s="8">
        <v>11203.0</v>
      </c>
      <c r="B6349" s="9" t="str">
        <f>HYPERLINK("https://www.lazada.vn/products/mam-ruoc-gia-tay-dac-san-binh-dinh-500gr-i1884809765.html", "https://www.lazada.vn/products/mam-ruoc-gia-tay-dac-san-binh-dinh-500gr-i1884809765.html")</f>
        <v>https://www.lazada.vn/products/mam-ruoc-gia-tay-dac-san-binh-dinh-500gr-i1884809765.html</v>
      </c>
      <c r="C6349" s="10" t="s">
        <v>6349</v>
      </c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>
      <c r="A6350" s="8">
        <v>11204.0</v>
      </c>
      <c r="B6350" s="9" t="str">
        <f>HYPERLINK("https://www.lazada.vn/products/vodka-men-lon-295-500ml-i2332572064.html", "https://www.lazada.vn/products/vodka-men-lon-295-500ml-i2332572064.html")</f>
        <v>https://www.lazada.vn/products/vodka-men-lon-295-500ml-i2332572064.html</v>
      </c>
      <c r="C6350" s="10" t="s">
        <v>6350</v>
      </c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>
      <c r="A6351" s="8">
        <v>11205.0</v>
      </c>
      <c r="B6351" s="9" t="str">
        <f>HYPERLINK("https://www.lazada.vn/products/bot-cacao-hersheys-cocoa-powder-hersheys-cocoa-natural-unsweetened-100-cocoa-226gr-i1597704716.html", "https://www.lazada.vn/products/bot-cacao-hersheys-cocoa-powder-hersheys-cocoa-natural-unsweetened-100-cocoa-226gr-i1597704716.html")</f>
        <v>https://www.lazada.vn/products/bot-cacao-hersheys-cocoa-powder-hersheys-cocoa-natural-unsweetened-100-cocoa-226gr-i1597704716.html</v>
      </c>
      <c r="C6351" s="10" t="s">
        <v>6351</v>
      </c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>
      <c r="A6352" s="8">
        <v>11206.0</v>
      </c>
      <c r="B6352" s="9" t="str">
        <f>HYPERLINK("https://www.lazada.vn/products/mi-hai-san-jiambong-nhap-khau-han-quoc-75g-i3061624660.html", "https://www.lazada.vn/products/mi-hai-san-jiambong-nhap-khau-han-quoc-75g-i3061624660.html")</f>
        <v>https://www.lazada.vn/products/mi-hai-san-jiambong-nhap-khau-han-quoc-75g-i3061624660.html</v>
      </c>
      <c r="C6352" s="10" t="s">
        <v>6352</v>
      </c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>
      <c r="A6353" s="8">
        <v>11207.0</v>
      </c>
      <c r="B6353" s="9" t="str">
        <f>HYPERLINK("https://www.lazada.vn/products/mat-ong-nguyen-chat-lang-son-i1884340605.html", "https://www.lazada.vn/products/mat-ong-nguyen-chat-lang-son-i1884340605.html")</f>
        <v>https://www.lazada.vn/products/mat-ong-nguyen-chat-lang-son-i1884340605.html</v>
      </c>
      <c r="C6353" s="10" t="s">
        <v>6353</v>
      </c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>
      <c r="A6354" s="8">
        <v>11208.0</v>
      </c>
      <c r="B6354" s="9" t="str">
        <f>HYPERLINK("https://www.lazada.vn/products/1-vien-keo-a7-alpha-seven-vi-chanh-giao-hang-che-ten-i2945675169.html", "https://www.lazada.vn/products/1-vien-keo-a7-alpha-seven-vi-chanh-giao-hang-che-ten-i2945675169.html")</f>
        <v>https://www.lazada.vn/products/1-vien-keo-a7-alpha-seven-vi-chanh-giao-hang-che-ten-i2945675169.html</v>
      </c>
      <c r="C6354" s="10" t="s">
        <v>6354</v>
      </c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>
      <c r="A6355" s="8">
        <v>11209.0</v>
      </c>
      <c r="B6355" s="9" t="str">
        <f>HYPERLINK("https://www.lazada.vn/products/mirinda-thai-lan-24lon-i2329151040.html", "https://www.lazada.vn/products/mirinda-thai-lan-24lon-i2329151040.html")</f>
        <v>https://www.lazada.vn/products/mirinda-thai-lan-24lon-i2329151040.html</v>
      </c>
      <c r="C6355" s="10" t="s">
        <v>6355</v>
      </c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>
      <c r="A6356" s="8">
        <v>11210.0</v>
      </c>
      <c r="B6356" s="9" t="str">
        <f>HYPERLINK("https://www.lazada.vn/products/500g-kho-ca-loc-1-nang-mien-tay-i3033745681.html", "https://www.lazada.vn/products/500g-kho-ca-loc-1-nang-mien-tay-i3033745681.html")</f>
        <v>https://www.lazada.vn/products/500g-kho-ca-loc-1-nang-mien-tay-i3033745681.html</v>
      </c>
      <c r="C6356" s="10" t="s">
        <v>6356</v>
      </c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>
      <c r="A6357" s="8">
        <v>11211.0</v>
      </c>
      <c r="B6357" s="9" t="str">
        <f>HYPERLINK("https://www.lazada.vn/products/1-cay-cha-bo-nha-lam-co-thao-binh-dinh-1-cay-500-gram-i1881552933.html", "https://www.lazada.vn/products/1-cay-cha-bo-nha-lam-co-thao-binh-dinh-1-cay-500-gram-i1881552933.html")</f>
        <v>https://www.lazada.vn/products/1-cay-cha-bo-nha-lam-co-thao-binh-dinh-1-cay-500-gram-i1881552933.html</v>
      </c>
      <c r="C6357" s="10" t="s">
        <v>6357</v>
      </c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>
      <c r="A6358" s="8">
        <v>11212.0</v>
      </c>
      <c r="B6358" s="9" t="str">
        <f>HYPERLINK("https://www.lazada.vn/products/mi-kho-ga-cay-samyang-nhap-khau-han-quoc-ly-70g-i3061599736.html", "https://www.lazada.vn/products/mi-kho-ga-cay-samyang-nhap-khau-han-quoc-ly-70g-i3061599736.html")</f>
        <v>https://www.lazada.vn/products/mi-kho-ga-cay-samyang-nhap-khau-han-quoc-ly-70g-i3061599736.html</v>
      </c>
      <c r="C6358" s="10" t="s">
        <v>6358</v>
      </c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>
      <c r="A6359" s="8">
        <v>11213.0</v>
      </c>
      <c r="B6359" s="9" t="str">
        <f>HYPERLINK("https://www.lazada.vn/products/loc-10-chai-nuoc-tang-luc-redbull-chai-thuy-tinh-150ml-hang-thai-noi-dia-i2323082802.html", "https://www.lazada.vn/products/loc-10-chai-nuoc-tang-luc-redbull-chai-thuy-tinh-150ml-hang-thai-noi-dia-i2323082802.html")</f>
        <v>https://www.lazada.vn/products/loc-10-chai-nuoc-tang-luc-redbull-chai-thuy-tinh-150ml-hang-thai-noi-dia-i2323082802.html</v>
      </c>
      <c r="C6359" s="10" t="s">
        <v>6359</v>
      </c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>
      <c r="A6360" s="8">
        <v>11214.0</v>
      </c>
      <c r="B6360" s="9" t="str">
        <f>HYPERLINK("https://www.lazada.vn/products/keo-nhai-mentos-trai-cay-1-kg-14859-tet-2025-i2904038668.html", "https://www.lazada.vn/products/keo-nhai-mentos-trai-cay-1-kg-14859-tet-2025-i2904038668.html")</f>
        <v>https://www.lazada.vn/products/keo-nhai-mentos-trai-cay-1-kg-14859-tet-2025-i2904038668.html</v>
      </c>
      <c r="C6360" s="10" t="s">
        <v>6360</v>
      </c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>
      <c r="A6361" s="8">
        <v>11215.0</v>
      </c>
      <c r="B6361" s="9" t="str">
        <f>HYPERLINK("https://www.lazada.vn/products/thit-lon-gac-bep-dac-san-tay-bac-500gr-i3033685400.html", "https://www.lazada.vn/products/thit-lon-gac-bep-dac-san-tay-bac-500gr-i3033685400.html")</f>
        <v>https://www.lazada.vn/products/thit-lon-gac-bep-dac-san-tay-bac-500gr-i3033685400.html</v>
      </c>
      <c r="C6361" s="10" t="s">
        <v>6361</v>
      </c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>
      <c r="A6362" s="8">
        <v>11216.0</v>
      </c>
      <c r="B6362" s="9" t="str">
        <f>HYPERLINK("https://www.lazada.vn/products/thit-ga-xay-170g-do-hop-ha-long-i1879478931.html", "https://www.lazada.vn/products/thit-ga-xay-170g-do-hop-ha-long-i1879478931.html")</f>
        <v>https://www.lazada.vn/products/thit-ga-xay-170g-do-hop-ha-long-i1879478931.html</v>
      </c>
      <c r="C6362" s="10" t="s">
        <v>6362</v>
      </c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>
      <c r="A6363" s="8">
        <v>11217.0</v>
      </c>
      <c r="B6363" s="9" t="str">
        <f>HYPERLINK("https://www.lazada.vn/products/mi-tron-tuong-den-tre-em-chappaetty-han-quoc-ly-70g-i3061360680.html", "https://www.lazada.vn/products/mi-tron-tuong-den-tre-em-chappaetty-han-quoc-ly-70g-i3061360680.html")</f>
        <v>https://www.lazada.vn/products/mi-tron-tuong-den-tre-em-chappaetty-han-quoc-ly-70g-i3061360680.html</v>
      </c>
      <c r="C6363" s="10" t="s">
        <v>6363</v>
      </c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>
      <c r="A6364" s="8">
        <v>11218.0</v>
      </c>
      <c r="B6364" s="9" t="str">
        <f>HYPERLINK("https://www.lazada.vn/products/nuoc-vi-khoang-i-on-life-kiem-alkaline-45l-thung-4-chai-chat-luong-nhat-ban-tot-cho-suc-khoe-i2322690768.html", "https://www.lazada.vn/products/nuoc-vi-khoang-i-on-life-kiem-alkaline-45l-thung-4-chai-chat-luong-nhat-ban-tot-cho-suc-khoe-i2322690768.html")</f>
        <v>https://www.lazada.vn/products/nuoc-vi-khoang-i-on-life-kiem-alkaline-45l-thung-4-chai-chat-luong-nhat-ban-tot-cho-suc-khoe-i2322690768.html</v>
      </c>
      <c r="C6364" s="10" t="s">
        <v>6364</v>
      </c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>
      <c r="A6365" s="8">
        <v>11219.0</v>
      </c>
      <c r="B6365" s="9" t="str">
        <f>HYPERLINK("https://www.lazada.vn/products/keo-dieu-uoc-lon-pet-500g-sieu-i2880651924.html", "https://www.lazada.vn/products/keo-dieu-uoc-lon-pet-500g-sieu-i2880651924.html")</f>
        <v>https://www.lazada.vn/products/keo-dieu-uoc-lon-pet-500g-sieu-i2880651924.html</v>
      </c>
      <c r="C6365" s="10" t="s">
        <v>6365</v>
      </c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>
      <c r="A6366" s="8">
        <v>11220.0</v>
      </c>
      <c r="B6366" s="9" t="str">
        <f>HYPERLINK("https://www.lazada.vn/products/dau-hu-ngay-van-nam-hop-500g-30-cuc-giao-hcm-i3033594143.html", "https://www.lazada.vn/products/dau-hu-ngay-van-nam-hop-500g-30-cuc-giao-hcm-i3033594143.html")</f>
        <v>https://www.lazada.vn/products/dau-hu-ngay-van-nam-hop-500g-30-cuc-giao-hcm-i3033594143.html</v>
      </c>
      <c r="C6366" s="10" t="s">
        <v>6366</v>
      </c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>
      <c r="A6367" s="8">
        <v>11221.0</v>
      </c>
      <c r="B6367" s="9" t="str">
        <f>HYPERLINK("https://www.lazada.vn/products/1kg-banh-hap-bot-chien-khoai-mon-dung-de-chien-bot-chien-lam-san-i1879046072.html", "https://www.lazada.vn/products/1kg-banh-hap-bot-chien-khoai-mon-dung-de-chien-bot-chien-lam-san-i1879046072.html")</f>
        <v>https://www.lazada.vn/products/1kg-banh-hap-bot-chien-khoai-mon-dung-de-chien-bot-chien-lam-san-i1879046072.html</v>
      </c>
      <c r="C6367" s="10" t="s">
        <v>6367</v>
      </c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>
      <c r="A6368" s="8">
        <v>11222.0</v>
      </c>
      <c r="B6368" s="9" t="str">
        <f>HYPERLINK("https://www.lazada.vn/products/2-ly-bun-gao-lut-vi-rau-cu-hat-ngu-coc-vi-tao-xoan-chua-cay-i3060403017.html", "https://www.lazada.vn/products/2-ly-bun-gao-lut-vi-rau-cu-hat-ngu-coc-vi-tao-xoan-chua-cay-i3060403017.html")</f>
        <v>https://www.lazada.vn/products/2-ly-bun-gao-lut-vi-rau-cu-hat-ngu-coc-vi-tao-xoan-chua-cay-i3060403017.html</v>
      </c>
      <c r="C6368" s="10" t="s">
        <v>6368</v>
      </c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>
      <c r="A6369" s="8">
        <v>11223.0</v>
      </c>
      <c r="B6369" s="9" t="str">
        <f>HYPERLINK("https://www.lazada.vn/products/haldiram-indian-snack-haldiram-punjabi-tadka-150g-i1589673340.html", "https://www.lazada.vn/products/haldiram-indian-snack-haldiram-punjabi-tadka-150g-i1589673340.html")</f>
        <v>https://www.lazada.vn/products/haldiram-indian-snack-haldiram-punjabi-tadka-150g-i1589673340.html</v>
      </c>
      <c r="C6369" s="10" t="s">
        <v>6369</v>
      </c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>
      <c r="A6370" s="8">
        <v>11224.0</v>
      </c>
      <c r="B6370" s="9" t="str">
        <f>HYPERLINK("https://www.lazada.vn/products/chai-nuoc-uong-kiem-i-on-life-alkaline-dung-tich-45l-chat-luong-nhat-ban-khoe-ruot-mat-da-i2322683893.html", "https://www.lazada.vn/products/chai-nuoc-uong-kiem-i-on-life-alkaline-dung-tich-45l-chat-luong-nhat-ban-khoe-ruot-mat-da-i2322683893.html")</f>
        <v>https://www.lazada.vn/products/chai-nuoc-uong-kiem-i-on-life-alkaline-dung-tich-45l-chat-luong-nhat-ban-khoe-ruot-mat-da-i2322683893.html</v>
      </c>
      <c r="C6370" s="10" t="s">
        <v>6370</v>
      </c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>
      <c r="A6371" s="8">
        <v>11225.0</v>
      </c>
      <c r="B6371" s="9" t="str">
        <f>HYPERLINK("https://www.lazada.vn/products/trai-cay-say-thap-cam-cao-cap-i2919355587.html", "https://www.lazada.vn/products/trai-cay-say-thap-cam-cao-cap-i2919355587.html")</f>
        <v>https://www.lazada.vn/products/trai-cay-say-thap-cam-cao-cap-i2919355587.html</v>
      </c>
      <c r="C6371" s="10" t="s">
        <v>6371</v>
      </c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>
      <c r="A6372" s="8">
        <v>11226.0</v>
      </c>
      <c r="B6372" s="9" t="str">
        <f>HYPERLINK("https://www.lazada.vn/products/keo-deo-hamburger-chum-60-que-an-vat-food-i2798592320.html", "https://www.lazada.vn/products/keo-deo-hamburger-chum-60-que-an-vat-food-i2798592320.html")</f>
        <v>https://www.lazada.vn/products/keo-deo-hamburger-chum-60-que-an-vat-food-i2798592320.html</v>
      </c>
      <c r="C6372" s="10" t="s">
        <v>6372</v>
      </c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>
      <c r="A6373" s="8">
        <v>11227.0</v>
      </c>
      <c r="B6373" s="9" t="str">
        <f>HYPERLINK("https://www.lazada.vn/products/thit-than-chay-100g-thanh-dung-i3033378049.html", "https://www.lazada.vn/products/thit-than-chay-100g-thanh-dung-i3033378049.html")</f>
        <v>https://www.lazada.vn/products/thit-than-chay-100g-thanh-dung-i3033378049.html</v>
      </c>
      <c r="C6373" s="10" t="s">
        <v>6373</v>
      </c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>
      <c r="A6374" s="8">
        <v>11228.0</v>
      </c>
      <c r="B6374" s="9" t="str">
        <f>HYPERLINK("https://www.lazada.vn/products/500gr-dau-phong-rang-nguyen-vo-say-kho-an-lien-i1879011384.html", "https://www.lazada.vn/products/500gr-dau-phong-rang-nguyen-vo-say-kho-an-lien-i1879011384.html")</f>
        <v>https://www.lazada.vn/products/500gr-dau-phong-rang-nguyen-vo-say-kho-an-lien-i1879011384.html</v>
      </c>
      <c r="C6374" s="10" t="s">
        <v>6374</v>
      </c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>
      <c r="A6375" s="8">
        <v>11229.0</v>
      </c>
      <c r="B6375" s="9" t="str">
        <f>HYPERLINK("https://www.lazada.vn/products/combo-4-goi-thach-trai-cay-chewy-jele-108g-i2164231344.html", "https://www.lazada.vn/products/combo-4-goi-thach-trai-cay-chewy-jele-108g-i2164231344.html")</f>
        <v>https://www.lazada.vn/products/combo-4-goi-thach-trai-cay-chewy-jele-108g-i2164231344.html</v>
      </c>
      <c r="C6375" s="10" t="s">
        <v>6375</v>
      </c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>
      <c r="A6376" s="8">
        <v>11230.0</v>
      </c>
      <c r="B6376" s="9" t="str">
        <f>HYPERLINK("https://www.lazada.vn/products/combo-2-bich-banh-pia-soc-trang-luong-tran-hop-5-cai-100g-i953454410.html", "https://www.lazada.vn/products/combo-2-bich-banh-pia-soc-trang-luong-tran-hop-5-cai-100g-i953454410.html")</f>
        <v>https://www.lazada.vn/products/combo-2-bich-banh-pia-soc-trang-luong-tran-hop-5-cai-100g-i953454410.html</v>
      </c>
      <c r="C6376" s="10" t="s">
        <v>6376</v>
      </c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>
      <c r="A6377" s="8">
        <v>11231.0</v>
      </c>
      <c r="B6377" s="9" t="str">
        <f>HYPERLINK("https://www.lazada.vn/products/nuoc-ngot-coca-cola-zero-lon-320ml-i2358828417.html", "https://www.lazada.vn/products/nuoc-ngot-coca-cola-zero-lon-320ml-i2358828417.html")</f>
        <v>https://www.lazada.vn/products/nuoc-ngot-coca-cola-zero-lon-320ml-i2358828417.html</v>
      </c>
      <c r="C6377" s="10" t="s">
        <v>6377</v>
      </c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>
      <c r="A6378" s="8">
        <v>11232.0</v>
      </c>
      <c r="B6378" s="9" t="str">
        <f>HYPERLINK("https://www.lazada.vn/products/mi-tron-mix-2-vi-trai-nghiem-miliket-thung-12-to-x-90g-i3059516773.html", "https://www.lazada.vn/products/mi-tron-mix-2-vi-trai-nghiem-miliket-thung-12-to-x-90g-i3059516773.html")</f>
        <v>https://www.lazada.vn/products/mi-tron-mix-2-vi-trai-nghiem-miliket-thung-12-to-x-90g-i3059516773.html</v>
      </c>
      <c r="C6378" s="10" t="s">
        <v>6378</v>
      </c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>
      <c r="A6379" s="8">
        <v>11233.0</v>
      </c>
      <c r="B6379" s="9" t="str">
        <f>HYPERLINK("https://www.lazada.vn/products/nuoc-giai-khat-suntory-pepsico-vi-number-one-330ml-i2322318580.html", "https://www.lazada.vn/products/nuoc-giai-khat-suntory-pepsico-vi-number-one-330ml-i2322318580.html")</f>
        <v>https://www.lazada.vn/products/nuoc-giai-khat-suntory-pepsico-vi-number-one-330ml-i2322318580.html</v>
      </c>
      <c r="C6379" s="10" t="s">
        <v>6379</v>
      </c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>
      <c r="A6380" s="8">
        <v>11234.0</v>
      </c>
      <c r="B6380" s="9" t="str">
        <f>HYPERLINK("https://www.lazada.vn/products/nuoc-xi-vang4-loai-xi-vang-hong-xi-vang-chanh-xi-vang-cam-xi-vang-9999-i2493184733.html", "https://www.lazada.vn/products/nuoc-xi-vang4-loai-xi-vang-hong-xi-vang-chanh-xi-vang-cam-xi-vang-9999-i2493184733.html")</f>
        <v>https://www.lazada.vn/products/nuoc-xi-vang4-loai-xi-vang-hong-xi-vang-chanh-xi-vang-cam-xi-vang-9999-i2493184733.html</v>
      </c>
      <c r="C6380" s="10" t="s">
        <v>6380</v>
      </c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>
      <c r="A6381" s="8">
        <v>11235.0</v>
      </c>
      <c r="B6381" s="9" t="str">
        <f>HYPERLINK("https://www.lazada.vn/products/keo-deo-chupa-chups-gau-panda-goi-24g-shop-thu-quan-i2732290443.html", "https://www.lazada.vn/products/keo-deo-chupa-chups-gau-panda-goi-24g-shop-thu-quan-i2732290443.html")</f>
        <v>https://www.lazada.vn/products/keo-deo-chupa-chups-gau-panda-goi-24g-shop-thu-quan-i2732290443.html</v>
      </c>
      <c r="C6381" s="10" t="s">
        <v>6381</v>
      </c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>
      <c r="A6382" s="8">
        <v>11236.0</v>
      </c>
      <c r="B6382" s="9" t="str">
        <f>HYPERLINK("https://www.lazada.vn/products/thit-than-chay-500g-thanh-dung-i3033323060.html", "https://www.lazada.vn/products/thit-than-chay-500g-thanh-dung-i3033323060.html")</f>
        <v>https://www.lazada.vn/products/thit-than-chay-500g-thanh-dung-i3033323060.html</v>
      </c>
      <c r="C6382" s="10" t="s">
        <v>6382</v>
      </c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>
      <c r="A6383" s="8">
        <v>11237.0</v>
      </c>
      <c r="B6383" s="9" t="str">
        <f>HYPERLINK("https://www.lazada.vn/products/500gr-dau-phong-say-kho-nguyen-vo-an-lien-i1879007403.html", "https://www.lazada.vn/products/500gr-dau-phong-say-kho-nguyen-vo-an-lien-i1879007403.html")</f>
        <v>https://www.lazada.vn/products/500gr-dau-phong-say-kho-nguyen-vo-an-lien-i1879007403.html</v>
      </c>
      <c r="C6383" s="10" t="s">
        <v>6383</v>
      </c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>
      <c r="A6384" s="8">
        <v>11238.0</v>
      </c>
      <c r="B6384" s="9" t="str">
        <f>HYPERLINK("https://www.lazada.vn/products/combo-10-goi-keo-deo-loi-khuan-ich-nhi-chua-loi-khuan-bacillus-subtilis-ho-tro-tieu-hoa-tang-cuong-hap-thu-i2731469894.html", "https://www.lazada.vn/products/combo-10-goi-keo-deo-loi-khuan-ich-nhi-chua-loi-khuan-bacillus-subtilis-ho-tro-tieu-hoa-tang-cuong-hap-thu-i2731469894.html")</f>
        <v>https://www.lazada.vn/products/combo-10-goi-keo-deo-loi-khuan-ich-nhi-chua-loi-khuan-bacillus-subtilis-ho-tro-tieu-hoa-tang-cuong-hap-thu-i2731469894.html</v>
      </c>
      <c r="C6384" s="10" t="s">
        <v>6384</v>
      </c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>
      <c r="A6385" s="8">
        <v>11239.0</v>
      </c>
      <c r="B6385" s="9" t="str">
        <f>HYPERLINK("https://www.lazada.vn/products/mi-tron-mix-2-vi-trai-nghiem-miliket-thung-12-to-x-90g-i3059405994.html", "https://www.lazada.vn/products/mi-tron-mix-2-vi-trai-nghiem-miliket-thung-12-to-x-90g-i3059405994.html")</f>
        <v>https://www.lazada.vn/products/mi-tron-mix-2-vi-trai-nghiem-miliket-thung-12-to-x-90g-i3059405994.html</v>
      </c>
      <c r="C6385" s="10" t="s">
        <v>6385</v>
      </c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>
      <c r="A6386" s="8">
        <v>11240.0</v>
      </c>
      <c r="B6386" s="9" t="str">
        <f>HYPERLINK("https://www.lazada.vn/products/ga-lat-chay-100g-thanh-dung-i3033133842.html", "https://www.lazada.vn/products/ga-lat-chay-100g-thanh-dung-i3033133842.html")</f>
        <v>https://www.lazada.vn/products/ga-lat-chay-100g-thanh-dung-i3033133842.html</v>
      </c>
      <c r="C6386" s="10" t="s">
        <v>6386</v>
      </c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>
      <c r="A6387" s="8">
        <v>11241.0</v>
      </c>
      <c r="B6387" s="9" t="str">
        <f>HYPERLINK("https://www.lazada.vn/products/combo-3-chai-nuoc-uong-tang-luc-hong-sam-won-3-chai-x-100ml-i2321504104.html", "https://www.lazada.vn/products/combo-3-chai-nuoc-uong-tang-luc-hong-sam-won-3-chai-x-100ml-i2321504104.html")</f>
        <v>https://www.lazada.vn/products/combo-3-chai-nuoc-uong-tang-luc-hong-sam-won-3-chai-x-100ml-i2321504104.html</v>
      </c>
      <c r="C6387" s="10" t="s">
        <v>6387</v>
      </c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>
      <c r="A6388" s="8">
        <v>11242.0</v>
      </c>
      <c r="B6388" s="9" t="str">
        <f>HYPERLINK("https://www.lazada.vn/products/500gr-dau-phong-rang-nguyen-vo-say-kho-an-lien-i1878973687.html", "https://www.lazada.vn/products/500gr-dau-phong-rang-nguyen-vo-say-kho-an-lien-i1878973687.html")</f>
        <v>https://www.lazada.vn/products/500gr-dau-phong-rang-nguyen-vo-say-kho-an-lien-i1878973687.html</v>
      </c>
      <c r="C6388" s="10" t="s">
        <v>6388</v>
      </c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>
      <c r="A6389" s="8">
        <v>11243.0</v>
      </c>
      <c r="B6389" s="9" t="str">
        <f>HYPERLINK("https://www.lazada.vn/products/chinh-hang-tem-ngam-vinix-100mg-tem-ngam-han-quoc-hop-10-tem-i2707828631.html", "https://www.lazada.vn/products/chinh-hang-tem-ngam-vinix-100mg-tem-ngam-han-quoc-hop-10-tem-i2707828631.html")</f>
        <v>https://www.lazada.vn/products/chinh-hang-tem-ngam-vinix-100mg-tem-ngam-han-quoc-hop-10-tem-i2707828631.html</v>
      </c>
      <c r="C6389" s="10" t="s">
        <v>6389</v>
      </c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>
      <c r="A6390" s="8">
        <v>11244.0</v>
      </c>
      <c r="B6390" s="9" t="str">
        <f>HYPERLINK("https://www.lazada.vn/products/mi-trung-han-quoc-ottogi-ly-65g-i3058504493.html", "https://www.lazada.vn/products/mi-trung-han-quoc-ottogi-ly-65g-i3058504493.html")</f>
        <v>https://www.lazada.vn/products/mi-trung-han-quoc-ottogi-ly-65g-i3058504493.html</v>
      </c>
      <c r="C6390" s="10" t="s">
        <v>6390</v>
      </c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>
      <c r="A6391" s="8">
        <v>11245.0</v>
      </c>
      <c r="B6391" s="9" t="str">
        <f>HYPERLINK("https://www.lazada.vn/products/ayam-brand-hop-chilli-xanh-la-160g-ca-ngu-ngam-ot-chilli-tuna-halal-i3031941036.html", "https://www.lazada.vn/products/ayam-brand-hop-chilli-xanh-la-160g-ca-ngu-ngam-ot-chilli-tuna-halal-i3031941036.html")</f>
        <v>https://www.lazada.vn/products/ayam-brand-hop-chilli-xanh-la-160g-ca-ngu-ngam-ot-chilli-tuna-halal-i3031941036.html</v>
      </c>
      <c r="C6391" s="10" t="s">
        <v>6391</v>
      </c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>
      <c r="A6392" s="8">
        <v>11246.0</v>
      </c>
      <c r="B6392" s="9" t="str">
        <f>HYPERLINK("https://www.lazada.vn/products/combo-2-chai-nuoc-uong-tang-luc-hong-sam-won-2-chai-x-100ml-i2321346449.html", "https://www.lazada.vn/products/combo-2-chai-nuoc-uong-tang-luc-hong-sam-won-2-chai-x-100ml-i2321346449.html")</f>
        <v>https://www.lazada.vn/products/combo-2-chai-nuoc-uong-tang-luc-hong-sam-won-2-chai-x-100ml-i2321346449.html</v>
      </c>
      <c r="C6392" s="10" t="s">
        <v>6392</v>
      </c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>
      <c r="A6393" s="8">
        <v>11247.0</v>
      </c>
      <c r="B6393" s="9" t="str">
        <f>HYPERLINK("https://www.lazada.vn/products/tui-500gr-banh-bot-chien-hap-khoai-mon-dung-de-tu-chien-bot-chien-i1878970633.html", "https://www.lazada.vn/products/tui-500gr-banh-bot-chien-hap-khoai-mon-dung-de-tu-chien-bot-chien-i1878970633.html")</f>
        <v>https://www.lazada.vn/products/tui-500gr-banh-bot-chien-hap-khoai-mon-dung-de-tu-chien-bot-chien-i1878970633.html</v>
      </c>
      <c r="C6393" s="10" t="s">
        <v>6393</v>
      </c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>
      <c r="A6394" s="8">
        <v>11248.0</v>
      </c>
      <c r="B6394" s="9" t="str">
        <f>HYPERLINK("https://www.lazada.vn/products/thach-rau-cau-trai-cay-long-hai-tui-910g-i2707770135.html", "https://www.lazada.vn/products/thach-rau-cau-trai-cay-long-hai-tui-910g-i2707770135.html")</f>
        <v>https://www.lazada.vn/products/thach-rau-cau-trai-cay-long-hai-tui-910g-i2707770135.html</v>
      </c>
      <c r="C6394" s="10" t="s">
        <v>6394</v>
      </c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>
      <c r="A6395" s="8">
        <v>11249.0</v>
      </c>
      <c r="B6395" s="9" t="str">
        <f>HYPERLINK("https://www.lazada.vn/products/thung-nuoc-tang-luc-sting-huong-dau-330ml-i2320319092.html", "https://www.lazada.vn/products/thung-nuoc-tang-luc-sting-huong-dau-330ml-i2320319092.html")</f>
        <v>https://www.lazada.vn/products/thung-nuoc-tang-luc-sting-huong-dau-330ml-i2320319092.html</v>
      </c>
      <c r="C6395" s="10" t="s">
        <v>6395</v>
      </c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>
      <c r="A6396" s="8">
        <v>11250.0</v>
      </c>
      <c r="B6396" s="9" t="str">
        <f>HYPERLINK("https://www.lazada.vn/products/coop-lo-lon-520g-hoa-a-ti-so-cat-lat-ngam-dau-huong-duong-artichoke-hearts-marinated-in-oil-i3031791573.html", "https://www.lazada.vn/products/coop-lo-lon-520g-hoa-a-ti-so-cat-lat-ngam-dau-huong-duong-artichoke-hearts-marinated-in-oil-i3031791573.html")</f>
        <v>https://www.lazada.vn/products/coop-lo-lon-520g-hoa-a-ti-so-cat-lat-ngam-dau-huong-duong-artichoke-hearts-marinated-in-oil-i3031791573.html</v>
      </c>
      <c r="C6396" s="10" t="s">
        <v>6396</v>
      </c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>
      <c r="A6397" s="8">
        <v>11251.0</v>
      </c>
      <c r="B6397" s="9" t="str">
        <f>HYPERLINK("https://www.lazada.vn/products/nui-phoi-mai-kraft-original-mac-cheese-205-oz-cups-58g-i3058221573.html", "https://www.lazada.vn/products/nui-phoi-mai-kraft-original-mac-cheese-205-oz-cups-58g-i3058221573.html")</f>
        <v>https://www.lazada.vn/products/nui-phoi-mai-kraft-original-mac-cheese-205-oz-cups-58g-i3058221573.html</v>
      </c>
      <c r="C6397" s="10" t="s">
        <v>6397</v>
      </c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>
      <c r="A6398" s="8">
        <v>11252.0</v>
      </c>
      <c r="B6398" s="9" t="str">
        <f>HYPERLINK("https://www.lazada.vn/products/thach-sua-chua-natty-long-hai-i2707702261.html", "https://www.lazada.vn/products/thach-sua-chua-natty-long-hai-i2707702261.html")</f>
        <v>https://www.lazada.vn/products/thach-sua-chua-natty-long-hai-i2707702261.html</v>
      </c>
      <c r="C6398" s="10" t="s">
        <v>6398</v>
      </c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>
      <c r="A6399" s="8">
        <v>11253.0</v>
      </c>
      <c r="B6399" s="9" t="str">
        <f>HYPERLINK("https://www.lazada.vn/products/tui-500gr-banh-bot-chien-hap-khoai-mon-dung-de-tu-chien-bot-chien-i1878966788.html", "https://www.lazada.vn/products/tui-500gr-banh-bot-chien-hap-khoai-mon-dung-de-tu-chien-bot-chien-i1878966788.html")</f>
        <v>https://www.lazada.vn/products/tui-500gr-banh-bot-chien-hap-khoai-mon-dung-de-tu-chien-bot-chien-i1878966788.html</v>
      </c>
      <c r="C6399" s="10" t="s">
        <v>6399</v>
      </c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>
      <c r="A6400" s="8">
        <v>11254.0</v>
      </c>
      <c r="B6400" s="9" t="str">
        <f>HYPERLINK("https://www.lazada.vn/products/thung-24-lon-nuoc-tang-luc-asahi-monster-energy-355ml-noi-dia-nhat-i2313115788.html", "https://www.lazada.vn/products/thung-24-lon-nuoc-tang-luc-asahi-monster-energy-355ml-noi-dia-nhat-i2313115788.html")</f>
        <v>https://www.lazada.vn/products/thung-24-lon-nuoc-tang-luc-asahi-monster-energy-355ml-noi-dia-nhat-i2313115788.html</v>
      </c>
      <c r="C6400" s="10" t="s">
        <v>6400</v>
      </c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>
      <c r="A6401" s="8">
        <v>11255.0</v>
      </c>
      <c r="B6401" s="9" t="str">
        <f>HYPERLINK("https://www.lazada.vn/products/mi-tron-miliket-vi-spaghetti-to-90g-i3055591039.html", "https://www.lazada.vn/products/mi-tron-miliket-vi-spaghetti-to-90g-i3055591039.html")</f>
        <v>https://www.lazada.vn/products/mi-tron-miliket-vi-spaghetti-to-90g-i3055591039.html</v>
      </c>
      <c r="C6401" s="10" t="s">
        <v>6401</v>
      </c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>
      <c r="A6402" s="8">
        <v>11256.0</v>
      </c>
      <c r="B6402" s="9" t="str">
        <f>HYPERLINK("https://www.lazada.vn/products/hop-lon-25kg-peeled-ca-nguyen-trai-lot-vo-italia-metro-chef-peeled-tomatoes-pomodori-pelati-i3031710948.html", "https://www.lazada.vn/products/hop-lon-25kg-peeled-ca-nguyen-trai-lot-vo-italia-metro-chef-peeled-tomatoes-pomodori-pelati-i3031710948.html")</f>
        <v>https://www.lazada.vn/products/hop-lon-25kg-peeled-ca-nguyen-trai-lot-vo-italia-metro-chef-peeled-tomatoes-pomodori-pelati-i3031710948.html</v>
      </c>
      <c r="C6402" s="10" t="s">
        <v>6402</v>
      </c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>
      <c r="A6403" s="8">
        <v>11257.0</v>
      </c>
      <c r="B6403" s="9" t="str">
        <f>HYPERLINK("https://www.lazada.vn/products/thach-caramel-lapatie-long-hai-i2707695271.html", "https://www.lazada.vn/products/thach-caramel-lapatie-long-hai-i2707695271.html")</f>
        <v>https://www.lazada.vn/products/thach-caramel-lapatie-long-hai-i2707695271.html</v>
      </c>
      <c r="C6403" s="10" t="s">
        <v>6403</v>
      </c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>
      <c r="A6404" s="8">
        <v>11258.0</v>
      </c>
      <c r="B6404" s="9" t="str">
        <f>HYPERLINK("https://www.lazada.vn/products/1kg-banh-hap-bot-chien-khoai-mon-dung-de-chien-bot-chien-lam-san-i1878964799.html", "https://www.lazada.vn/products/1kg-banh-hap-bot-chien-khoai-mon-dung-de-chien-bot-chien-lam-san-i1878964799.html")</f>
        <v>https://www.lazada.vn/products/1kg-banh-hap-bot-chien-khoai-mon-dung-de-chien-bot-chien-lam-san-i1878964799.html</v>
      </c>
      <c r="C6404" s="10" t="s">
        <v>6404</v>
      </c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>
      <c r="A6405" s="8">
        <v>11259.0</v>
      </c>
      <c r="B6405" s="9" t="str">
        <f>HYPERLINK("https://www.lazada.vn/products/qua-tang-combo-2-nuoc-tang-luc-sting-dau-330mlchai-i2310833655.html", "https://www.lazada.vn/products/qua-tang-combo-2-nuoc-tang-luc-sting-dau-330mlchai-i2310833655.html")</f>
        <v>https://www.lazada.vn/products/qua-tang-combo-2-nuoc-tang-luc-sting-dau-330mlchai-i2310833655.html</v>
      </c>
      <c r="C6405" s="10" t="s">
        <v>6405</v>
      </c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>
      <c r="A6406" s="8">
        <v>11260.0</v>
      </c>
      <c r="B6406" s="9" t="str">
        <f>HYPERLINK("https://www.lazada.vn/products/mi-tron-miliket-pho-mai-han-quoc-to-90g-i3055534530.html", "https://www.lazada.vn/products/mi-tron-miliket-pho-mai-han-quoc-to-90g-i3055534530.html")</f>
        <v>https://www.lazada.vn/products/mi-tron-miliket-pho-mai-han-quoc-to-90g-i3055534530.html</v>
      </c>
      <c r="C6406" s="10" t="s">
        <v>6406</v>
      </c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>
      <c r="A6407" s="8">
        <v>11261.0</v>
      </c>
      <c r="B6407" s="9" t="str">
        <f>HYPERLINK("https://www.lazada.vn/products/ayam-hop-cn-do-120g-ca-trich-ngam-ot-va-dau-o-liu-nguyen-chat-sardines-in-extra-virgin-olive-oil-chilli-halal-i3031610751.html", "https://www.lazada.vn/products/ayam-hop-cn-do-120g-ca-trich-ngam-ot-va-dau-o-liu-nguyen-chat-sardines-in-extra-virgin-olive-oil-chilli-halal-i3031610751.html")</f>
        <v>https://www.lazada.vn/products/ayam-hop-cn-do-120g-ca-trich-ngam-ot-va-dau-o-liu-nguyen-chat-sardines-in-extra-virgin-olive-oil-chilli-halal-i3031610751.html</v>
      </c>
      <c r="C6407" s="10" t="s">
        <v>6407</v>
      </c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>
      <c r="A6408" s="8">
        <v>11262.0</v>
      </c>
      <c r="B6408" s="9" t="str">
        <f>HYPERLINK("https://www.lazada.vn/products/kho-ca-chi-vang-loai-ngon-50g100g200g-i1876144264.html", "https://www.lazada.vn/products/kho-ca-chi-vang-loai-ngon-50g100g200g-i1876144264.html")</f>
        <v>https://www.lazada.vn/products/kho-ca-chi-vang-loai-ngon-50g100g200g-i1876144264.html</v>
      </c>
      <c r="C6408" s="10" t="s">
        <v>6408</v>
      </c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>
      <c r="A6409" s="8">
        <v>11263.0</v>
      </c>
      <c r="B6409" s="9" t="str">
        <f>HYPERLINK("https://www.lazada.vn/products/chinh-hang-tem-ngam-vinix-100mg-tem-ngam-han-quoc-hop-10-tem-i2707685969.html", "https://www.lazada.vn/products/chinh-hang-tem-ngam-vinix-100mg-tem-ngam-han-quoc-hop-10-tem-i2707685969.html")</f>
        <v>https://www.lazada.vn/products/chinh-hang-tem-ngam-vinix-100mg-tem-ngam-han-quoc-hop-10-tem-i2707685969.html</v>
      </c>
      <c r="C6409" s="10" t="s">
        <v>6409</v>
      </c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>
      <c r="A6410" s="8">
        <v>11264.0</v>
      </c>
      <c r="B6410" s="9" t="str">
        <f>HYPERLINK("https://www.lazada.vn/products/banh-bong-lan-tam-giac-dai-loan-4-vi-thom-ngon-120grgoi-i2628699159.html", "https://www.lazada.vn/products/banh-bong-lan-tam-giac-dai-loan-4-vi-thom-ngon-120grgoi-i2628699159.html")</f>
        <v>https://www.lazada.vn/products/banh-bong-lan-tam-giac-dai-loan-4-vi-thom-ngon-120grgoi-i2628699159.html</v>
      </c>
      <c r="C6410" s="10" t="s">
        <v>6410</v>
      </c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>
      <c r="A6411" s="8">
        <v>11265.0</v>
      </c>
      <c r="B6411" s="9" t="str">
        <f>HYPERLINK("https://www.lazada.vn/products/nuoc-uong-i-on-life-kiem-alkaline-450ml-thung-24-chai-chat-luong-nhat-ban-tot-cho-suc-khoe-i2310440732.html", "https://www.lazada.vn/products/nuoc-uong-i-on-life-kiem-alkaline-450ml-thung-24-chai-chat-luong-nhat-ban-tot-cho-suc-khoe-i2310440732.html")</f>
        <v>https://www.lazada.vn/products/nuoc-uong-i-on-life-kiem-alkaline-450ml-thung-24-chai-chat-luong-nhat-ban-tot-cho-suc-khoe-i2310440732.html</v>
      </c>
      <c r="C6411" s="10" t="s">
        <v>6411</v>
      </c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>
      <c r="A6412" s="8">
        <v>11266.0</v>
      </c>
      <c r="B6412" s="9" t="str">
        <f>HYPERLINK("https://www.lazada.vn/products/khoai-lang-say-gion-500gram-i2916900236.html", "https://www.lazada.vn/products/khoai-lang-say-gion-500gram-i2916900236.html")</f>
        <v>https://www.lazada.vn/products/khoai-lang-say-gion-500gram-i2916900236.html</v>
      </c>
      <c r="C6412" s="10" t="s">
        <v>6412</v>
      </c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>
      <c r="A6413" s="8">
        <v>11267.0</v>
      </c>
      <c r="B6413" s="9" t="str">
        <f>HYPERLINK("https://www.lazada.vn/products/thach-dua-20-goi-1-bich-i2162522025.html", "https://www.lazada.vn/products/thach-dua-20-goi-1-bich-i2162522025.html")</f>
        <v>https://www.lazada.vn/products/thach-dua-20-goi-1-bich-i2162522025.html</v>
      </c>
      <c r="C6413" s="10" t="s">
        <v>6413</v>
      </c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>
      <c r="A6414" s="8">
        <v>11268.0</v>
      </c>
      <c r="B6414" s="9" t="str">
        <f>HYPERLINK("https://www.lazada.vn/products/banh-pia-chay-dau-xanh-la-dua-400gr-4-banh-tan-hue-vien-banh-pia-soc-trang-khong-trung-i927294556.html", "https://www.lazada.vn/products/banh-pia-chay-dau-xanh-la-dua-400gr-4-banh-tan-hue-vien-banh-pia-soc-trang-khong-trung-i927294556.html")</f>
        <v>https://www.lazada.vn/products/banh-pia-chay-dau-xanh-la-dua-400gr-4-banh-tan-hue-vien-banh-pia-soc-trang-khong-trung-i927294556.html</v>
      </c>
      <c r="C6414" s="10" t="s">
        <v>6414</v>
      </c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>
      <c r="A6415" s="8">
        <v>11269.0</v>
      </c>
      <c r="B6415" s="9" t="str">
        <f>HYPERLINK("https://www.lazada.vn/products/haldiram-mathri-indian-snack-haldirams-mathri-200g-i1589518891.html", "https://www.lazada.vn/products/haldiram-mathri-indian-snack-haldirams-mathri-200g-i1589518891.html")</f>
        <v>https://www.lazada.vn/products/haldiram-mathri-indian-snack-haldirams-mathri-200g-i1589518891.html</v>
      </c>
      <c r="C6415" s="10" t="s">
        <v>6415</v>
      </c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>
      <c r="A6416" s="8">
        <v>11270.0</v>
      </c>
      <c r="B6416" s="9" t="str">
        <f>HYPERLINK("https://www.lazada.vn/products/cafe-ca-phe-trung-nguyen-chu-s-goi-500g-i2865472517.html", "https://www.lazada.vn/products/cafe-ca-phe-trung-nguyen-chu-s-goi-500g-i2865472517.html")</f>
        <v>https://www.lazada.vn/products/cafe-ca-phe-trung-nguyen-chu-s-goi-500g-i2865472517.html</v>
      </c>
      <c r="C6416" s="10" t="s">
        <v>6416</v>
      </c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>
      <c r="A6417" s="8">
        <v>11271.0</v>
      </c>
      <c r="B6417" s="9" t="str">
        <f>HYPERLINK("https://www.lazada.vn/products/keo-socola-hanh-nhan-duc-hanh-300gr-15090-i2905006870.html", "https://www.lazada.vn/products/keo-socola-hanh-nhan-duc-hanh-300gr-15090-i2905006870.html")</f>
        <v>https://www.lazada.vn/products/keo-socola-hanh-nhan-duc-hanh-300gr-15090-i2905006870.html</v>
      </c>
      <c r="C6417" s="10" t="s">
        <v>6417</v>
      </c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>
      <c r="A6418" s="8">
        <v>11272.0</v>
      </c>
      <c r="B6418" s="9" t="str">
        <f>HYPERLINK("https://www.lazada.vn/products/nuoc-soda-zero-cloop-khong-duong-khong-calories-500ml-i2347123255.html", "https://www.lazada.vn/products/nuoc-soda-zero-cloop-khong-duong-khong-calories-500ml-i2347123255.html")</f>
        <v>https://www.lazada.vn/products/nuoc-soda-zero-cloop-khong-duong-khong-calories-500ml-i2347123255.html</v>
      </c>
      <c r="C6418" s="10" t="s">
        <v>6418</v>
      </c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>
      <c r="A6419" s="8">
        <v>11273.0</v>
      </c>
      <c r="B6419" s="9" t="str">
        <f>HYPERLINK("https://www.lazada.vn/products/tarapaca-cosecha-merlot-2022-vang-do-chi-le-i2595299206.html", "https://www.lazada.vn/products/tarapaca-cosecha-merlot-2022-vang-do-chi-le-i2595299206.html")</f>
        <v>https://www.lazada.vn/products/tarapaca-cosecha-merlot-2022-vang-do-chi-le-i2595299206.html</v>
      </c>
      <c r="C6419" s="10" t="s">
        <v>6419</v>
      </c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>
      <c r="A6420" s="8">
        <v>11274.0</v>
      </c>
      <c r="B6420" s="9" t="str">
        <f>HYPERLINK("https://www.lazada.vn/products/bot-cacao-nguyen-chat-dak-lak-loai-1-hop-500gr-i1596076134.html", "https://www.lazada.vn/products/bot-cacao-nguyen-chat-dak-lak-loai-1-hop-500gr-i1596076134.html")</f>
        <v>https://www.lazada.vn/products/bot-cacao-nguyen-chat-dak-lak-loai-1-hop-500gr-i1596076134.html</v>
      </c>
      <c r="C6420" s="10" t="s">
        <v>6420</v>
      </c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>
      <c r="A6421" s="8">
        <v>11275.0</v>
      </c>
      <c r="B6421" s="9" t="str">
        <f>HYPERLINK("https://www.lazada.vn/products/vodka-men-nho-295-300ml-i2332565074.html", "https://www.lazada.vn/products/vodka-men-nho-295-300ml-i2332565074.html")</f>
        <v>https://www.lazada.vn/products/vodka-men-nho-295-300ml-i2332565074.html</v>
      </c>
      <c r="C6421" s="10" t="s">
        <v>6421</v>
      </c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>
      <c r="A6422" s="8">
        <v>11276.0</v>
      </c>
      <c r="B6422" s="9" t="str">
        <f>HYPERLINK("https://www.lazada.vn/products/dau-dua-nau-thu-cong-nguyen-chat-100-i2203707291.html", "https://www.lazada.vn/products/dau-dua-nau-thu-cong-nguyen-chat-100-i2203707291.html")</f>
        <v>https://www.lazada.vn/products/dau-dua-nau-thu-cong-nguyen-chat-100-i2203707291.html</v>
      </c>
      <c r="C6422" s="10" t="s">
        <v>6422</v>
      </c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>
      <c r="A6423" s="8">
        <v>11277.0</v>
      </c>
      <c r="B6423" s="9" t="str">
        <f>HYPERLINK("https://www.lazada.vn/products/1-lit-ruou-nep-sua-nep-vat-i2492857325.html", "https://www.lazada.vn/products/1-lit-ruou-nep-sua-nep-vat-i2492857325.html")</f>
        <v>https://www.lazada.vn/products/1-lit-ruou-nep-sua-nep-vat-i2492857325.html</v>
      </c>
      <c r="C6423" s="10" t="s">
        <v>6423</v>
      </c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>
      <c r="A6424" s="8">
        <v>11278.0</v>
      </c>
      <c r="B6424" s="9" t="str">
        <f>HYPERLINK("https://www.lazada.vn/products/ca-sac-uop-xa-ot-mot-nang-khay-500gr-giao-tphcm-i3030305160.html", "https://www.lazada.vn/products/ca-sac-uop-xa-ot-mot-nang-khay-500gr-giao-tphcm-i3030305160.html")</f>
        <v>https://www.lazada.vn/products/ca-sac-uop-xa-ot-mot-nang-khay-500gr-giao-tphcm-i3030305160.html</v>
      </c>
      <c r="C6424" s="10" t="s">
        <v>6424</v>
      </c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>
      <c r="A6425" s="8">
        <v>11279.0</v>
      </c>
      <c r="B6425" s="9" t="str">
        <f>HYPERLINK("https://www.lazada.vn/products/combo-5-to-mi-to-kho-ga-caymi-samyang-cay-tron-kho-truyen-thongmi-samyang-sot-buldak-kho-cay-i3055518483.html", "https://www.lazada.vn/products/combo-5-to-mi-to-kho-ga-caymi-samyang-cay-tron-kho-truyen-thongmi-samyang-sot-buldak-kho-cay-i3055518483.html")</f>
        <v>https://www.lazada.vn/products/combo-5-to-mi-to-kho-ga-caymi-samyang-cay-tron-kho-truyen-thongmi-samyang-sot-buldak-kho-cay-i3055518483.html</v>
      </c>
      <c r="C6425" s="10" t="s">
        <v>6425</v>
      </c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>
      <c r="A6426" s="8">
        <v>11280.0</v>
      </c>
      <c r="B6426" s="9" t="str">
        <f>HYPERLINK("https://www.lazada.vn/products/combo-10-goi-xuc-xich-tiet-trung-cp-moi-goi-100g_doanvatgiasi-i3030252079.html", "https://www.lazada.vn/products/combo-10-goi-xuc-xich-tiet-trung-cp-moi-goi-100g_doanvatgiasi-i3030252079.html")</f>
        <v>https://www.lazada.vn/products/combo-10-goi-xuc-xich-tiet-trung-cp-moi-goi-100g_doanvatgiasi-i3030252079.html</v>
      </c>
      <c r="C6426" s="10" t="s">
        <v>6426</v>
      </c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>
      <c r="A6427" s="8">
        <v>11281.0</v>
      </c>
      <c r="B6427" s="9" t="str">
        <f>HYPERLINK("https://www.lazada.vn/products/banh-quy-bo-danisa-hop-681g-tet-an-khang-i903458553.html", "https://www.lazada.vn/products/banh-quy-bo-danisa-hop-681g-tet-an-khang-i903458553.html")</f>
        <v>https://www.lazada.vn/products/banh-quy-bo-danisa-hop-681g-tet-an-khang-i903458553.html</v>
      </c>
      <c r="C6427" s="10" t="s">
        <v>6427</v>
      </c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>
      <c r="A6428" s="8">
        <v>11282.0</v>
      </c>
      <c r="B6428" s="9" t="str">
        <f>HYPERLINK("https://www.lazada.vn/products/1-thung-40-goi-xuc-xich-tiet-trung-cp-moi-goi-100g_doanvatgiasi-i3030220094.html", "https://www.lazada.vn/products/1-thung-40-goi-xuc-xich-tiet-trung-cp-moi-goi-100g_doanvatgiasi-i3030220094.html")</f>
        <v>https://www.lazada.vn/products/1-thung-40-goi-xuc-xich-tiet-trung-cp-moi-goi-100g_doanvatgiasi-i3030220094.html</v>
      </c>
      <c r="C6428" s="10" t="s">
        <v>6428</v>
      </c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>
      <c r="A6429" s="8">
        <v>11283.0</v>
      </c>
      <c r="B6429" s="9" t="str">
        <f>HYPERLINK("https://www.lazada.vn/products/banh-pia-thit-lap-xuong-tan-hue-vien-400g-banh-pia-nhan-man-dac-san-soc-trang-i843286674.html", "https://www.lazada.vn/products/banh-pia-thit-lap-xuong-tan-hue-vien-400g-banh-pia-nhan-man-dac-san-soc-trang-i843286674.html")</f>
        <v>https://www.lazada.vn/products/banh-pia-thit-lap-xuong-tan-hue-vien-400g-banh-pia-nhan-man-dac-san-soc-trang-i843286674.html</v>
      </c>
      <c r="C6429" s="10" t="s">
        <v>6429</v>
      </c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>
      <c r="A6430" s="8">
        <v>11284.0</v>
      </c>
      <c r="B6430" s="9" t="str">
        <f>HYPERLINK("https://www.lazada.vn/products/set-8-goi-xuc-xich-tiet-trung-cp-moi-goi-100g_doanvatgiasi-i3030111562.html", "https://www.lazada.vn/products/set-8-goi-xuc-xich-tiet-trung-cp-moi-goi-100g_doanvatgiasi-i3030111562.html")</f>
        <v>https://www.lazada.vn/products/set-8-goi-xuc-xich-tiet-trung-cp-moi-goi-100g_doanvatgiasi-i3030111562.html</v>
      </c>
      <c r="C6430" s="10" t="s">
        <v>6430</v>
      </c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>
      <c r="A6431" s="8">
        <v>11285.0</v>
      </c>
      <c r="B6431" s="9" t="str">
        <f>HYPERLINK("https://www.lazada.vn/products/banh-pia-dau-xanh-sau-rieng-1-trung-tan-hue-vien-600g-banh-pia-soc-trang-banh-keo-dac-san-i840576045.html", "https://www.lazada.vn/products/banh-pia-dau-xanh-sau-rieng-1-trung-tan-hue-vien-600g-banh-pia-soc-trang-banh-keo-dac-san-i840576045.html")</f>
        <v>https://www.lazada.vn/products/banh-pia-dau-xanh-sau-rieng-1-trung-tan-hue-vien-600g-banh-pia-soc-trang-banh-keo-dac-san-i840576045.html</v>
      </c>
      <c r="C6431" s="10" t="s">
        <v>6431</v>
      </c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>
      <c r="A6432" s="8">
        <v>11286.0</v>
      </c>
      <c r="B6432" s="9" t="str">
        <f>HYPERLINK("https://www.lazada.vn/products/ca-sardine-ca-nuc-sot-ca-ktcfood-9lon-lun-155gr-i3029925578.html", "https://www.lazada.vn/products/ca-sardine-ca-nuc-sot-ca-ktcfood-9lon-lun-155gr-i3029925578.html")</f>
        <v>https://www.lazada.vn/products/ca-sardine-ca-nuc-sot-ca-ktcfood-9lon-lun-155gr-i3029925578.html</v>
      </c>
      <c r="C6432" s="10" t="s">
        <v>6432</v>
      </c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>
      <c r="A6433" s="8">
        <v>11287.0</v>
      </c>
      <c r="B6433" s="9" t="str">
        <f>HYPERLINK("https://www.lazada.vn/products/banh-dau-xanh-hai-duong-300gram-i568800598.html", "https://www.lazada.vn/products/banh-dau-xanh-hai-duong-300gram-i568800598.html")</f>
        <v>https://www.lazada.vn/products/banh-dau-xanh-hai-duong-300gram-i568800598.html</v>
      </c>
      <c r="C6433" s="10" t="s">
        <v>6433</v>
      </c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>
      <c r="A6434" s="8">
        <v>11288.0</v>
      </c>
      <c r="B6434" s="9" t="str">
        <f>HYPERLINK("https://www.lazada.vn/products/tom-chua-cu-kieu-hu-500g-i3029478125.html", "https://www.lazada.vn/products/tom-chua-cu-kieu-hu-500g-i3029478125.html")</f>
        <v>https://www.lazada.vn/products/tom-chua-cu-kieu-hu-500g-i3029478125.html</v>
      </c>
      <c r="C6434" s="10" t="s">
        <v>6434</v>
      </c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>
      <c r="A6435" s="8">
        <v>11289.0</v>
      </c>
      <c r="B6435" s="9" t="str">
        <f>HYPERLINK("https://www.lazada.vn/products/hcmhu-krim-stix-100-thanh-vi-pho-maisuachocolatesam-duadau-i561932198.html", "https://www.lazada.vn/products/hcmhu-krim-stix-100-thanh-vi-pho-maisuachocolatesam-duadau-i561932198.html")</f>
        <v>https://www.lazada.vn/products/hcmhu-krim-stix-100-thanh-vi-pho-maisuachocolatesam-duadau-i561932198.html</v>
      </c>
      <c r="C6435" s="10" t="s">
        <v>6435</v>
      </c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>
      <c r="A6436" s="8">
        <v>11290.0</v>
      </c>
      <c r="B6436" s="9" t="str">
        <f>HYPERLINK("https://www.lazada.vn/products/tom-chua-cu-kieu-hu-500g-i3029458171.html", "https://www.lazada.vn/products/tom-chua-cu-kieu-hu-500g-i3029458171.html")</f>
        <v>https://www.lazada.vn/products/tom-chua-cu-kieu-hu-500g-i3029458171.html</v>
      </c>
      <c r="C6436" s="10" t="s">
        <v>6436</v>
      </c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>
      <c r="A6437" s="8">
        <v>11291.0</v>
      </c>
      <c r="B6437" s="9" t="str">
        <f>HYPERLINK("https://www.lazada.vn/products/tom-chua-cu-kieu-hu-500g-i3029454145.html", "https://www.lazada.vn/products/tom-chua-cu-kieu-hu-500g-i3029454145.html")</f>
        <v>https://www.lazada.vn/products/tom-chua-cu-kieu-hu-500g-i3029454145.html</v>
      </c>
      <c r="C6437" s="10" t="s">
        <v>6437</v>
      </c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>
      <c r="A6438" s="8">
        <v>11292.0</v>
      </c>
      <c r="B6438" s="9" t="str">
        <f>HYPERLINK("https://www.lazada.vn/products/banh-cuon-jambon-nuong-date-moi-i530540610.html", "https://www.lazada.vn/products/banh-cuon-jambon-nuong-date-moi-i530540610.html")</f>
        <v>https://www.lazada.vn/products/banh-cuon-jambon-nuong-date-moi-i530540610.html</v>
      </c>
      <c r="C6438" s="10" t="s">
        <v>6438</v>
      </c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>
      <c r="A6439" s="8">
        <v>11293.0</v>
      </c>
      <c r="B6439" s="9" t="str">
        <f>HYPERLINK("https://www.lazada.vn/products/tom-chua-cu-kieu-hu-500g-i3029440254.html", "https://www.lazada.vn/products/tom-chua-cu-kieu-hu-500g-i3029440254.html")</f>
        <v>https://www.lazada.vn/products/tom-chua-cu-kieu-hu-500g-i3029440254.html</v>
      </c>
      <c r="C6439" s="10" t="s">
        <v>6439</v>
      </c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>
      <c r="A6440" s="8">
        <v>11294.0</v>
      </c>
      <c r="B6440" s="9" t="str">
        <f>HYPERLINK("https://www.lazada.vn/products/500g-mit-say-gion-i1876143307.html", "https://www.lazada.vn/products/500g-mit-say-gion-i1876143307.html")</f>
        <v>https://www.lazada.vn/products/500g-mit-say-gion-i1876143307.html</v>
      </c>
      <c r="C6440" s="10" t="s">
        <v>6440</v>
      </c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>
      <c r="A6441" s="8">
        <v>11295.0</v>
      </c>
      <c r="B6441" s="9" t="str">
        <f>HYPERLINK("https://www.lazada.vn/products/snack-gao-lut-phu-me-hat-chia-gufoods-hu-150g-topping-beo-bui-gion-rum-tien-loi-giau-chat-xo-eat-clean-thuan-chay-i522546884.html", "https://www.lazada.vn/products/snack-gao-lut-phu-me-hat-chia-gufoods-hu-150g-topping-beo-bui-gion-rum-tien-loi-giau-chat-xo-eat-clean-thuan-chay-i522546884.html")</f>
        <v>https://www.lazada.vn/products/snack-gao-lut-phu-me-hat-chia-gufoods-hu-150g-topping-beo-bui-gion-rum-tien-loi-giau-chat-xo-eat-clean-thuan-chay-i522546884.html</v>
      </c>
      <c r="C6441" s="10" t="s">
        <v>6441</v>
      </c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>
      <c r="A6442" s="8">
        <v>11296.0</v>
      </c>
      <c r="B6442" s="9" t="str">
        <f>HYPERLINK("https://www.lazada.vn/products/tom-chua-cu-kieu-hu-500g-i3029221838.html", "https://www.lazada.vn/products/tom-chua-cu-kieu-hu-500g-i3029221838.html")</f>
        <v>https://www.lazada.vn/products/tom-chua-cu-kieu-hu-500g-i3029221838.html</v>
      </c>
      <c r="C6442" s="10" t="s">
        <v>6442</v>
      </c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>
      <c r="A6443" s="8">
        <v>11297.0</v>
      </c>
      <c r="B6443" s="9" t="str">
        <f>HYPERLINK("https://www.lazada.vn/products/1-goi-12-cai-banh-dua-nuong-dac-san-quang-nam-15gx12-i1876114442.html", "https://www.lazada.vn/products/1-goi-12-cai-banh-dua-nuong-dac-san-quang-nam-15gx12-i1876114442.html")</f>
        <v>https://www.lazada.vn/products/1-goi-12-cai-banh-dua-nuong-dac-san-quang-nam-15gx12-i1876114442.html</v>
      </c>
      <c r="C6443" s="10" t="s">
        <v>6443</v>
      </c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>
      <c r="A6444" s="8">
        <v>11298.0</v>
      </c>
      <c r="B6444" s="9" t="str">
        <f>HYPERLINK("https://www.lazada.vn/products/hcmbanh-dua-dai-loan-homemade-thom-ngon-dac-biet-khong-chat-bao-quan-va-chat-phu-gia-10-cai320gr-i477052602.html", "https://www.lazada.vn/products/hcmbanh-dua-dai-loan-homemade-thom-ngon-dac-biet-khong-chat-bao-quan-va-chat-phu-gia-10-cai320gr-i477052602.html")</f>
        <v>https://www.lazada.vn/products/hcmbanh-dua-dai-loan-homemade-thom-ngon-dac-biet-khong-chat-bao-quan-va-chat-phu-gia-10-cai320gr-i477052602.html</v>
      </c>
      <c r="C6444" s="10" t="s">
        <v>6444</v>
      </c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>
      <c r="A6445" s="8">
        <v>11299.0</v>
      </c>
      <c r="B6445" s="9" t="str">
        <f>HYPERLINK("https://www.lazada.vn/products/tom-chua-cu-kieu-hu-500g-i3029217979.html", "https://www.lazada.vn/products/tom-chua-cu-kieu-hu-500g-i3029217979.html")</f>
        <v>https://www.lazada.vn/products/tom-chua-cu-kieu-hu-500g-i3029217979.html</v>
      </c>
      <c r="C6445" s="10" t="s">
        <v>6445</v>
      </c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>
      <c r="A6446" s="8">
        <v>11300.0</v>
      </c>
      <c r="B6446" s="9" t="str">
        <f>HYPERLINK("https://www.lazada.vn/products/100g200g-kho-ga-say-la-chanh-i1876113454.html", "https://www.lazada.vn/products/100g200g-kho-ga-say-la-chanh-i1876113454.html")</f>
        <v>https://www.lazada.vn/products/100g200g-kho-ga-say-la-chanh-i1876113454.html</v>
      </c>
      <c r="C6446" s="10" t="s">
        <v>6446</v>
      </c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>
      <c r="A6447" s="8">
        <v>11301.0</v>
      </c>
      <c r="B6447" s="9" t="str">
        <f>HYPERLINK("https://www.lazada.vn/products/bich-50-goi-mi-tom-tre-em-thom-ngon-i469050862.html", "https://www.lazada.vn/products/bich-50-goi-mi-tom-tre-em-thom-ngon-i469050862.html")</f>
        <v>https://www.lazada.vn/products/bich-50-goi-mi-tom-tre-em-thom-ngon-i469050862.html</v>
      </c>
      <c r="C6447" s="10" t="s">
        <v>6447</v>
      </c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>
      <c r="A6448" s="8">
        <v>11302.0</v>
      </c>
      <c r="B6448" s="9" t="str">
        <f>HYPERLINK("https://www.lazada.vn/products/do-an-cho-meo-meo-100-chieu-dai-do-an-nhe-bo-sung-nuoc-dinh-duong-cho-meo-lon-va-meo-nho-do-an-kho-dung-cu-cham-soc-thu-cung-i3029168084.html", "https://www.lazada.vn/products/do-an-cho-meo-meo-100-chieu-dai-do-an-nhe-bo-sung-nuoc-dinh-duong-cho-meo-lon-va-meo-nho-do-an-kho-dung-cu-cham-soc-thu-cung-i3029168084.html")</f>
        <v>https://www.lazada.vn/products/do-an-cho-meo-meo-100-chieu-dai-do-an-nhe-bo-sung-nuoc-dinh-duong-cho-meo-lon-va-meo-nho-do-an-kho-dung-cu-cham-soc-thu-cung-i3029168084.html</v>
      </c>
      <c r="C6448" s="10" t="s">
        <v>6448</v>
      </c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>
      <c r="A6449" s="8">
        <v>11303.0</v>
      </c>
      <c r="B6449" s="9" t="str">
        <f>HYPERLINK("https://www.lazada.vn/products/100g-muc-can-tam-vi-nha-trang-i1876096562.html", "https://www.lazada.vn/products/100g-muc-can-tam-vi-nha-trang-i1876096562.html")</f>
        <v>https://www.lazada.vn/products/100g-muc-can-tam-vi-nha-trang-i1876096562.html</v>
      </c>
      <c r="C6449" s="10" t="s">
        <v>6449</v>
      </c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>
      <c r="A6450" s="8">
        <v>11304.0</v>
      </c>
      <c r="B6450" s="9" t="str">
        <f>HYPERLINK("https://www.lazada.vn/products/banh-yen-mach-han-quoc-jinny-goi-370gram-i436560288.html", "https://www.lazada.vn/products/banh-yen-mach-han-quoc-jinny-goi-370gram-i436560288.html")</f>
        <v>https://www.lazada.vn/products/banh-yen-mach-han-quoc-jinny-goi-370gram-i436560288.html</v>
      </c>
      <c r="C6450" s="10" t="s">
        <v>6450</v>
      </c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>
      <c r="A6451" s="8">
        <v>11305.0</v>
      </c>
      <c r="B6451" s="9" t="str">
        <f>HYPERLINK("https://www.lazada.vn/products/muc-rim-me-sa-te-cay-nguyen-con-i3028850600.html", "https://www.lazada.vn/products/muc-rim-me-sa-te-cay-nguyen-con-i3028850600.html")</f>
        <v>https://www.lazada.vn/products/muc-rim-me-sa-te-cay-nguyen-con-i3028850600.html</v>
      </c>
      <c r="C6451" s="10" t="s">
        <v>6451</v>
      </c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>
      <c r="A6452" s="8">
        <v>11306.0</v>
      </c>
      <c r="B6452" s="9" t="str">
        <f>HYPERLINK("https://www.lazada.vn/products/500g-keo-deo-sua-dau-da-lat-i1876086634.html", "https://www.lazada.vn/products/500g-keo-deo-sua-dau-da-lat-i1876086634.html")</f>
        <v>https://www.lazada.vn/products/500g-keo-deo-sua-dau-da-lat-i1876086634.html</v>
      </c>
      <c r="C6452" s="10" t="s">
        <v>6452</v>
      </c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>
      <c r="A6453" s="8">
        <v>11307.0</v>
      </c>
      <c r="B6453" s="9" t="str">
        <f>HYPERLINK("https://www.lazada.vn/products/norton-barrel-select-merlot-vang-do-achentina-i2595271615.html", "https://www.lazada.vn/products/norton-barrel-select-merlot-vang-do-achentina-i2595271615.html")</f>
        <v>https://www.lazada.vn/products/norton-barrel-select-merlot-vang-do-achentina-i2595271615.html</v>
      </c>
      <c r="C6453" s="10" t="s">
        <v>6453</v>
      </c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>
      <c r="A6454" s="8">
        <v>11308.0</v>
      </c>
      <c r="B6454" s="9" t="str">
        <f>HYPERLINK("https://www.lazada.vn/products/chateau-du-pin-bordeaux-aoc-2020-vang-do-phap-i2594005711.html", "https://www.lazada.vn/products/chateau-du-pin-bordeaux-aoc-2020-vang-do-phap-i2594005711.html")</f>
        <v>https://www.lazada.vn/products/chateau-du-pin-bordeaux-aoc-2020-vang-do-phap-i2594005711.html</v>
      </c>
      <c r="C6454" s="10" t="s">
        <v>6454</v>
      </c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>
      <c r="A6455" s="8">
        <v>11309.0</v>
      </c>
      <c r="B6455" s="9" t="str">
        <f>HYPERLINK("https://www.lazada.vn/products/hcmbanh-dau-xanh-quang-ngai-220g50-cai-banh-nho-i406716601.html", "https://www.lazada.vn/products/hcmbanh-dau-xanh-quang-ngai-220g50-cai-banh-nho-i406716601.html")</f>
        <v>https://www.lazada.vn/products/hcmbanh-dau-xanh-quang-ngai-220g50-cai-banh-nho-i406716601.html</v>
      </c>
      <c r="C6455" s="10" t="s">
        <v>6455</v>
      </c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>
      <c r="A6456" s="8">
        <v>11310.0</v>
      </c>
      <c r="B6456" s="9" t="str">
        <f>HYPERLINK("https://www.lazada.vn/products/ruou-vang-do-chateau-classic-da-lat-12-750ml-i2591953915.html", "https://www.lazada.vn/products/ruou-vang-do-chateau-classic-da-lat-12-750ml-i2591953915.html")</f>
        <v>https://www.lazada.vn/products/ruou-vang-do-chateau-classic-da-lat-12-750ml-i2591953915.html</v>
      </c>
      <c r="C6456" s="10" t="s">
        <v>6456</v>
      </c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>
      <c r="A6457" s="8">
        <v>11311.0</v>
      </c>
      <c r="B6457" s="9" t="str">
        <f>HYPERLINK("https://www.lazada.vn/products/banh-pia-tan-hue-vien-dau-xanh-sau-rieng-4-sao-i347300096.html", "https://www.lazada.vn/products/banh-pia-tan-hue-vien-dau-xanh-sau-rieng-4-sao-i347300096.html")</f>
        <v>https://www.lazada.vn/products/banh-pia-tan-hue-vien-dau-xanh-sau-rieng-4-sao-i347300096.html</v>
      </c>
      <c r="C6457" s="10" t="s">
        <v>6457</v>
      </c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>
      <c r="A6458" s="8">
        <v>11312.0</v>
      </c>
      <c r="B6458" s="9" t="str">
        <f>HYPERLINK("https://www.lazada.vn/products/keo-sting-vi-dau-tay-goi-320gram-i2706801621.html", "https://www.lazada.vn/products/keo-sting-vi-dau-tay-goi-320gram-i2706801621.html")</f>
        <v>https://www.lazada.vn/products/keo-sting-vi-dau-tay-goi-320gram-i2706801621.html</v>
      </c>
      <c r="C6458" s="10" t="s">
        <v>6458</v>
      </c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>
      <c r="A6459" s="8">
        <v>11313.0</v>
      </c>
      <c r="B6459" s="9" t="str">
        <f>HYPERLINK("https://www.lazada.vn/products/banrock-station-shiraz-cabernet-2021-vang-uc-do-i2586687830.html", "https://www.lazada.vn/products/banrock-station-shiraz-cabernet-2021-vang-uc-do-i2586687830.html")</f>
        <v>https://www.lazada.vn/products/banrock-station-shiraz-cabernet-2021-vang-uc-do-i2586687830.html</v>
      </c>
      <c r="C6459" s="10" t="s">
        <v>6459</v>
      </c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>
      <c r="A6460" s="8">
        <v>11314.0</v>
      </c>
      <c r="B6460" s="9" t="str">
        <f>HYPERLINK("https://www.lazada.vn/products/keo-socola-morinaga-dars-dark-choco-42g-83447-i2904834629.html", "https://www.lazada.vn/products/keo-socola-morinaga-dars-dark-choco-42g-83447-i2904834629.html")</f>
        <v>https://www.lazada.vn/products/keo-socola-morinaga-dars-dark-choco-42g-83447-i2904834629.html</v>
      </c>
      <c r="C6460" s="10" t="s">
        <v>6460</v>
      </c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>
      <c r="A6461" s="8">
        <v>11315.0</v>
      </c>
      <c r="B6461" s="9" t="str">
        <f>HYPERLINK("https://www.lazada.vn/products/ca-phe-sua-trung-nguyen-legend-special-edition-18goi-x-25gr-34450-i2858509439.html", "https://www.lazada.vn/products/ca-phe-sua-trung-nguyen-legend-special-edition-18goi-x-25gr-34450-i2858509439.html")</f>
        <v>https://www.lazada.vn/products/ca-phe-sua-trung-nguyen-legend-special-edition-18goi-x-25gr-34450-i2858509439.html</v>
      </c>
      <c r="C6461" s="10" t="s">
        <v>6461</v>
      </c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>
      <c r="A6462" s="8">
        <v>11316.0</v>
      </c>
      <c r="B6462" s="9" t="str">
        <f>HYPERLINK("https://www.lazada.vn/products/banh-dau-xanh-quang-ngai-50-cai-banh-nho-i338806001.html", "https://www.lazada.vn/products/banh-dau-xanh-quang-ngai-50-cai-banh-nho-i338806001.html")</f>
        <v>https://www.lazada.vn/products/banh-dau-xanh-quang-ngai-50-cai-banh-nho-i338806001.html</v>
      </c>
      <c r="C6462" s="10" t="s">
        <v>6462</v>
      </c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>
      <c r="A6463" s="8">
        <v>11317.0</v>
      </c>
      <c r="B6463" s="9" t="str">
        <f>HYPERLINK("https://www.lazada.vn/products/tavernello-organico-sangiovese-rubicone-vang-do-y-i2586679598.html", "https://www.lazada.vn/products/tavernello-organico-sangiovese-rubicone-vang-do-y-i2586679598.html")</f>
        <v>https://www.lazada.vn/products/tavernello-organico-sangiovese-rubicone-vang-do-y-i2586679598.html</v>
      </c>
      <c r="C6463" s="10" t="s">
        <v>6463</v>
      </c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>
      <c r="A6464" s="8">
        <v>11318.0</v>
      </c>
      <c r="B6464" s="9" t="str">
        <f>HYPERLINK("https://www.lazada.vn/products/the-lone-gum-shiraz-vang-do-uc-2021-i2586668584.html", "https://www.lazada.vn/products/the-lone-gum-shiraz-vang-do-uc-2021-i2586668584.html")</f>
        <v>https://www.lazada.vn/products/the-lone-gum-shiraz-vang-do-uc-2021-i2586668584.html</v>
      </c>
      <c r="C6464" s="10" t="s">
        <v>6464</v>
      </c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>
      <c r="A6465" s="8">
        <v>11319.0</v>
      </c>
      <c r="B6465" s="9" t="str">
        <f>HYPERLINK("https://www.lazada.vn/products/me-thai-lac-muoi-ot-duong-500g1kg-i1876070653.html", "https://www.lazada.vn/products/me-thai-lac-muoi-ot-duong-500g1kg-i1876070653.html")</f>
        <v>https://www.lazada.vn/products/me-thai-lac-muoi-ot-duong-500g1kg-i1876070653.html</v>
      </c>
      <c r="C6465" s="10" t="s">
        <v>6465</v>
      </c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>
      <c r="A6466" s="8">
        <v>11320.0</v>
      </c>
      <c r="B6466" s="9" t="str">
        <f>HYPERLINK("https://www.lazada.vn/products/ruou-vang-do-mastery-nhap-khau-uc-i2580594087.html", "https://www.lazada.vn/products/ruou-vang-do-mastery-nhap-khau-uc-i2580594087.html")</f>
        <v>https://www.lazada.vn/products/ruou-vang-do-mastery-nhap-khau-uc-i2580594087.html</v>
      </c>
      <c r="C6466" s="10" t="s">
        <v>6466</v>
      </c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>
      <c r="A6467" s="8">
        <v>11321.0</v>
      </c>
      <c r="B6467" s="9" t="str">
        <f>HYPERLINK("https://www.lazada.vn/products/bo-dau-phong-kim-minhhu-200g-i1875914259.html", "https://www.lazada.vn/products/bo-dau-phong-kim-minhhu-200g-i1875914259.html")</f>
        <v>https://www.lazada.vn/products/bo-dau-phong-kim-minhhu-200g-i1875914259.html</v>
      </c>
      <c r="C6467" s="10" t="s">
        <v>6467</v>
      </c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>
      <c r="A6468" s="8">
        <v>11322.0</v>
      </c>
      <c r="B6468" s="9" t="str">
        <f>HYPERLINK("https://www.lazada.vn/products/ruou-vang-trang-mastery-nhap-khau-uc-i2580569333.html", "https://www.lazada.vn/products/ruou-vang-trang-mastery-nhap-khau-uc-i2580569333.html")</f>
        <v>https://www.lazada.vn/products/ruou-vang-trang-mastery-nhap-khau-uc-i2580569333.html</v>
      </c>
      <c r="C6468" s="10" t="s">
        <v>6468</v>
      </c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>
      <c r="A6469" s="8">
        <v>11323.0</v>
      </c>
      <c r="B6469" s="9" t="str">
        <f>HYPERLINK("https://www.lazada.vn/products/hcmbanh-dau-xanh-quang-ngai-bich-50-cai250g-i338782453.html", "https://www.lazada.vn/products/hcmbanh-dau-xanh-quang-ngai-bich-50-cai250g-i338782453.html")</f>
        <v>https://www.lazada.vn/products/hcmbanh-dau-xanh-quang-ngai-bich-50-cai250g-i338782453.html</v>
      </c>
      <c r="C6469" s="10" t="s">
        <v>6469</v>
      </c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>
      <c r="A6470" s="8">
        <v>11324.0</v>
      </c>
      <c r="B6470" s="9" t="str">
        <f>HYPERLINK("https://www.lazada.vn/products/1000ml-mat-ong-hoa-rung-tram-nguyen-chat-dac-san-rung-tram-u-minh-i1874319354.html", "https://www.lazada.vn/products/1000ml-mat-ong-hoa-rung-tram-nguyen-chat-dac-san-rung-tram-u-minh-i1874319354.html")</f>
        <v>https://www.lazada.vn/products/1000ml-mat-ong-hoa-rung-tram-nguyen-chat-dac-san-rung-tram-u-minh-i1874319354.html</v>
      </c>
      <c r="C6470" s="10" t="s">
        <v>6470</v>
      </c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>
      <c r="A6471" s="8">
        <v>11325.0</v>
      </c>
      <c r="B6471" s="9" t="str">
        <f>HYPERLINK("https://www.lazada.vn/products/ruou-vang-do-uc-kangavin-shiraz-i2580552295.html", "https://www.lazada.vn/products/ruou-vang-do-uc-kangavin-shiraz-i2580552295.html")</f>
        <v>https://www.lazada.vn/products/ruou-vang-do-uc-kangavin-shiraz-i2580552295.html</v>
      </c>
      <c r="C6471" s="10" t="s">
        <v>6471</v>
      </c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>
      <c r="A6472" s="8">
        <v>11326.0</v>
      </c>
      <c r="B6472" s="9" t="str">
        <f>HYPERLINK("https://www.lazada.vn/products/500gram-banh-gau-nhan-kem-thien-hong-i332820942.html", "https://www.lazada.vn/products/500gram-banh-gau-nhan-kem-thien-hong-i332820942.html")</f>
        <v>https://www.lazada.vn/products/500gram-banh-gau-nhan-kem-thien-hong-i332820942.html</v>
      </c>
      <c r="C6472" s="10" t="s">
        <v>6472</v>
      </c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>
      <c r="A6473" s="8">
        <v>11327.0</v>
      </c>
      <c r="B6473" s="9" t="str">
        <f>HYPERLINK("https://www.lazada.vn/products/500gr-mam-ca-loc-xay-chau-doc-dung-lam-mam-chung-dac-biet-thom-ngon-i1866296039.html", "https://www.lazada.vn/products/500gr-mam-ca-loc-xay-chau-doc-dung-lam-mam-chung-dac-biet-thom-ngon-i1866296039.html")</f>
        <v>https://www.lazada.vn/products/500gr-mam-ca-loc-xay-chau-doc-dung-lam-mam-chung-dac-biet-thom-ngon-i1866296039.html</v>
      </c>
      <c r="C6473" s="10" t="s">
        <v>6473</v>
      </c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>
      <c r="A6474" s="8">
        <v>11328.0</v>
      </c>
      <c r="B6474" s="9" t="str">
        <f>HYPERLINK("https://www.lazada.vn/products/nuoc-ngot-coca-nhat-160ml-thung-30-lon-leetrinh-i2344916145.html", "https://www.lazada.vn/products/nuoc-ngot-coca-nhat-160ml-thung-30-lon-leetrinh-i2344916145.html")</f>
        <v>https://www.lazada.vn/products/nuoc-ngot-coca-nhat-160ml-thung-30-lon-leetrinh-i2344916145.html</v>
      </c>
      <c r="C6474" s="10" t="s">
        <v>6474</v>
      </c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>
      <c r="A6475" s="8">
        <v>11329.0</v>
      </c>
      <c r="B6475" s="9" t="str">
        <f>HYPERLINK("https://www.lazada.vn/products/ruou-vang-do-uc-kangavin-cabernet-sauvignon-i2580547135.html", "https://www.lazada.vn/products/ruou-vang-do-uc-kangavin-cabernet-sauvignon-i2580547135.html")</f>
        <v>https://www.lazada.vn/products/ruou-vang-do-uc-kangavin-cabernet-sauvignon-i2580547135.html</v>
      </c>
      <c r="C6475" s="10" t="s">
        <v>6475</v>
      </c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>
      <c r="A6476" s="8">
        <v>11330.0</v>
      </c>
      <c r="B6476" s="9" t="str">
        <f>HYPERLINK("https://www.lazada.vn/products/nuoc-uong-i-on-life-kiem-alkaline-125l-thung-12-chai-chat-luong-nhat-ban-co-giao-hoa-toc-i2310414879.html", "https://www.lazada.vn/products/nuoc-uong-i-on-life-kiem-alkaline-125l-thung-12-chai-chat-luong-nhat-ban-co-giao-hoa-toc-i2310414879.html")</f>
        <v>https://www.lazada.vn/products/nuoc-uong-i-on-life-kiem-alkaline-125l-thung-12-chai-chat-luong-nhat-ban-co-giao-hoa-toc-i2310414879.html</v>
      </c>
      <c r="C6476" s="10" t="s">
        <v>6476</v>
      </c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>
      <c r="A6477" s="8">
        <v>11331.0</v>
      </c>
      <c r="B6477" s="9" t="str">
        <f>HYPERLINK("https://www.lazada.vn/products/muruku-chakli-sticks-south-indian-snack-haldirams-murruku-200g-i1589356159.html", "https://www.lazada.vn/products/muruku-chakli-sticks-south-indian-snack-haldirams-murruku-200g-i1589356159.html")</f>
        <v>https://www.lazada.vn/products/muruku-chakli-sticks-south-indian-snack-haldirams-murruku-200g-i1589356159.html</v>
      </c>
      <c r="C6477" s="10" t="s">
        <v>6477</v>
      </c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>
      <c r="A6478" s="8">
        <v>11332.0</v>
      </c>
      <c r="B6478" s="9" t="str">
        <f>HYPERLINK("https://www.lazada.vn/products/set-5-goi-banh-dua-nuong-dac-san-quang-nam-banh-keo-tet-super-mint-banh-keo-an-vat-tet-qua-bieu-qua-que-qua-tang-banh-keo-vat-i277726791.html", "https://www.lazada.vn/products/set-5-goi-banh-dua-nuong-dac-san-quang-nam-banh-keo-tet-super-mint-banh-keo-an-vat-tet-qua-bieu-qua-que-qua-tang-banh-keo-vat-i277726791.html")</f>
        <v>https://www.lazada.vn/products/set-5-goi-banh-dua-nuong-dac-san-quang-nam-banh-keo-tet-super-mint-banh-keo-an-vat-tet-qua-bieu-qua-que-qua-tang-banh-keo-vat-i277726791.html</v>
      </c>
      <c r="C6478" s="10" t="s">
        <v>6478</v>
      </c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>
      <c r="A6479" s="8">
        <v>11333.0</v>
      </c>
      <c r="B6479" s="9" t="str">
        <f>HYPERLINK("https://www.lazada.vn/products/set-3-hop-pate-heo-tay-ban-nha-iberico-negra-383g-i1863857204.html", "https://www.lazada.vn/products/set-3-hop-pate-heo-tay-ban-nha-iberico-negra-383g-i1863857204.html")</f>
        <v>https://www.lazada.vn/products/set-3-hop-pate-heo-tay-ban-nha-iberico-negra-383g-i1863857204.html</v>
      </c>
      <c r="C6479" s="10" t="s">
        <v>6479</v>
      </c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>
      <c r="A6480" s="8">
        <v>11334.0</v>
      </c>
      <c r="B6480" s="9" t="str">
        <f>HYPERLINK("https://www.lazada.vn/products/combo-2-bich-bot-milo-nguyen-chat-1kg-nestle-i1588819418.html", "https://www.lazada.vn/products/combo-2-bich-bot-milo-nguyen-chat-1kg-nestle-i1588819418.html")</f>
        <v>https://www.lazada.vn/products/combo-2-bich-bot-milo-nguyen-chat-1kg-nestle-i1588819418.html</v>
      </c>
      <c r="C6480" s="10" t="s">
        <v>6480</v>
      </c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>
      <c r="A6481" s="8">
        <v>11335.0</v>
      </c>
      <c r="B6481" s="9" t="str">
        <f>HYPERLINK("https://www.lazada.vn/products/vodka-ha-noi-lon-395-700ml-i2332551079.html", "https://www.lazada.vn/products/vodka-ha-noi-lon-395-700ml-i2332551079.html")</f>
        <v>https://www.lazada.vn/products/vodka-ha-noi-lon-395-700ml-i2332551079.html</v>
      </c>
      <c r="C6481" s="10" t="s">
        <v>6481</v>
      </c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>
      <c r="A6482" s="8">
        <v>11336.0</v>
      </c>
      <c r="B6482" s="9" t="str">
        <f>HYPERLINK("https://www.lazada.vn/products/combo-100-vien-keo-sap-mini-mix-12-vi-trai-cay-thom-ngon-co-tang-them-keo-i2706752504.html", "https://www.lazada.vn/products/combo-100-vien-keo-sap-mini-mix-12-vi-trai-cay-thom-ngon-co-tang-them-keo-i2706752504.html")</f>
        <v>https://www.lazada.vn/products/combo-100-vien-keo-sap-mini-mix-12-vi-trai-cay-thom-ngon-co-tang-them-keo-i2706752504.html</v>
      </c>
      <c r="C6482" s="10" t="s">
        <v>6482</v>
      </c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>
      <c r="A6483" s="8">
        <v>11337.0</v>
      </c>
      <c r="B6483" s="9" t="str">
        <f>HYPERLINK("https://www.lazada.vn/products/banh-trung-muoi-dai-loan-hieu-mit-banh-quy-nhap-khau-i273826077.html", "https://www.lazada.vn/products/banh-trung-muoi-dai-loan-hieu-mit-banh-quy-nhap-khau-i273826077.html")</f>
        <v>https://www.lazada.vn/products/banh-trung-muoi-dai-loan-hieu-mit-banh-quy-nhap-khau-i273826077.html</v>
      </c>
      <c r="C6483" s="10" t="s">
        <v>6483</v>
      </c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>
      <c r="A6484" s="8">
        <v>11338.0</v>
      </c>
      <c r="B6484" s="9" t="str">
        <f>HYPERLINK("https://www.lazada.vn/products/100gr-me-thai-say-cay-truong-xuong-i2916217185.html", "https://www.lazada.vn/products/100gr-me-thai-say-cay-truong-xuong-i2916217185.html")</f>
        <v>https://www.lazada.vn/products/100gr-me-thai-say-cay-truong-xuong-i2916217185.html</v>
      </c>
      <c r="C6484" s="10" t="s">
        <v>6484</v>
      </c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>
      <c r="A6485" s="8">
        <v>11339.0</v>
      </c>
      <c r="B6485" s="9" t="str">
        <f>HYPERLINK("https://www.lazada.vn/products/thit-heo-ham-dabaco-thom-ngon-tien-loi-hop-170gr-i1861507165.html", "https://www.lazada.vn/products/thit-heo-ham-dabaco-thom-ngon-tien-loi-hop-170gr-i1861507165.html")</f>
        <v>https://www.lazada.vn/products/thit-heo-ham-dabaco-thom-ngon-tien-loi-hop-170gr-i1861507165.html</v>
      </c>
      <c r="C6485" s="10" t="s">
        <v>6485</v>
      </c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>
      <c r="A6486" s="8">
        <v>11340.0</v>
      </c>
      <c r="B6486" s="9" t="str">
        <f>HYPERLINK("https://www.lazada.vn/products/mi-tron-miliket-vi-spaghetti-to-90g-i3055507684.html", "https://www.lazada.vn/products/mi-tron-miliket-vi-spaghetti-to-90g-i3055507684.html")</f>
        <v>https://www.lazada.vn/products/mi-tron-miliket-vi-spaghetti-to-90g-i3055507684.html</v>
      </c>
      <c r="C6486" s="10" t="s">
        <v>6486</v>
      </c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>
      <c r="A6487" s="8">
        <v>11341.0</v>
      </c>
      <c r="B6487" s="9" t="str">
        <f>HYPERLINK("https://www.lazada.vn/products/ruou-nep-cai-hoa-vang-u-chat-sanh-vang-uong-em-va-thom-khong-dau-dau-khat-nuoc-chai-1-lit-i2152655371.html", "https://www.lazada.vn/products/ruou-nep-cai-hoa-vang-u-chat-sanh-vang-uong-em-va-thom-khong-dau-dau-khat-nuoc-chai-1-lit-i2152655371.html")</f>
        <v>https://www.lazada.vn/products/ruou-nep-cai-hoa-vang-u-chat-sanh-vang-uong-em-va-thom-khong-dau-dau-khat-nuoc-chai-1-lit-i2152655371.html</v>
      </c>
      <c r="C6487" s="10" t="s">
        <v>6487</v>
      </c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>
      <c r="A6488" s="8">
        <v>11342.0</v>
      </c>
      <c r="B6488" s="9" t="str">
        <f>HYPERLINK("https://www.lazada.vn/products/1-lit-ruou-ngo-dac-san-ha-giang-i2492804563.html", "https://www.lazada.vn/products/1-lit-ruou-ngo-dac-san-ha-giang-i2492804563.html")</f>
        <v>https://www.lazada.vn/products/1-lit-ruou-ngo-dac-san-ha-giang-i2492804563.html</v>
      </c>
      <c r="C6488" s="10" t="s">
        <v>6488</v>
      </c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>
      <c r="A6489" s="8">
        <v>11343.0</v>
      </c>
      <c r="B6489" s="9" t="str">
        <f>HYPERLINK("https://www.lazada.vn/products/banh-mi-hoa-cuc-harrys-nhap-khau-phap-thom-ngon-i2623022414.html", "https://www.lazada.vn/products/banh-mi-hoa-cuc-harrys-nhap-khau-phap-thom-ngon-i2623022414.html")</f>
        <v>https://www.lazada.vn/products/banh-mi-hoa-cuc-harrys-nhap-khau-phap-thom-ngon-i2623022414.html</v>
      </c>
      <c r="C6489" s="10" t="s">
        <v>6489</v>
      </c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>
      <c r="A6490" s="8">
        <v>11344.0</v>
      </c>
      <c r="B6490" s="9" t="str">
        <f>HYPERLINK("https://www.lazada.vn/products/keo-socola-hersheys-cookies-146gr-03639-i2904750772.html", "https://www.lazada.vn/products/keo-socola-hersheys-cookies-146gr-03639-i2904750772.html")</f>
        <v>https://www.lazada.vn/products/keo-socola-hersheys-cookies-146gr-03639-i2904750772.html</v>
      </c>
      <c r="C6490" s="10" t="s">
        <v>6490</v>
      </c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>
      <c r="A6491" s="8">
        <v>11345.0</v>
      </c>
      <c r="B6491" s="9" t="str">
        <f>HYPERLINK("https://www.lazada.vn/products/hop-qua-tet-2024-tet-an-khang-kem-tui-i2563049779.html", "https://www.lazada.vn/products/hop-qua-tet-2024-tet-an-khang-kem-tui-i2563049779.html")</f>
        <v>https://www.lazada.vn/products/hop-qua-tet-2024-tet-an-khang-kem-tui-i2563049779.html</v>
      </c>
      <c r="C6491" s="10" t="s">
        <v>6491</v>
      </c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>
      <c r="A6492" s="8">
        <v>11346.0</v>
      </c>
      <c r="B6492" s="9" t="str">
        <f>HYPERLINK("https://www.lazada.vn/products/ca-phe-sua-hoa-tan-ngon-tran-quang-bich-lon-12kg-60-goi-x-20gr-mua-tu-1-goi-de-nhan-qua-i2855145344.html", "https://www.lazada.vn/products/ca-phe-sua-hoa-tan-ngon-tran-quang-bich-lon-12kg-60-goi-x-20gr-mua-tu-1-goi-de-nhan-qua-i2855145344.html")</f>
        <v>https://www.lazada.vn/products/ca-phe-sua-hoa-tan-ngon-tran-quang-bich-lon-12kg-60-goi-x-20gr-mua-tu-1-goi-de-nhan-qua-i2855145344.html</v>
      </c>
      <c r="C6492" s="10" t="s">
        <v>6492</v>
      </c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>
      <c r="A6493" s="8">
        <v>11347.0</v>
      </c>
      <c r="B6493" s="9" t="str">
        <f>HYPERLINK("https://www.lazada.vn/products/1kg-keo-cafe-candy-khong-duong-vien-nen-ko-duong-an-kieng-an-vat-i2833680503.html", "https://www.lazada.vn/products/1kg-keo-cafe-candy-khong-duong-vien-nen-ko-duong-an-kieng-an-vat-i2833680503.html")</f>
        <v>https://www.lazada.vn/products/1kg-keo-cafe-candy-khong-duong-vien-nen-ko-duong-an-kieng-an-vat-i2833680503.html</v>
      </c>
      <c r="C6493" s="10" t="s">
        <v>6493</v>
      </c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>
      <c r="A6494" s="8">
        <v>11348.0</v>
      </c>
      <c r="B6494" s="9" t="str">
        <f>HYPERLINK("https://www.lazada.vn/products/chinh-hang-vang-do-y-fantini-edizione-cinque-autoctoni-21-14-750ml-i2557816537.html", "https://www.lazada.vn/products/chinh-hang-vang-do-y-fantini-edizione-cinque-autoctoni-21-14-750ml-i2557816537.html")</f>
        <v>https://www.lazada.vn/products/chinh-hang-vang-do-y-fantini-edizione-cinque-autoctoni-21-14-750ml-i2557816537.html</v>
      </c>
      <c r="C6494" s="10" t="s">
        <v>6494</v>
      </c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>
      <c r="A6495" s="8">
        <v>11349.0</v>
      </c>
      <c r="B6495" s="9" t="str">
        <f>HYPERLINK("https://www.lazada.vn/products/keo-socola-hersheys-kisses-almond-146gr-03301-i2904728556.html", "https://www.lazada.vn/products/keo-socola-hersheys-kisses-almond-146gr-03301-i2904728556.html")</f>
        <v>https://www.lazada.vn/products/keo-socola-hersheys-kisses-almond-146gr-03301-i2904728556.html</v>
      </c>
      <c r="C6495" s="10" t="s">
        <v>6495</v>
      </c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>
      <c r="A6496" s="8">
        <v>11350.0</v>
      </c>
      <c r="B6496" s="9" t="str">
        <f>HYPERLINK("https://www.lazada.vn/products/nguyen-chat-bot-ca-cao-nguyen-chat-nha-lam-daklak-500gr-i1858548091.html", "https://www.lazada.vn/products/nguyen-chat-bot-ca-cao-nguyen-chat-nha-lam-daklak-500gr-i1858548091.html")</f>
        <v>https://www.lazada.vn/products/nguyen-chat-bot-ca-cao-nguyen-chat-nha-lam-daklak-500gr-i1858548091.html</v>
      </c>
      <c r="C6496" s="10" t="s">
        <v>6496</v>
      </c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>
      <c r="A6497" s="8">
        <v>11351.0</v>
      </c>
      <c r="B6497" s="9" t="str">
        <f>HYPERLINK("https://www.lazada.vn/products/banh-lu-petit-beurre-veritable-200g-i264498249.html", "https://www.lazada.vn/products/banh-lu-petit-beurre-veritable-200g-i264498249.html")</f>
        <v>https://www.lazada.vn/products/banh-lu-petit-beurre-veritable-200g-i264498249.html</v>
      </c>
      <c r="C6497" s="10" t="s">
        <v>6497</v>
      </c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>
      <c r="A6498" s="8">
        <v>11352.0</v>
      </c>
      <c r="B6498" s="9" t="str">
        <f>HYPERLINK("https://www.lazada.vn/products/bo-hat-phi-phet-cacao-nutella-350g-i1588757676.html", "https://www.lazada.vn/products/bo-hat-phi-phet-cacao-nutella-350g-i1588757676.html")</f>
        <v>https://www.lazada.vn/products/bo-hat-phi-phet-cacao-nutella-350g-i1588757676.html</v>
      </c>
      <c r="C6498" s="10" t="s">
        <v>6498</v>
      </c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>
      <c r="A6499" s="8">
        <v>11353.0</v>
      </c>
      <c r="B6499" s="9" t="str">
        <f>HYPERLINK("https://www.lazada.vn/products/ca-na-thai-dap-dap-xoc-muoi-ot-bich-500gr-i3027801906.html", "https://www.lazada.vn/products/ca-na-thai-dap-dap-xoc-muoi-ot-bich-500gr-i3027801906.html")</f>
        <v>https://www.lazada.vn/products/ca-na-thai-dap-dap-xoc-muoi-ot-bich-500gr-i3027801906.html</v>
      </c>
      <c r="C6499" s="10" t="s">
        <v>6499</v>
      </c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>
      <c r="A6500" s="8">
        <v>11354.0</v>
      </c>
      <c r="B6500" s="9" t="str">
        <f>HYPERLINK("https://www.lazada.vn/products/banh-sua-chua-ong-gia-horsh-dai-loan-thung-2kg-khoang-82-84-banh-do-an-vat-ngon-muasamnhanh-i2621773246.html", "https://www.lazada.vn/products/banh-sua-chua-ong-gia-horsh-dai-loan-thung-2kg-khoang-82-84-banh-do-an-vat-ngon-muasamnhanh-i2621773246.html")</f>
        <v>https://www.lazada.vn/products/banh-sua-chua-ong-gia-horsh-dai-loan-thung-2kg-khoang-82-84-banh-do-an-vat-ngon-muasamnhanh-i2621773246.html</v>
      </c>
      <c r="C6500" s="10" t="s">
        <v>6500</v>
      </c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>
      <c r="A6501" s="8">
        <v>11355.0</v>
      </c>
      <c r="B6501" s="9" t="str">
        <f>HYPERLINK("https://www.lazada.vn/products/vodka-ha-noi-lon-33-700ml-i2332482575.html", "https://www.lazada.vn/products/vodka-ha-noi-lon-33-700ml-i2332482575.html")</f>
        <v>https://www.lazada.vn/products/vodka-ha-noi-lon-33-700ml-i2332482575.html</v>
      </c>
      <c r="C6501" s="10" t="s">
        <v>6501</v>
      </c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>
      <c r="A6502" s="8">
        <v>11356.0</v>
      </c>
      <c r="B6502" s="9" t="str">
        <f>HYPERLINK("https://www.lazada.vn/products/nuoc-ngot-coca-nhat-160ml-thung-30-lon-ly-trinh-15-i2344831852.html", "https://www.lazada.vn/products/nuoc-ngot-coca-nhat-160ml-thung-30-lon-ly-trinh-15-i2344831852.html")</f>
        <v>https://www.lazada.vn/products/nuoc-ngot-coca-nhat-160ml-thung-30-lon-ly-trinh-15-i2344831852.html</v>
      </c>
      <c r="C6502" s="10" t="s">
        <v>6502</v>
      </c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>
      <c r="A6503" s="8">
        <v>11357.0</v>
      </c>
      <c r="B6503" s="9" t="str">
        <f>HYPERLINK("https://www.lazada.vn/products/500gr-me-thai-say-cay-truong-xuong-i2916195284.html", "https://www.lazada.vn/products/500gr-me-thai-say-cay-truong-xuong-i2916195284.html")</f>
        <v>https://www.lazada.vn/products/500gr-me-thai-say-cay-truong-xuong-i2916195284.html</v>
      </c>
      <c r="C6503" s="10" t="s">
        <v>6503</v>
      </c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>
      <c r="A6504" s="8">
        <v>11358.0</v>
      </c>
      <c r="B6504" s="9" t="str">
        <f>HYPERLINK("https://www.lazada.vn/products/mi-tron-miliket-pho-mai-han-quoc-to-90g-i3055498850.html", "https://www.lazada.vn/products/mi-tron-miliket-pho-mai-han-quoc-to-90g-i3055498850.html")</f>
        <v>https://www.lazada.vn/products/mi-tron-miliket-pho-mai-han-quoc-to-90g-i3055498850.html</v>
      </c>
      <c r="C6504" s="10" t="s">
        <v>6504</v>
      </c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>
      <c r="A6505" s="8">
        <v>11359.0</v>
      </c>
      <c r="B6505" s="9" t="str">
        <f>HYPERLINK("https://www.lazada.vn/products/hop-1kg-khoai-lang-mat-say-deo-han-quoc-ep-chan-khong-i2916088697.html", "https://www.lazada.vn/products/hop-1kg-khoai-lang-mat-say-deo-han-quoc-ep-chan-khong-i2916088697.html")</f>
        <v>https://www.lazada.vn/products/hop-1kg-khoai-lang-mat-say-deo-han-quoc-ep-chan-khong-i2916088697.html</v>
      </c>
      <c r="C6505" s="10" t="s">
        <v>6505</v>
      </c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>
      <c r="A6506" s="8">
        <v>11360.0</v>
      </c>
      <c r="B6506" s="9" t="str">
        <f>HYPERLINK("https://www.lazada.vn/products/combo-6-ly-mi-ly-kho-ga-cay-70gmi-ga-cay-samyangmi-cay-samyang-truyen-thong-i3055480652.html", "https://www.lazada.vn/products/combo-6-ly-mi-ly-kho-ga-cay-70gmi-ga-cay-samyangmi-cay-samyang-truyen-thong-i3055480652.html")</f>
        <v>https://www.lazada.vn/products/combo-6-ly-mi-ly-kho-ga-cay-70gmi-ga-cay-samyangmi-cay-samyang-truyen-thong-i3055480652.html</v>
      </c>
      <c r="C6506" s="10" t="s">
        <v>6506</v>
      </c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>
      <c r="A6507" s="8">
        <v>11361.0</v>
      </c>
      <c r="B6507" s="9" t="str">
        <f>HYPERLINK("https://www.lazada.vn/products/keo-dau-phong-theo-leo-kim-chi-i2706526721.html", "https://www.lazada.vn/products/keo-dau-phong-theo-leo-kim-chi-i2706526721.html")</f>
        <v>https://www.lazada.vn/products/keo-dau-phong-theo-leo-kim-chi-i2706526721.html</v>
      </c>
      <c r="C6507" s="10" t="s">
        <v>6507</v>
      </c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>
      <c r="A6508" s="8">
        <v>11362.0</v>
      </c>
      <c r="B6508" s="9" t="str">
        <f>HYPERLINK("https://www.lazada.vn/products/chinh-hang-trai-cay-say-lanh-ecomom-han-quoc-cho-be-an-dam-tu-8m-date-t32025-i2915866928.html", "https://www.lazada.vn/products/chinh-hang-trai-cay-say-lanh-ecomom-han-quoc-cho-be-an-dam-tu-8m-date-t32025-i2915866928.html")</f>
        <v>https://www.lazada.vn/products/chinh-hang-trai-cay-say-lanh-ecomom-han-quoc-cho-be-an-dam-tu-8m-date-t32025-i2915866928.html</v>
      </c>
      <c r="C6508" s="10" t="s">
        <v>6508</v>
      </c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>
      <c r="A6509" s="8">
        <v>11363.0</v>
      </c>
      <c r="B6509" s="9" t="str">
        <f>HYPERLINK("https://www.lazada.vn/products/combo-5-to-mi-samyang-to-nuocmi-nuoc-samyang-cay-sot-buldak-mi-samyang-sot-buldak-cay-nuoc-i3055466709.html", "https://www.lazada.vn/products/combo-5-to-mi-samyang-to-nuocmi-nuoc-samyang-cay-sot-buldak-mi-samyang-sot-buldak-cay-nuoc-i3055466709.html")</f>
        <v>https://www.lazada.vn/products/combo-5-to-mi-samyang-to-nuocmi-nuoc-samyang-cay-sot-buldak-mi-samyang-sot-buldak-cay-nuoc-i3055466709.html</v>
      </c>
      <c r="C6509" s="10" t="s">
        <v>6509</v>
      </c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>
      <c r="A6510" s="8">
        <v>11364.0</v>
      </c>
      <c r="B6510" s="9" t="str">
        <f>HYPERLINK("https://www.lazada.vn/products/ruou-vang-do-phap-chateau-de-chantegrive-i2556648184.html", "https://www.lazada.vn/products/ruou-vang-do-phap-chateau-de-chantegrive-i2556648184.html")</f>
        <v>https://www.lazada.vn/products/ruou-vang-do-phap-chateau-de-chantegrive-i2556648184.html</v>
      </c>
      <c r="C6510" s="10" t="s">
        <v>6510</v>
      </c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>
      <c r="A6511" s="8">
        <v>11365.0</v>
      </c>
      <c r="B6511" s="9" t="str">
        <f>HYPERLINK("https://www.lazada.vn/products/keo-socola-hersheys-kisses-milk-choco-146gr-03240-i2904697692.html", "https://www.lazada.vn/products/keo-socola-hersheys-kisses-milk-choco-146gr-03240-i2904697692.html")</f>
        <v>https://www.lazada.vn/products/keo-socola-hersheys-kisses-milk-choco-146gr-03240-i2904697692.html</v>
      </c>
      <c r="C6511" s="10" t="s">
        <v>6511</v>
      </c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>
      <c r="A6512" s="8">
        <v>11366.0</v>
      </c>
      <c r="B6512" s="9" t="str">
        <f>HYPERLINK("https://www.lazada.vn/products/ca-phe-sau-rieng-durica-4-trong-1-tui-400g-gom-20-goi-nho-i2684460621.html", "https://www.lazada.vn/products/ca-phe-sau-rieng-durica-4-trong-1-tui-400g-gom-20-goi-nho-i2684460621.html")</f>
        <v>https://www.lazada.vn/products/ca-phe-sau-rieng-durica-4-trong-1-tui-400g-gom-20-goi-nho-i2684460621.html</v>
      </c>
      <c r="C6512" s="10" t="s">
        <v>6512</v>
      </c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>
      <c r="A6513" s="8">
        <v>11367.0</v>
      </c>
      <c r="B6513" s="9" t="str">
        <f>HYPERLINK("https://www.lazada.vn/products/kho-muc-loai-1-kho-muc-cau-loai-trung-kho-muc-trang-thit-day-an-sieu-ngot-size-50con1kg-muc-kho-i1856235009.html", "https://www.lazada.vn/products/kho-muc-loai-1-kho-muc-cau-loai-trung-kho-muc-trang-thit-day-an-sieu-ngot-size-50con1kg-muc-kho-i1856235009.html")</f>
        <v>https://www.lazada.vn/products/kho-muc-loai-1-kho-muc-cau-loai-trung-kho-muc-trang-thit-day-an-sieu-ngot-size-50con1kg-muc-kho-i1856235009.html</v>
      </c>
      <c r="C6513" s="10" t="s">
        <v>6513</v>
      </c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>
      <c r="A6514" s="8">
        <v>11368.0</v>
      </c>
      <c r="B6514" s="9" t="str">
        <f>HYPERLINK("https://www.lazada.vn/products/1th-2kg-tam-84-cai-banh-sua-chua-nhan-sau-rieng-i247999772.html", "https://www.lazada.vn/products/1th-2kg-tam-84-cai-banh-sua-chua-nhan-sau-rieng-i247999772.html")</f>
        <v>https://www.lazada.vn/products/1th-2kg-tam-84-cai-banh-sua-chua-nhan-sau-rieng-i247999772.html</v>
      </c>
      <c r="C6514" s="10" t="s">
        <v>6514</v>
      </c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>
      <c r="A6515" s="8">
        <v>11369.0</v>
      </c>
      <c r="B6515" s="9" t="str">
        <f>HYPERLINK("https://www.lazada.vn/products/bot-cacao-nguyen-chat-tui-50g-i1586811578.html", "https://www.lazada.vn/products/bot-cacao-nguyen-chat-tui-50g-i1586811578.html")</f>
        <v>https://www.lazada.vn/products/bot-cacao-nguyen-chat-tui-50g-i1586811578.html</v>
      </c>
      <c r="C6515" s="10" t="s">
        <v>6515</v>
      </c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>
      <c r="A6516" s="8">
        <v>11370.0</v>
      </c>
      <c r="B6516" s="9" t="str">
        <f>HYPERLINK("https://www.lazada.vn/products/khoai-lang-tim-soi-say-gion-ntfood-hu-300gr-nhat-tin-food-i2911554570.html", "https://www.lazada.vn/products/khoai-lang-tim-soi-say-gion-ntfood-hu-300gr-nhat-tin-food-i2911554570.html")</f>
        <v>https://www.lazada.vn/products/khoai-lang-tim-soi-say-gion-ntfood-hu-300gr-nhat-tin-food-i2911554570.html</v>
      </c>
      <c r="C6516" s="10" t="s">
        <v>6516</v>
      </c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>
      <c r="A6517" s="8">
        <v>11371.0</v>
      </c>
      <c r="B6517" s="9" t="str">
        <f>HYPERLINK("https://www.lazada.vn/products/keo-socola-storch-merci-petis-hon-hop-125gr-25395-i2904119503.html", "https://www.lazada.vn/products/keo-socola-storch-merci-petis-hon-hop-125gr-25395-i2904119503.html")</f>
        <v>https://www.lazada.vn/products/keo-socola-storch-merci-petis-hon-hop-125gr-25395-i2904119503.html</v>
      </c>
      <c r="C6517" s="10" t="s">
        <v>6517</v>
      </c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>
      <c r="A6518" s="8">
        <v>11372.0</v>
      </c>
      <c r="B6518" s="9" t="str">
        <f>HYPERLINK("https://www.lazada.vn/products/an-la-ghien-keo-no-striking-lollipop-hong-kong-popping-candy-nhieu-huong-vi-sieu-hot-i2704877196.html", "https://www.lazada.vn/products/an-la-ghien-keo-no-striking-lollipop-hong-kong-popping-candy-nhieu-huong-vi-sieu-hot-i2704877196.html")</f>
        <v>https://www.lazada.vn/products/an-la-ghien-keo-no-striking-lollipop-hong-kong-popping-candy-nhieu-huong-vi-sieu-hot-i2704877196.html</v>
      </c>
      <c r="C6518" s="10" t="s">
        <v>6518</v>
      </c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>
      <c r="A6519" s="8">
        <v>11373.0</v>
      </c>
      <c r="B6519" s="9" t="str">
        <f>HYPERLINK("https://www.lazada.vn/products/mi-omachi-to-93gr-i3055291660.html", "https://www.lazada.vn/products/mi-omachi-to-93gr-i3055291660.html")</f>
        <v>https://www.lazada.vn/products/mi-omachi-to-93gr-i3055291660.html</v>
      </c>
      <c r="C6519" s="10" t="s">
        <v>6519</v>
      </c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>
      <c r="A6520" s="8">
        <v>11374.0</v>
      </c>
      <c r="B6520" s="9" t="str">
        <f>HYPERLINK("https://www.lazada.vn/products/nuoc-uong-i-on-life-kiem-alkaline-450ml-thung-24-chai-tot-cho-suc-khoe-cong-nghe-nhat-ban-i2310385555.html", "https://www.lazada.vn/products/nuoc-uong-i-on-life-kiem-alkaline-450ml-thung-24-chai-tot-cho-suc-khoe-cong-nghe-nhat-ban-i2310385555.html")</f>
        <v>https://www.lazada.vn/products/nuoc-uong-i-on-life-kiem-alkaline-450ml-thung-24-chai-tot-cho-suc-khoe-cong-nghe-nhat-ban-i2310385555.html</v>
      </c>
      <c r="C6520" s="10" t="s">
        <v>6520</v>
      </c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>
      <c r="A6521" s="8">
        <v>11375.0</v>
      </c>
      <c r="B6521" s="9" t="str">
        <f>HYPERLINK("https://www.lazada.vn/products/bich-50-goi-bim-bim-tam-cay-den-i1518299392.html", "https://www.lazada.vn/products/bich-50-goi-bim-bim-tam-cay-den-i1518299392.html")</f>
        <v>https://www.lazada.vn/products/bich-50-goi-bim-bim-tam-cay-den-i1518299392.html</v>
      </c>
      <c r="C6521" s="10" t="s">
        <v>6521</v>
      </c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>
      <c r="A6522" s="8">
        <v>11376.0</v>
      </c>
      <c r="B6522" s="9" t="str">
        <f>HYPERLINK("https://www.lazada.vn/products/mam-ruoc-xao-ngon-vi-vua-an-mam-ruoc-an-lien-dung-cham-trai-cay-i3025990015.html", "https://www.lazada.vn/products/mam-ruoc-xao-ngon-vi-vua-an-mam-ruoc-an-lien-dung-cham-trai-cay-i3025990015.html")</f>
        <v>https://www.lazada.vn/products/mam-ruoc-xao-ngon-vi-vua-an-mam-ruoc-an-lien-dung-cham-trai-cay-i3025990015.html</v>
      </c>
      <c r="C6522" s="10" t="s">
        <v>6522</v>
      </c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>
      <c r="A6523" s="8">
        <v>11377.0</v>
      </c>
      <c r="B6523" s="9" t="str">
        <f>HYPERLINK("https://www.lazada.vn/products/giao-hcm4ps-nuoc-tao-len-men-da-lat-whey-cider-lon-330ml-i2117693009.html", "https://www.lazada.vn/products/giao-hcm4ps-nuoc-tao-len-men-da-lat-whey-cider-lon-330ml-i2117693009.html")</f>
        <v>https://www.lazada.vn/products/giao-hcm4ps-nuoc-tao-len-men-da-lat-whey-cider-lon-330ml-i2117693009.html</v>
      </c>
      <c r="C6523" s="10" t="s">
        <v>6523</v>
      </c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>
      <c r="A6524" s="8">
        <v>11378.0</v>
      </c>
      <c r="B6524" s="9" t="str">
        <f>HYPERLINK("https://www.lazada.vn/products/5-lit-ruou-ngo-dac-san-ha-giang-i2492736988.html", "https://www.lazada.vn/products/5-lit-ruou-ngo-dac-san-ha-giang-i2492736988.html")</f>
        <v>https://www.lazada.vn/products/5-lit-ruou-ngo-dac-san-ha-giang-i2492736988.html</v>
      </c>
      <c r="C6524" s="10" t="s">
        <v>6524</v>
      </c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>
      <c r="A6525" s="8">
        <v>11379.0</v>
      </c>
      <c r="B6525" s="9" t="str">
        <f>HYPERLINK("https://www.lazada.vn/products/vodka-ha-noi-nho-295-300ml-i2332468693.html", "https://www.lazada.vn/products/vodka-ha-noi-nho-295-300ml-i2332468693.html")</f>
        <v>https://www.lazada.vn/products/vodka-ha-noi-nho-295-300ml-i2332468693.html</v>
      </c>
      <c r="C6525" s="10" t="s">
        <v>6525</v>
      </c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>
      <c r="A6526" s="8">
        <v>11380.0</v>
      </c>
      <c r="B6526" s="9" t="str">
        <f>HYPERLINK("https://www.lazada.vn/products/coca-zero-320ml-i2342054043.html", "https://www.lazada.vn/products/coca-zero-320ml-i2342054043.html")</f>
        <v>https://www.lazada.vn/products/coca-zero-320ml-i2342054043.html</v>
      </c>
      <c r="C6526" s="10" t="s">
        <v>6526</v>
      </c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>
      <c r="A6527" s="8">
        <v>11381.0</v>
      </c>
      <c r="B6527" s="9" t="str">
        <f>HYPERLINK("https://www.lazada.vn/products/banh-mix-dai-loan-du-vi-loai-1-thung-2kg-do-an-vat-an-vat-sieu-ngon-shop-haimy-mua-sam-nhanh-i2621765303.html", "https://www.lazada.vn/products/banh-mix-dai-loan-du-vi-loai-1-thung-2kg-do-an-vat-an-vat-sieu-ngon-shop-haimy-mua-sam-nhanh-i2621765303.html")</f>
        <v>https://www.lazada.vn/products/banh-mix-dai-loan-du-vi-loai-1-thung-2kg-do-an-vat-an-vat-sieu-ngon-shop-haimy-mua-sam-nhanh-i2621765303.html</v>
      </c>
      <c r="C6527" s="10" t="s">
        <v>6527</v>
      </c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>
      <c r="A6528" s="8">
        <v>11382.0</v>
      </c>
      <c r="B6528" s="9" t="str">
        <f>HYPERLINK("https://www.lazada.vn/products/500gr-vien-tinh-bot-nghe-mat-ong-nguyen-chat-100-nha-lam-i1854991160.html", "https://www.lazada.vn/products/500gr-vien-tinh-bot-nghe-mat-ong-nguyen-chat-100-nha-lam-i1854991160.html")</f>
        <v>https://www.lazada.vn/products/500gr-vien-tinh-bot-nghe-mat-ong-nguyen-chat-100-nha-lam-i1854991160.html</v>
      </c>
      <c r="C6528" s="10" t="s">
        <v>6528</v>
      </c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>
      <c r="A6529" s="8">
        <v>11383.0</v>
      </c>
      <c r="B6529" s="9" t="str">
        <f>HYPERLINK("https://www.lazada.vn/products/bo-dau-ga-vi-cacao-thuan-chay-i3024514922.html", "https://www.lazada.vn/products/bo-dau-ga-vi-cacao-thuan-chay-i3024514922.html")</f>
        <v>https://www.lazada.vn/products/bo-dau-ga-vi-cacao-thuan-chay-i3024514922.html</v>
      </c>
      <c r="C6529" s="10" t="s">
        <v>6529</v>
      </c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>
      <c r="A6530" s="8">
        <v>11384.0</v>
      </c>
      <c r="B6530" s="9" t="str">
        <f>HYPERLINK("https://www.lazada.vn/products/nui-xoan-rau-cu-nissin-macaroni-i3052045236.html", "https://www.lazada.vn/products/nui-xoan-rau-cu-nissin-macaroni-i3052045236.html")</f>
        <v>https://www.lazada.vn/products/nui-xoan-rau-cu-nissin-macaroni-i3052045236.html</v>
      </c>
      <c r="C6530" s="10" t="s">
        <v>6530</v>
      </c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>
      <c r="A6531" s="8">
        <v>11385.0</v>
      </c>
      <c r="B6531" s="9" t="str">
        <f>HYPERLINK("https://www.lazada.vn/products/500g-khoai-lang-mat-say-deo200g-i2911070652.html", "https://www.lazada.vn/products/500g-khoai-lang-mat-say-deo200g-i2911070652.html")</f>
        <v>https://www.lazada.vn/products/500g-khoai-lang-mat-say-deo200g-i2911070652.html</v>
      </c>
      <c r="C6531" s="10" t="s">
        <v>6531</v>
      </c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>
      <c r="A6532" s="8">
        <v>11386.0</v>
      </c>
      <c r="B6532" s="9" t="str">
        <f>HYPERLINK("https://www.lazada.vn/products/mao-dai-son-duong-den-huong-thom-manh-truyen-thong-chai-500-i2490416305.html", "https://www.lazada.vn/products/mao-dai-son-duong-den-huong-thom-manh-truyen-thong-chai-500-i2490416305.html")</f>
        <v>https://www.lazada.vn/products/mao-dai-son-duong-den-huong-thom-manh-truyen-thong-chai-500-i2490416305.html</v>
      </c>
      <c r="C6532" s="10" t="s">
        <v>6532</v>
      </c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>
      <c r="A6533" s="8">
        <v>11387.0</v>
      </c>
      <c r="B6533" s="9" t="str">
        <f>HYPERLINK("https://www.lazada.vn/products/500gbim-bim-que-dau-ha-lan-i2375083347.html", "https://www.lazada.vn/products/500gbim-bim-que-dau-ha-lan-i2375083347.html")</f>
        <v>https://www.lazada.vn/products/500gbim-bim-que-dau-ha-lan-i2375083347.html</v>
      </c>
      <c r="C6533" s="10" t="s">
        <v>6533</v>
      </c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>
      <c r="A6534" s="8">
        <v>11388.0</v>
      </c>
      <c r="B6534" s="9" t="str">
        <f>HYPERLINK("https://www.lazada.vn/products/deal-gia-hoi-bot-gao-lut-tim-dau-den-xanh-long-me-den-bot-gao-lut-anan-thay-the-bua-an-cham-soc-suc-khoe-tot-cho-xuong-khop-giac-ngu-i2907207168.html", "https://www.lazada.vn/products/deal-gia-hoi-bot-gao-lut-tim-dau-den-xanh-long-me-den-bot-gao-lut-anan-thay-the-bua-an-cham-soc-suc-khoe-tot-cho-xuong-khop-giac-ngu-i2907207168.html")</f>
        <v>https://www.lazada.vn/products/deal-gia-hoi-bot-gao-lut-tim-dau-den-xanh-long-me-den-bot-gao-lut-anan-thay-the-bua-an-cham-soc-suc-khoe-tot-cho-xuong-khop-giac-ngu-i2907207168.html</v>
      </c>
      <c r="C6534" s="10" t="s">
        <v>6534</v>
      </c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>
      <c r="A6535" s="8">
        <v>11389.0</v>
      </c>
      <c r="B6535" s="9" t="str">
        <f>HYPERLINK("https://www.lazada.vn/products/coca-light-320ml-khong-duong-i2342004525.html", "https://www.lazada.vn/products/coca-light-320ml-khong-duong-i2342004525.html")</f>
        <v>https://www.lazada.vn/products/coca-light-320ml-khong-duong-i2342004525.html</v>
      </c>
      <c r="C6535" s="10" t="s">
        <v>6535</v>
      </c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>
      <c r="A6536" s="8">
        <v>11390.0</v>
      </c>
      <c r="B6536" s="9" t="str">
        <f>HYPERLINK("https://www.lazada.vn/products/banh-pia-tan-hung-loi-300gr-i235568067.html", "https://www.lazada.vn/products/banh-pia-tan-hung-loi-300gr-i235568067.html")</f>
        <v>https://www.lazada.vn/products/banh-pia-tan-hung-loi-300gr-i235568067.html</v>
      </c>
      <c r="C6536" s="10" t="s">
        <v>6536</v>
      </c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>
      <c r="A6537" s="8">
        <v>11391.0</v>
      </c>
      <c r="B6537" s="9" t="str">
        <f>HYPERLINK("https://www.lazada.vn/products/ca-phe-sua-giam-can-idol-slim-coffee-thailan-hop-10-goi-i2677464176.html", "https://www.lazada.vn/products/ca-phe-sua-giam-can-idol-slim-coffee-thailan-hop-10-goi-i2677464176.html")</f>
        <v>https://www.lazada.vn/products/ca-phe-sua-giam-can-idol-slim-coffee-thailan-hop-10-goi-i2677464176.html</v>
      </c>
      <c r="C6537" s="10" t="s">
        <v>6537</v>
      </c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>
      <c r="A6538" s="8">
        <v>11392.0</v>
      </c>
      <c r="B6538" s="9" t="str">
        <f>HYPERLINK("https://www.lazada.vn/products/socola-kisses-chocolate-sua-hersheys-kisses-milk-158kg-330-vien-my-i2903698965.html", "https://www.lazada.vn/products/socola-kisses-chocolate-sua-hersheys-kisses-milk-158kg-330-vien-my-i2903698965.html")</f>
        <v>https://www.lazada.vn/products/socola-kisses-chocolate-sua-hersheys-kisses-milk-158kg-330-vien-my-i2903698965.html</v>
      </c>
      <c r="C6538" s="10" t="s">
        <v>6538</v>
      </c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>
      <c r="A6539" s="8">
        <v>11393.0</v>
      </c>
      <c r="B6539" s="9" t="str">
        <f>HYPERLINK("https://www.lazada.vn/products/tang-don-tu-199k-pizza-4ps-beer-yuzu-wheat-lon-330ml-i2117676070.html", "https://www.lazada.vn/products/tang-don-tu-199k-pizza-4ps-beer-yuzu-wheat-lon-330ml-i2117676070.html")</f>
        <v>https://www.lazada.vn/products/tang-don-tu-199k-pizza-4ps-beer-yuzu-wheat-lon-330ml-i2117676070.html</v>
      </c>
      <c r="C6539" s="10" t="s">
        <v>6539</v>
      </c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>
      <c r="A6540" s="8">
        <v>11394.0</v>
      </c>
      <c r="B6540" s="9" t="str">
        <f>HYPERLINK("https://www.lazada.vn/products/thung-da-coca-45-lit-hiep-thanh-i2306309204.html", "https://www.lazada.vn/products/thung-da-coca-45-lit-hiep-thanh-i2306309204.html")</f>
        <v>https://www.lazada.vn/products/thung-da-coca-45-lit-hiep-thanh-i2306309204.html</v>
      </c>
      <c r="C6540" s="10" t="s">
        <v>6540</v>
      </c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>
      <c r="A6541" s="8">
        <v>11395.0</v>
      </c>
      <c r="B6541" s="9" t="str">
        <f>HYPERLINK("https://www.lazada.vn/products/ngu-coc-dinh-duong-me-tom-17-loai-hat-i1581144552.html", "https://www.lazada.vn/products/ngu-coc-dinh-duong-me-tom-17-loai-hat-i1581144552.html")</f>
        <v>https://www.lazada.vn/products/ngu-coc-dinh-duong-me-tom-17-loai-hat-i1581144552.html</v>
      </c>
      <c r="C6541" s="10" t="s">
        <v>6541</v>
      </c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>
      <c r="A6542" s="8">
        <v>11396.0</v>
      </c>
      <c r="B6542" s="9" t="str">
        <f>HYPERLINK("https://www.lazada.vn/products/top-ruou-vn-ruou-vodka-danza-svedka-cherry-clemetine-citron-700ml-1000ml-chinh-hang-i2319092629.html", "https://www.lazada.vn/products/top-ruou-vn-ruou-vodka-danza-svedka-cherry-clemetine-citron-700ml-1000ml-chinh-hang-i2319092629.html")</f>
        <v>https://www.lazada.vn/products/top-ruou-vn-ruou-vodka-danza-svedka-cherry-clemetine-citron-700ml-1000ml-chinh-hang-i2319092629.html</v>
      </c>
      <c r="C6542" s="10" t="s">
        <v>6542</v>
      </c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>
      <c r="A6543" s="8">
        <v>11397.0</v>
      </c>
      <c r="B6543" s="9" t="str">
        <f>HYPERLINK("https://www.lazada.vn/products/bim-bim-doremon-sieu-to-khong-lo-30-goi-i1457463182.html", "https://www.lazada.vn/products/bim-bim-doremon-sieu-to-khong-lo-30-goi-i1457463182.html")</f>
        <v>https://www.lazada.vn/products/bim-bim-doremon-sieu-to-khong-lo-30-goi-i1457463182.html</v>
      </c>
      <c r="C6543" s="10" t="s">
        <v>6543</v>
      </c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>
      <c r="A6544" s="8">
        <v>11398.0</v>
      </c>
      <c r="B6544" s="9" t="str">
        <f>HYPERLINK("https://www.lazada.vn/products/ruou-vang-do-san-clemente-alc-135-bich-3l-i2556297136.html", "https://www.lazada.vn/products/ruou-vang-do-san-clemente-alc-135-bich-3l-i2556297136.html")</f>
        <v>https://www.lazada.vn/products/ruou-vang-do-san-clemente-alc-135-bich-3l-i2556297136.html</v>
      </c>
      <c r="C6544" s="10" t="s">
        <v>6544</v>
      </c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>
      <c r="A6545" s="8">
        <v>11399.0</v>
      </c>
      <c r="B6545" s="9" t="str">
        <f>HYPERLINK("https://www.lazada.vn/products/mut-gung-the-keo-gung-dang-thanh-gion-thom-ngot-diu-nhieu-huong-vi-i2704865293.html", "https://www.lazada.vn/products/mut-gung-the-keo-gung-dang-thanh-gion-thom-ngot-diu-nhieu-huong-vi-i2704865293.html")</f>
        <v>https://www.lazada.vn/products/mut-gung-the-keo-gung-dang-thanh-gion-thom-ngot-diu-nhieu-huong-vi-i2704865293.html</v>
      </c>
      <c r="C6545" s="10" t="s">
        <v>6545</v>
      </c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>
      <c r="A6546" s="8">
        <v>11400.0</v>
      </c>
      <c r="B6546" s="9" t="str">
        <f>HYPERLINK("https://www.lazada.vn/products/tran-chau-den-size-3_4-khoe-bao-hanh-i3011816920.html", "https://www.lazada.vn/products/tran-chau-den-size-3_4-khoe-bao-hanh-i3011816920.html")</f>
        <v>https://www.lazada.vn/products/tran-chau-den-size-3_4-khoe-bao-hanh-i3011816920.html</v>
      </c>
      <c r="C6546" s="10" t="s">
        <v>6546</v>
      </c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>
      <c r="A6547" s="8">
        <v>11401.0</v>
      </c>
      <c r="B6547" s="9" t="str">
        <f>HYPERLINK("https://www.lazada.vn/products/1kg-khoai-lang-mat-say-deo-khong-duong500g-i2910287251.html", "https://www.lazada.vn/products/1kg-khoai-lang-mat-say-deo-khong-duong500g-i2910287251.html")</f>
        <v>https://www.lazada.vn/products/1kg-khoai-lang-mat-say-deo-khong-duong500g-i2910287251.html</v>
      </c>
      <c r="C6547" s="10" t="s">
        <v>6547</v>
      </c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>
      <c r="A6548" s="8">
        <v>11402.0</v>
      </c>
      <c r="B6548" s="9" t="str">
        <f>HYPERLINK("https://www.lazada.vn/products/mien-trung-khanh-mien-chua-cay-van-nguoi-me-i3049689402.html", "https://www.lazada.vn/products/mien-trung-khanh-mien-chua-cay-van-nguoi-me-i3049689402.html")</f>
        <v>https://www.lazada.vn/products/mien-trung-khanh-mien-chua-cay-van-nguoi-me-i3049689402.html</v>
      </c>
      <c r="C6548" s="10" t="s">
        <v>6548</v>
      </c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>
      <c r="A6549" s="8">
        <v>11403.0</v>
      </c>
      <c r="B6549" s="9" t="str">
        <f>HYPERLINK("https://www.lazada.vn/products/700g-mam-ba-khia-tron-san-bao-ngon-i1854982157.html", "https://www.lazada.vn/products/700g-mam-ba-khia-tron-san-bao-ngon-i1854982157.html")</f>
        <v>https://www.lazada.vn/products/700g-mam-ba-khia-tron-san-bao-ngon-i1854982157.html</v>
      </c>
      <c r="C6549" s="10" t="s">
        <v>6549</v>
      </c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>
      <c r="A6550" s="8">
        <v>11404.0</v>
      </c>
      <c r="B6550" s="9" t="str">
        <f>HYPERLINK("https://www.lazada.vn/products/banh-gau-nhan-kem-thien-hong-1kg-i211042756.html", "https://www.lazada.vn/products/banh-gau-nhan-kem-thien-hong-1kg-i211042756.html")</f>
        <v>https://www.lazada.vn/products/banh-gau-nhan-kem-thien-hong-1kg-i211042756.html</v>
      </c>
      <c r="C6550" s="10" t="s">
        <v>6550</v>
      </c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>
      <c r="A6551" s="8">
        <v>11405.0</v>
      </c>
      <c r="B6551" s="9" t="str">
        <f>HYPERLINK("https://www.lazada.vn/products/top-ruou-vn-ruou-vodka-absolut-truyen-thong-700ml-1000ml-chinh-hang-i2317937906.html", "https://www.lazada.vn/products/top-ruou-vn-ruou-vodka-absolut-truyen-thong-700ml-1000ml-chinh-hang-i2317937906.html")</f>
        <v>https://www.lazada.vn/products/top-ruou-vn-ruou-vodka-absolut-truyen-thong-700ml-1000ml-chinh-hang-i2317937906.html</v>
      </c>
      <c r="C6551" s="10" t="s">
        <v>6551</v>
      </c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>
      <c r="A6552" s="8">
        <v>11406.0</v>
      </c>
      <c r="B6552" s="9" t="str">
        <f>HYPERLINK("https://www.lazada.vn/products/thung-banh-mochi-dai-loan-bao-ngon-2kg-i1418732729.html", "https://www.lazada.vn/products/thung-banh-mochi-dai-loan-bao-ngon-2kg-i1418732729.html")</f>
        <v>https://www.lazada.vn/products/thung-banh-mochi-dai-loan-bao-ngon-2kg-i1418732729.html</v>
      </c>
      <c r="C6552" s="10" t="s">
        <v>6552</v>
      </c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>
      <c r="A6553" s="8">
        <v>11407.0</v>
      </c>
      <c r="B6553" s="9" t="str">
        <f>HYPERLINK("https://www.lazada.vn/products/nuoc-ngot-giai-khat-7up-vi-chanh-320mlchai-i2339694152.html", "https://www.lazada.vn/products/nuoc-ngot-giai-khat-7up-vi-chanh-320mlchai-i2339694152.html")</f>
        <v>https://www.lazada.vn/products/nuoc-ngot-giai-khat-7up-vi-chanh-320mlchai-i2339694152.html</v>
      </c>
      <c r="C6553" s="10" t="s">
        <v>6553</v>
      </c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>
      <c r="A6554" s="8">
        <v>11408.0</v>
      </c>
      <c r="B6554" s="9" t="str">
        <f>HYPERLINK("https://www.lazada.vn/products/che-dai-loan-an-lien-che-bat-buu-che-thap-bao-che-dau-phong-dau-den-dau-do-taisun-agv-i2951595286.html", "https://www.lazada.vn/products/che-dai-loan-an-lien-che-bat-buu-che-thap-bao-che-dau-phong-dau-den-dau-do-taisun-agv-i2951595286.html")</f>
        <v>https://www.lazada.vn/products/che-dai-loan-an-lien-che-bat-buu-che-thap-bao-che-dau-phong-dau-den-dau-do-taisun-agv-i2951595286.html</v>
      </c>
      <c r="C6554" s="10" t="s">
        <v>6554</v>
      </c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>
      <c r="A6555" s="8">
        <v>11409.0</v>
      </c>
      <c r="B6555" s="9" t="str">
        <f>HYPERLINK("https://www.lazada.vn/products/combo-5-ly-my-cac-loai-i3048608748.html", "https://www.lazada.vn/products/combo-5-ly-my-cac-loai-i3048608748.html")</f>
        <v>https://www.lazada.vn/products/combo-5-ly-my-cac-loai-i3048608748.html</v>
      </c>
      <c r="C6555" s="10" t="s">
        <v>6555</v>
      </c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>
      <c r="A6556" s="8">
        <v>11410.0</v>
      </c>
      <c r="B6556" s="9" t="str">
        <f>HYPERLINK("https://www.lazada.vn/products/banh-yen-mach-oat-choco-wafer-han-quoc-370g-do-an-vat-ngon-re-sai-gon-i101236768.html", "https://www.lazada.vn/products/banh-yen-mach-oat-choco-wafer-han-quoc-370g-do-an-vat-ngon-re-sai-gon-i101236768.html")</f>
        <v>https://www.lazada.vn/products/banh-yen-mach-oat-choco-wafer-han-quoc-370g-do-an-vat-ngon-re-sai-gon-i101236768.html</v>
      </c>
      <c r="C6556" s="10" t="s">
        <v>6556</v>
      </c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>
      <c r="A6557" s="8">
        <v>11411.0</v>
      </c>
      <c r="B6557" s="9" t="str">
        <f>HYPERLINK("https://www.lazada.vn/products/cacao-trink-kakao-huu-co-dmbio-va-alnatura-tui-400gr-duc-i1579669188.html", "https://www.lazada.vn/products/cacao-trink-kakao-huu-co-dmbio-va-alnatura-tui-400gr-duc-i1579669188.html")</f>
        <v>https://www.lazada.vn/products/cacao-trink-kakao-huu-co-dmbio-va-alnatura-tui-400gr-duc-i1579669188.html</v>
      </c>
      <c r="C6557" s="10" t="s">
        <v>6557</v>
      </c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>
      <c r="A6558" s="8">
        <v>11412.0</v>
      </c>
      <c r="B6558" s="9" t="str">
        <f>HYPERLINK("https://www.lazada.vn/products/khoai-lang-mat-say-deo-khong-duong-hut-chan-khong-i2909198278.html", "https://www.lazada.vn/products/khoai-lang-mat-say-deo-khong-duong-hut-chan-khong-i2909198278.html")</f>
        <v>https://www.lazada.vn/products/khoai-lang-mat-say-deo-khong-duong-hut-chan-khong-i2909198278.html</v>
      </c>
      <c r="C6558" s="10" t="s">
        <v>6558</v>
      </c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>
      <c r="A6559" s="8">
        <v>11413.0</v>
      </c>
      <c r="B6559" s="9" t="str">
        <f>HYPERLINK("https://www.lazada.vn/products/giam-nuoi-nguyen-chat-nha-lam-dam-bao-chat-luong-ngoc-hien-foody-i1853640897.html", "https://www.lazada.vn/products/giam-nuoi-nguyen-chat-nha-lam-dam-bao-chat-luong-ngoc-hien-foody-i1853640897.html")</f>
        <v>https://www.lazada.vn/products/giam-nuoi-nguyen-chat-nha-lam-dam-bao-chat-luong-ngoc-hien-foody-i1853640897.html</v>
      </c>
      <c r="C6559" s="10" t="s">
        <v>6559</v>
      </c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>
      <c r="A6560" s="8">
        <v>11414.0</v>
      </c>
      <c r="B6560" s="9" t="str">
        <f>HYPERLINK("https://www.lazada.vn/products/loc-6-chai-nuoc-ngot-giai-khat-7up-vi-chanh-320mlchai-i2339622674.html", "https://www.lazada.vn/products/loc-6-chai-nuoc-ngot-giai-khat-7up-vi-chanh-320mlchai-i2339622674.html")</f>
        <v>https://www.lazada.vn/products/loc-6-chai-nuoc-ngot-giai-khat-7up-vi-chanh-320mlchai-i2339622674.html</v>
      </c>
      <c r="C6560" s="10" t="s">
        <v>6560</v>
      </c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>
      <c r="A6561" s="8">
        <v>11415.0</v>
      </c>
      <c r="B6561" s="9" t="str">
        <f>HYPERLINK("https://www.lazada.vn/products/nui-gao-lut-do-loai-ngon-nui-lut-huu-co-cho-nguoi-an-eat-clean-i3042228005.html", "https://www.lazada.vn/products/nui-gao-lut-do-loai-ngon-nui-lut-huu-co-cho-nguoi-an-eat-clean-i3042228005.html")</f>
        <v>https://www.lazada.vn/products/nui-gao-lut-do-loai-ngon-nui-lut-huu-co-cho-nguoi-an-eat-clean-i3042228005.html</v>
      </c>
      <c r="C6561" s="10" t="s">
        <v>6561</v>
      </c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>
      <c r="A6562" s="8">
        <v>11416.0</v>
      </c>
      <c r="B6562" s="9" t="str">
        <f>HYPERLINK("https://www.lazada.vn/products/set-tra-sua-olong-hoa-nhai-pha-tra-sua-tai-nha-10-ly-tra-sua-olong-bao-loc-i2918644991.html", "https://www.lazada.vn/products/set-tra-sua-olong-hoa-nhai-pha-tra-sua-tai-nha-10-ly-tra-sua-olong-bao-loc-i2918644991.html")</f>
        <v>https://www.lazada.vn/products/set-tra-sua-olong-hoa-nhai-pha-tra-sua-tai-nha-10-ly-tra-sua-olong-bao-loc-i2918644991.html</v>
      </c>
      <c r="C6562" s="10" t="s">
        <v>6562</v>
      </c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>
      <c r="A6563" s="8">
        <v>11417.0</v>
      </c>
      <c r="B6563" s="9" t="str">
        <f>HYPERLINK("https://www.lazada.vn/products/combo-03-omh-rugos-size-s-01-goi-cat-01-goi-thuc-an-i2994837258.html", "https://www.lazada.vn/products/combo-03-omh-rugos-size-s-01-goi-cat-01-goi-thuc-an-i2994837258.html")</f>
        <v>https://www.lazada.vn/products/combo-03-omh-rugos-size-s-01-goi-cat-01-goi-thuc-an-i2994837258.html</v>
      </c>
      <c r="C6563" s="10" t="s">
        <v>6563</v>
      </c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>
      <c r="A6564" s="8">
        <v>11418.0</v>
      </c>
      <c r="B6564" s="9" t="str">
        <f>HYPERLINK("https://www.lazada.vn/products/tren-18-tuoi-chinh-hang-ruou-vodka-hangar-1-rose-30-750ml-i2316520353.html", "https://www.lazada.vn/products/tren-18-tuoi-chinh-hang-ruou-vodka-hangar-1-rose-30-750ml-i2316520353.html")</f>
        <v>https://www.lazada.vn/products/tren-18-tuoi-chinh-hang-ruou-vodka-hangar-1-rose-30-750ml-i2316520353.html</v>
      </c>
      <c r="C6564" s="10" t="s">
        <v>6564</v>
      </c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>
      <c r="A6565" s="8">
        <v>11419.0</v>
      </c>
      <c r="B6565" s="9" t="str">
        <f>HYPERLINK("https://www.lazada.vn/products/lon-fanta-cam-fanta-nho-coca-nhat-ban-160ml-i2338821814.html", "https://www.lazada.vn/products/lon-fanta-cam-fanta-nho-coca-nhat-ban-160ml-i2338821814.html")</f>
        <v>https://www.lazada.vn/products/lon-fanta-cam-fanta-nho-coca-nhat-ban-160ml-i2338821814.html</v>
      </c>
      <c r="C6565" s="10" t="s">
        <v>6565</v>
      </c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>
      <c r="A6566" s="8">
        <v>11420.0</v>
      </c>
      <c r="B6566" s="9" t="str">
        <f>HYPERLINK("https://www.lazada.vn/products/bpdn-combo-3-goi-dua-say-gion-200g-thuc-pham-bach-phuc-da-nang-i2908889721.html", "https://www.lazada.vn/products/bpdn-combo-3-goi-dua-say-gion-200g-thuc-pham-bach-phuc-da-nang-i2908889721.html")</f>
        <v>https://www.lazada.vn/products/bpdn-combo-3-goi-dua-say-gion-200g-thuc-pham-bach-phuc-da-nang-i2908889721.html</v>
      </c>
      <c r="C6566" s="10" t="s">
        <v>6566</v>
      </c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>
      <c r="A6567" s="8">
        <v>11421.0</v>
      </c>
      <c r="B6567" s="9" t="str">
        <f>HYPERLINK("https://www.lazada.vn/products/com-rang-hoang-my-bich180g-i1367132564.html", "https://www.lazada.vn/products/com-rang-hoang-my-bich180g-i1367132564.html")</f>
        <v>https://www.lazada.vn/products/com-rang-hoang-my-bich180g-i1367132564.html</v>
      </c>
      <c r="C6567" s="10" t="s">
        <v>6567</v>
      </c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>
      <c r="A6568" s="8">
        <v>11422.0</v>
      </c>
      <c r="B6568" s="9" t="str">
        <f>HYPERLINK("https://www.lazada.vn/products/mi-somen-unimat-riken-i3038877821.html", "https://www.lazada.vn/products/mi-somen-unimat-riken-i3038877821.html")</f>
        <v>https://www.lazada.vn/products/mi-somen-unimat-riken-i3038877821.html</v>
      </c>
      <c r="C6568" s="10" t="s">
        <v>6568</v>
      </c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>
      <c r="A6569" s="8">
        <v>11423.0</v>
      </c>
      <c r="B6569" s="9" t="str">
        <f>HYPERLINK("https://www.lazada.vn/products/thung-24-chai-nuoc-khoang-kiem-thien-nhien-vikoda-350ml-nuoc-uong-giau-va-bo-sung-vi-khoang-tu-nhien-tu-nguon-danh-thanh-i2820890172.html", "https://www.lazada.vn/products/thung-24-chai-nuoc-khoang-kiem-thien-nhien-vikoda-350ml-nuoc-uong-giau-va-bo-sung-vi-khoang-tu-nhien-tu-nguon-danh-thanh-i2820890172.html")</f>
        <v>https://www.lazada.vn/products/thung-24-chai-nuoc-khoang-kiem-thien-nhien-vikoda-350ml-nuoc-uong-giau-va-bo-sung-vi-khoang-tu-nhien-tu-nguon-danh-thanh-i2820890172.html</v>
      </c>
      <c r="C6569" s="10" t="s">
        <v>6569</v>
      </c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>
      <c r="A6570" s="8">
        <v>11424.0</v>
      </c>
      <c r="B6570" s="9" t="str">
        <f>HYPERLINK("https://www.lazada.vn/products/bot-milo-nguyen-chat-nestle-1kg-i1574234940.html", "https://www.lazada.vn/products/bot-milo-nguyen-chat-nestle-1kg-i1574234940.html")</f>
        <v>https://www.lazada.vn/products/bot-milo-nguyen-chat-nestle-1kg-i1574234940.html</v>
      </c>
      <c r="C6570" s="10" t="s">
        <v>6570</v>
      </c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>
      <c r="A6571" s="8">
        <v>11425.0</v>
      </c>
      <c r="B6571" s="9" t="str">
        <f>HYPERLINK("https://www.lazada.vn/products/loc-6-chai-nuoc-ngot-pepsi-khong-calo-390mlchai-i2332318743.html", "https://www.lazada.vn/products/loc-6-chai-nuoc-ngot-pepsi-khong-calo-390mlchai-i2332318743.html")</f>
        <v>https://www.lazada.vn/products/loc-6-chai-nuoc-ngot-pepsi-khong-calo-390mlchai-i2332318743.html</v>
      </c>
      <c r="C6571" s="10" t="s">
        <v>6571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>
      <c r="A6572" s="8">
        <v>11426.0</v>
      </c>
      <c r="B6572" s="9" t="str">
        <f>HYPERLINK("https://www.lazada.vn/products/gion-ngon-100g-o-mai-sau-xao-gung-sau-bao-tu-giam-chua-cay-ngot-dac-san-ha-noi-i1853534704.html", "https://www.lazada.vn/products/gion-ngon-100g-o-mai-sau-xao-gung-sau-bao-tu-giam-chua-cay-ngot-dac-san-ha-noi-i1853534704.html")</f>
        <v>https://www.lazada.vn/products/gion-ngon-100g-o-mai-sau-xao-gung-sau-bao-tu-giam-chua-cay-ngot-dac-san-ha-noi-i1853534704.html</v>
      </c>
      <c r="C6572" s="10" t="s">
        <v>6572</v>
      </c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>
      <c r="A6573" s="8">
        <v>11427.0</v>
      </c>
      <c r="B6573" s="9" t="str">
        <f>HYPERLINK("https://www.lazada.vn/products/goi-nho-200g-sao-nui-rau-cu-hinh-sao-safoco-star-saphes-vegetable-macaroni-i3036279387.html", "https://www.lazada.vn/products/goi-nho-200g-sao-nui-rau-cu-hinh-sao-safoco-star-saphes-vegetable-macaroni-i3036279387.html")</f>
        <v>https://www.lazada.vn/products/goi-nho-200g-sao-nui-rau-cu-hinh-sao-safoco-star-saphes-vegetable-macaroni-i3036279387.html</v>
      </c>
      <c r="C6573" s="10" t="s">
        <v>6573</v>
      </c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>
      <c r="A6574" s="8">
        <v>11428.0</v>
      </c>
      <c r="B6574" s="9" t="str">
        <f>HYPERLINK("https://www.lazada.vn/products/sot-vina-chai-623g-caramel-i2799308329.html", "https://www.lazada.vn/products/sot-vina-chai-623g-caramel-i2799308329.html")</f>
        <v>https://www.lazada.vn/products/sot-vina-chai-623g-caramel-i2799308329.html</v>
      </c>
      <c r="C6574" s="10" t="s">
        <v>6574</v>
      </c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>
      <c r="A6575" s="8">
        <v>11429.0</v>
      </c>
      <c r="B6575" s="9" t="str">
        <f>HYPERLINK("https://www.lazada.vn/products/nuoc-ngot-pepsi-khong-calo-390mlchai-i2332190991.html", "https://www.lazada.vn/products/nuoc-ngot-pepsi-khong-calo-390mlchai-i2332190991.html")</f>
        <v>https://www.lazada.vn/products/nuoc-ngot-pepsi-khong-calo-390mlchai-i2332190991.html</v>
      </c>
      <c r="C6575" s="10" t="s">
        <v>6575</v>
      </c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>
      <c r="A6576" s="8">
        <v>11430.0</v>
      </c>
      <c r="B6576" s="9" t="str">
        <f>HYPERLINK("https://www.lazada.vn/products/300g-r-xoai-say-deo-nha-trang-sieu-ngon-an-vat-bach-hoa-online-uy-tin-i2908284060.html", "https://www.lazada.vn/products/300g-r-xoai-say-deo-nha-trang-sieu-ngon-an-vat-bach-hoa-online-uy-tin-i2908284060.html")</f>
        <v>https://www.lazada.vn/products/300g-r-xoai-say-deo-nha-trang-sieu-ngon-an-vat-bach-hoa-online-uy-tin-i2908284060.html</v>
      </c>
      <c r="C6576" s="10" t="s">
        <v>6576</v>
      </c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>
      <c r="A6577" s="8">
        <v>11431.0</v>
      </c>
      <c r="B6577" s="9" t="str">
        <f>HYPERLINK("https://www.lazada.vn/products/safoco-goi-ong-500g-nui-rau-cu-ong-lon-nhieu-mau-vegetable-macaroni-i3036181888.html", "https://www.lazada.vn/products/safoco-goi-ong-500g-nui-rau-cu-ong-lon-nhieu-mau-vegetable-macaroni-i3036181888.html")</f>
        <v>https://www.lazada.vn/products/safoco-goi-ong-500g-nui-rau-cu-ong-lon-nhieu-mau-vegetable-macaroni-i3036181888.html</v>
      </c>
      <c r="C6577" s="10" t="s">
        <v>6577</v>
      </c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>
      <c r="A6578" s="8">
        <v>11432.0</v>
      </c>
      <c r="B6578" s="9" t="str">
        <f>HYPERLINK("https://www.lazada.vn/products/mua-4-tang-1-nuoc-kvass-vyatich-nuoc-uong-lua-mach-len-men-nhap-khau-chinh-hang-nga-i2749329166.html", "https://www.lazada.vn/products/mua-4-tang-1-nuoc-kvass-vyatich-nuoc-uong-lua-mach-len-men-nhap-khau-chinh-hang-nga-i2749329166.html")</f>
        <v>https://www.lazada.vn/products/mua-4-tang-1-nuoc-kvass-vyatich-nuoc-uong-lua-mach-len-men-nhap-khau-chinh-hang-nga-i2749329166.html</v>
      </c>
      <c r="C6578" s="10" t="s">
        <v>6578</v>
      </c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>
      <c r="A6579" s="8">
        <v>11433.0</v>
      </c>
      <c r="B6579" s="9" t="str">
        <f>HYPERLINK("https://www.lazada.vn/products/thung-24-lon-nuoc-ngot-pepsi-cola-320ml-i2330609341.html", "https://www.lazada.vn/products/thung-24-lon-nuoc-ngot-pepsi-cola-320ml-i2330609341.html")</f>
        <v>https://www.lazada.vn/products/thung-24-lon-nuoc-ngot-pepsi-cola-320ml-i2330609341.html</v>
      </c>
      <c r="C6579" s="10" t="s">
        <v>6579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>
      <c r="A6580" s="8">
        <v>11434.0</v>
      </c>
      <c r="B6580" s="9" t="str">
        <f>HYPERLINK("https://www.lazada.vn/products/meizan-goi-400g-nui-cao-cap-ong-dai-sedani-rigati-premium-macaroni-halal-i3031985239.html", "https://www.lazada.vn/products/meizan-goi-400g-nui-cao-cap-ong-dai-sedani-rigati-premium-macaroni-halal-i3031985239.html")</f>
        <v>https://www.lazada.vn/products/meizan-goi-400g-nui-cao-cap-ong-dai-sedani-rigati-premium-macaroni-halal-i3031985239.html</v>
      </c>
      <c r="C6580" s="10" t="s">
        <v>6580</v>
      </c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>
      <c r="A6581" s="8">
        <v>11435.0</v>
      </c>
      <c r="B6581" s="9" t="str">
        <f>HYPERLINK("https://www.lazada.vn/products/tang-kem-ca-nhua-thach-dua-hat-to-minh-chau-bich-450g-i2737075884.html", "https://www.lazada.vn/products/tang-kem-ca-nhua-thach-dua-hat-to-minh-chau-bich-450g-i2737075884.html")</f>
        <v>https://www.lazada.vn/products/tang-kem-ca-nhua-thach-dua-hat-to-minh-chau-bich-450g-i2737075884.html</v>
      </c>
      <c r="C6581" s="10" t="s">
        <v>6581</v>
      </c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>
      <c r="A6582" s="8">
        <v>11436.0</v>
      </c>
      <c r="B6582" s="9" t="str">
        <f>HYPERLINK("https://www.lazada.vn/products/thung-24-lon-nuoc-ngot-pepsi-khong-calo-vi-chanh-320ml-i2330590466.html", "https://www.lazada.vn/products/thung-24-lon-nuoc-ngot-pepsi-khong-calo-vi-chanh-320ml-i2330590466.html")</f>
        <v>https://www.lazada.vn/products/thung-24-lon-nuoc-ngot-pepsi-khong-calo-vi-chanh-320ml-i2330590466.html</v>
      </c>
      <c r="C6582" s="10" t="s">
        <v>6582</v>
      </c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>
      <c r="A6583" s="8">
        <v>11437.0</v>
      </c>
      <c r="B6583" s="9" t="str">
        <f>HYPERLINK("https://www.lazada.vn/products/de-cecco-hop-500g-so-1-mi-la-luon-song-lasagna-riccia-i3031952549.html", "https://www.lazada.vn/products/de-cecco-hop-500g-so-1-mi-la-luon-song-lasagna-riccia-i3031952549.html")</f>
        <v>https://www.lazada.vn/products/de-cecco-hop-500g-so-1-mi-la-luon-song-lasagna-riccia-i3031952549.html</v>
      </c>
      <c r="C6583" s="10" t="s">
        <v>6583</v>
      </c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>
      <c r="A6584" s="8">
        <v>11438.0</v>
      </c>
      <c r="B6584" s="9" t="str">
        <f>HYPERLINK("https://www.lazada.vn/products/nhua-dao-goi-100g-i2666144386.html", "https://www.lazada.vn/products/nhua-dao-goi-100g-i2666144386.html")</f>
        <v>https://www.lazada.vn/products/nhua-dao-goi-100g-i2666144386.html</v>
      </c>
      <c r="C6584" s="10" t="s">
        <v>6584</v>
      </c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>
      <c r="A6585" s="8">
        <v>11439.0</v>
      </c>
      <c r="B6585" s="9" t="str">
        <f>HYPERLINK("https://www.lazada.vn/products/nuoc-giai-khat-co-ga-coca-cola-noi-dia-nhat-x-160ml-i2311587887.html", "https://www.lazada.vn/products/nuoc-giai-khat-co-ga-coca-cola-noi-dia-nhat-x-160ml-i2311587887.html")</f>
        <v>https://www.lazada.vn/products/nuoc-giai-khat-co-ga-coca-cola-noi-dia-nhat-x-160ml-i2311587887.html</v>
      </c>
      <c r="C6585" s="10" t="s">
        <v>6585</v>
      </c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>
      <c r="A6586" s="8">
        <v>11440.0</v>
      </c>
      <c r="B6586" s="9" t="str">
        <f>HYPERLINK("https://www.lazada.vn/products/tren-18-tuoi-chinh-hang-ruou-vodka-hangar-1-citron-40-750ml-i2316518418.html", "https://www.lazada.vn/products/tren-18-tuoi-chinh-hang-ruou-vodka-hangar-1-citron-40-750ml-i2316518418.html")</f>
        <v>https://www.lazada.vn/products/tren-18-tuoi-chinh-hang-ruou-vodka-hangar-1-citron-40-750ml-i2316518418.html</v>
      </c>
      <c r="C6586" s="10" t="s">
        <v>6586</v>
      </c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>
      <c r="A6587" s="8">
        <v>11441.0</v>
      </c>
      <c r="B6587" s="9" t="str">
        <f>HYPERLINK("https://www.lazada.vn/products/thach-3d-dang-hat-350g-i2659810893.html", "https://www.lazada.vn/products/thach-3d-dang-hat-350g-i2659810893.html")</f>
        <v>https://www.lazada.vn/products/thach-3d-dang-hat-350g-i2659810893.html</v>
      </c>
      <c r="C6587" s="10" t="s">
        <v>6587</v>
      </c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>
      <c r="A6588" s="8">
        <v>11442.0</v>
      </c>
      <c r="B6588" s="9" t="str">
        <f>HYPERLINK("https://www.lazada.vn/products/com-gao-lut-tron-me-quy-nguyen-hop-120g-chua-long-huong-i1850854892.html", "https://www.lazada.vn/products/com-gao-lut-tron-me-quy-nguyen-hop-120g-chua-long-huong-i1850854892.html")</f>
        <v>https://www.lazada.vn/products/com-gao-lut-tron-me-quy-nguyen-hop-120g-chua-long-huong-i1850854892.html</v>
      </c>
      <c r="C6588" s="10" t="s">
        <v>6588</v>
      </c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>
      <c r="A6589" s="8">
        <v>11443.0</v>
      </c>
      <c r="B6589" s="9" t="str">
        <f>HYPERLINK("https://www.lazada.vn/products/combo-3-hop-bot-kem-coffee-mate-nestle-450gr-date-moi-bot-kem-beo-pha-tra-sua-va-ca-phe-i1559664243.html", "https://www.lazada.vn/products/combo-3-hop-bot-kem-coffee-mate-nestle-450gr-date-moi-bot-kem-beo-pha-tra-sua-va-ca-phe-i1559664243.html")</f>
        <v>https://www.lazada.vn/products/combo-3-hop-bot-kem-coffee-mate-nestle-450gr-date-moi-bot-kem-beo-pha-tra-sua-va-ca-phe-i1559664243.html</v>
      </c>
      <c r="C6589" s="10" t="s">
        <v>6589</v>
      </c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>
      <c r="A6590" s="8">
        <v>11444.0</v>
      </c>
      <c r="B6590" s="9" t="str">
        <f>HYPERLINK("https://www.lazada.vn/products/khuyen-mai-an-vat-300g-r-xoai-say-deo-nha-trang-i2908272068.html", "https://www.lazada.vn/products/khuyen-mai-an-vat-300g-r-xoai-say-deo-nha-trang-i2908272068.html")</f>
        <v>https://www.lazada.vn/products/khuyen-mai-an-vat-300g-r-xoai-say-deo-nha-trang-i2908272068.html</v>
      </c>
      <c r="C6590" s="10" t="s">
        <v>6590</v>
      </c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>
      <c r="A6591" s="8">
        <v>11445.0</v>
      </c>
      <c r="B6591" s="9" t="str">
        <f>HYPERLINK("https://www.lazada.vn/products/bong-milo-thai-lan-15g-i1365664515.html", "https://www.lazada.vn/products/bong-milo-thai-lan-15g-i1365664515.html")</f>
        <v>https://www.lazada.vn/products/bong-milo-thai-lan-15g-i1365664515.html</v>
      </c>
      <c r="C6591" s="10" t="s">
        <v>6591</v>
      </c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>
      <c r="A6592" s="8">
        <v>11446.0</v>
      </c>
      <c r="B6592" s="9" t="str">
        <f>HYPERLINK("https://www.lazada.vn/products/safoco-goi-ong-500g-nui-rau-cu-ong-lon-nhieu-mau-vegetable-macaroni-i3031913118.html", "https://www.lazada.vn/products/safoco-goi-ong-500g-nui-rau-cu-ong-lon-nhieu-mau-vegetable-macaroni-i3031913118.html")</f>
        <v>https://www.lazada.vn/products/safoco-goi-ong-500g-nui-rau-cu-ong-lon-nhieu-mau-vegetable-macaroni-i3031913118.html</v>
      </c>
      <c r="C6592" s="10" t="s">
        <v>6592</v>
      </c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>
      <c r="A6593" s="8">
        <v>11447.0</v>
      </c>
      <c r="B6593" s="9" t="str">
        <f>HYPERLINK("https://www.lazada.vn/products/1kg-banh-sua-chua-ong-gia-horsh-dai-loan-muasamnhanh-i2621753353.html", "https://www.lazada.vn/products/1kg-banh-sua-chua-ong-gia-horsh-dai-loan-muasamnhanh-i2621753353.html")</f>
        <v>https://www.lazada.vn/products/1kg-banh-sua-chua-ong-gia-horsh-dai-loan-muasamnhanh-i2621753353.html</v>
      </c>
      <c r="C6593" s="10" t="s">
        <v>6593</v>
      </c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>
      <c r="A6594" s="8">
        <v>11448.0</v>
      </c>
      <c r="B6594" s="9" t="str">
        <f>HYPERLINK("https://www.lazada.vn/products/ruou-vang-do-genesis-cabernet-sauvignon-alc-14-750ml-i2556233481.html", "https://www.lazada.vn/products/ruou-vang-do-genesis-cabernet-sauvignon-alc-14-750ml-i2556233481.html")</f>
        <v>https://www.lazada.vn/products/ruou-vang-do-genesis-cabernet-sauvignon-alc-14-750ml-i2556233481.html</v>
      </c>
      <c r="C6594" s="10" t="s">
        <v>6594</v>
      </c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>
      <c r="A6595" s="8">
        <v>11449.0</v>
      </c>
      <c r="B6595" s="9" t="str">
        <f>HYPERLINK("https://www.lazada.vn/products/cau-song-kwai-pierre-boulle-sach-tao-dan-i3023837395.html", "https://www.lazada.vn/products/cau-song-kwai-pierre-boulle-sach-tao-dan-i3023837395.html")</f>
        <v>https://www.lazada.vn/products/cau-song-kwai-pierre-boulle-sach-tao-dan-i3023837395.html</v>
      </c>
      <c r="C6595" s="10" t="s">
        <v>6595</v>
      </c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>
      <c r="A6596" s="8">
        <v>11450.0</v>
      </c>
      <c r="B6596" s="9" t="str">
        <f>HYPERLINK("https://www.lazada.vn/products/goi-nho-200g-sao-nui-rau-cu-hinh-sao-safoco-star-saphes-vegetable-macaroni-i3031734968.html", "https://www.lazada.vn/products/goi-nho-200g-sao-nui-rau-cu-hinh-sao-safoco-star-saphes-vegetable-macaroni-i3031734968.html")</f>
        <v>https://www.lazada.vn/products/goi-nho-200g-sao-nui-rau-cu-hinh-sao-safoco-star-saphes-vegetable-macaroni-i3031734968.html</v>
      </c>
      <c r="C6596" s="10" t="s">
        <v>6596</v>
      </c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>
      <c r="A6597" s="8">
        <v>11451.0</v>
      </c>
      <c r="B6597" s="9" t="str">
        <f>HYPERLINK("https://www.lazada.vn/products/combo-5-goi-ho-kaka-thuc-pham-tu-dau-nanh-i1365564845.html", "https://www.lazada.vn/products/combo-5-goi-ho-kaka-thuc-pham-tu-dau-nanh-i1365564845.html")</f>
        <v>https://www.lazada.vn/products/combo-5-goi-ho-kaka-thuc-pham-tu-dau-nanh-i1365564845.html</v>
      </c>
      <c r="C6597" s="10" t="s">
        <v>6597</v>
      </c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>
      <c r="A6598" s="8">
        <v>11452.0</v>
      </c>
      <c r="B6598" s="9" t="str">
        <f>HYPERLINK("https://www.lazada.vn/products/xoai-say-deo-muoi-ot-250gr-hang-dac-biet-deo-thom-sieu-ngon-do-an-vat-i2908255263.html", "https://www.lazada.vn/products/xoai-say-deo-muoi-ot-250gr-hang-dac-biet-deo-thom-sieu-ngon-do-an-vat-i2908255263.html")</f>
        <v>https://www.lazada.vn/products/xoai-say-deo-muoi-ot-250gr-hang-dac-biet-deo-thom-sieu-ngon-do-an-vat-i2908255263.html</v>
      </c>
      <c r="C6598" s="10" t="s">
        <v>6598</v>
      </c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>
      <c r="A6599" s="8">
        <v>11453.0</v>
      </c>
      <c r="B6599" s="9" t="str">
        <f>HYPERLINK("https://www.lazada.vn/products/mang-i1846816341.html", "https://www.lazada.vn/products/mang-i1846816341.html")</f>
        <v>https://www.lazada.vn/products/mang-i1846816341.html</v>
      </c>
      <c r="C6599" s="10" t="s">
        <v>6599</v>
      </c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>
      <c r="A6600" s="8">
        <v>11454.0</v>
      </c>
      <c r="B6600" s="9" t="str">
        <f>HYPERLINK("https://www.lazada.vn/products/loc-10-ly-x-70g-thach-dua-thanh-binh-i2659706035.html", "https://www.lazada.vn/products/loc-10-ly-x-70g-thach-dua-thanh-binh-i2659706035.html")</f>
        <v>https://www.lazada.vn/products/loc-10-ly-x-70g-thach-dua-thanh-binh-i2659706035.html</v>
      </c>
      <c r="C6600" s="10" t="s">
        <v>6600</v>
      </c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>
      <c r="A6601" s="8">
        <v>11455.0</v>
      </c>
      <c r="B6601" s="9" t="str">
        <f>HYPERLINK("https://www.lazada.vn/products/nuoc-co-gas-soda-han-quoc-vi-sua-lotte-milkis-500ml-i2297179190.html", "https://www.lazada.vn/products/nuoc-co-gas-soda-han-quoc-vi-sua-lotte-milkis-500ml-i2297179190.html")</f>
        <v>https://www.lazada.vn/products/nuoc-co-gas-soda-han-quoc-vi-sua-lotte-milkis-500ml-i2297179190.html</v>
      </c>
      <c r="C6601" s="10" t="s">
        <v>6601</v>
      </c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>
      <c r="A6602" s="8">
        <v>11456.0</v>
      </c>
      <c r="B6602" s="9" t="str">
        <f>HYPERLINK("https://www.lazada.vn/products/1kg-snack-hinh-hat-sen-gion-ngon-i1363343522.html", "https://www.lazada.vn/products/1kg-snack-hinh-hat-sen-gion-ngon-i1363343522.html")</f>
        <v>https://www.lazada.vn/products/1kg-snack-hinh-hat-sen-gion-ngon-i1363343522.html</v>
      </c>
      <c r="C6602" s="10" t="s">
        <v>6602</v>
      </c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>
      <c r="A6603" s="8">
        <v>11457.0</v>
      </c>
      <c r="B6603" s="9" t="str">
        <f>HYPERLINK("https://www.lazada.vn/products/thach-dua-thanh-binh-bich-700g-20-goi-x-35g-i2658556711.html", "https://www.lazada.vn/products/thach-dua-thanh-binh-bich-700g-20-goi-x-35g-i2658556711.html")</f>
        <v>https://www.lazada.vn/products/thach-dua-thanh-binh-bich-700g-20-goi-x-35g-i2658556711.html</v>
      </c>
      <c r="C6603" s="10" t="s">
        <v>6603</v>
      </c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>
      <c r="A6604" s="8">
        <v>11458.0</v>
      </c>
      <c r="B6604" s="9" t="str">
        <f>HYPERLINK("https://www.lazada.vn/products/100gr-xoai-say-deo-sieu-ngon-do-an-vat-i2908210463.html", "https://www.lazada.vn/products/100gr-xoai-say-deo-sieu-ngon-do-an-vat-i2908210463.html")</f>
        <v>https://www.lazada.vn/products/100gr-xoai-say-deo-sieu-ngon-do-an-vat-i2908210463.html</v>
      </c>
      <c r="C6604" s="10" t="s">
        <v>6604</v>
      </c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>
      <c r="A6605" s="8">
        <v>11459.0</v>
      </c>
      <c r="B6605" s="9" t="str">
        <f>HYPERLINK("https://www.lazada.vn/products/bap-hat-i1846746508.html", "https://www.lazada.vn/products/bap-hat-i1846746508.html")</f>
        <v>https://www.lazada.vn/products/bap-hat-i1846746508.html</v>
      </c>
      <c r="C6605" s="10" t="s">
        <v>6605</v>
      </c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>
      <c r="A6606" s="8">
        <v>11460.0</v>
      </c>
      <c r="B6606" s="9" t="str">
        <f>HYPERLINK("https://www.lazada.vn/products/banh-gau-nhan-kem-sieu-ngon-500g-i2371976629.html", "https://www.lazada.vn/products/banh-gau-nhan-kem-sieu-ngon-500g-i2371976629.html")</f>
        <v>https://www.lazada.vn/products/banh-gau-nhan-kem-sieu-ngon-500g-i2371976629.html</v>
      </c>
      <c r="C6606" s="10" t="s">
        <v>6606</v>
      </c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>
      <c r="A6607" s="8">
        <v>11461.0</v>
      </c>
      <c r="B6607" s="9" t="str">
        <f>HYPERLINK("https://www.lazada.vn/products/sake-coi-shimabijin-zodiac-komodaru-18l-phien-ban-2025-hang-noi-dia-nhat-100-i2063367478.html", "https://www.lazada.vn/products/sake-coi-shimabijin-zodiac-komodaru-18l-phien-ban-2025-hang-noi-dia-nhat-100-i2063367478.html")</f>
        <v>https://www.lazada.vn/products/sake-coi-shimabijin-zodiac-komodaru-18l-phien-ban-2025-hang-noi-dia-nhat-100-i2063367478.html</v>
      </c>
      <c r="C6607" s="10" t="s">
        <v>6607</v>
      </c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>
      <c r="A6608" s="8">
        <v>11462.0</v>
      </c>
      <c r="B6608" s="9" t="str">
        <f>HYPERLINK("https://www.lazada.vn/products/thung-ca-phe-kopiko-machiato-24-goi-coffee-i2677444016.html", "https://www.lazada.vn/products/thung-ca-phe-kopiko-machiato-24-goi-coffee-i2677444016.html")</f>
        <v>https://www.lazada.vn/products/thung-ca-phe-kopiko-machiato-24-goi-coffee-i2677444016.html</v>
      </c>
      <c r="C6608" s="10" t="s">
        <v>6608</v>
      </c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>
      <c r="A6609" s="8">
        <v>11463.0</v>
      </c>
      <c r="B6609" s="9" t="str">
        <f>HYPERLINK("https://www.lazada.vn/products/tran-chau-long-phu-duong-den-hat-bich-1kg-i2488693357.html", "https://www.lazada.vn/products/tran-chau-long-phu-duong-den-hat-bich-1kg-i2488693357.html")</f>
        <v>https://www.lazada.vn/products/tran-chau-long-phu-duong-den-hat-bich-1kg-i2488693357.html</v>
      </c>
      <c r="C6609" s="10" t="s">
        <v>6609</v>
      </c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>
      <c r="A6610" s="8">
        <v>11464.0</v>
      </c>
      <c r="B6610" s="9" t="str">
        <f>HYPERLINK("https://www.lazada.vn/products/tinh-bot-cu-sam-to-nu-lo-200-va-500gr-i2811436533.html", "https://www.lazada.vn/products/tinh-bot-cu-sam-to-nu-lo-200-va-500gr-i2811436533.html")</f>
        <v>https://www.lazada.vn/products/tinh-bot-cu-sam-to-nu-lo-200-va-500gr-i2811436533.html</v>
      </c>
      <c r="C6610" s="10" t="s">
        <v>6610</v>
      </c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>
      <c r="A6611" s="8">
        <v>11465.0</v>
      </c>
      <c r="B6611" s="9" t="str">
        <f>HYPERLINK("https://www.lazada.vn/products/socola-den-dang-hersheys-kisses-special-dark-chooclate-283g-usa-i2902619258.html", "https://www.lazada.vn/products/socola-den-dang-hersheys-kisses-special-dark-chooclate-283g-usa-i2902619258.html")</f>
        <v>https://www.lazada.vn/products/socola-den-dang-hersheys-kisses-special-dark-chooclate-283g-usa-i2902619258.html</v>
      </c>
      <c r="C6611" s="10" t="s">
        <v>6611</v>
      </c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>
      <c r="A6612" s="8">
        <v>11466.0</v>
      </c>
      <c r="B6612" s="9" t="str">
        <f>HYPERLINK("https://www.lazada.vn/products/thung-24-chai-nuoc-ngot-pepsi-khong-calo-390mlchai-i2296781711.html", "https://www.lazada.vn/products/thung-24-chai-nuoc-ngot-pepsi-khong-calo-390mlchai-i2296781711.html")</f>
        <v>https://www.lazada.vn/products/thung-24-chai-nuoc-ngot-pepsi-khong-calo-390mlchai-i2296781711.html</v>
      </c>
      <c r="C6612" s="10" t="s">
        <v>6612</v>
      </c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>
      <c r="A6613" s="8">
        <v>11467.0</v>
      </c>
      <c r="B6613" s="9" t="str">
        <f>HYPERLINK("https://www.lazada.vn/products/banh-sua-chua-ong-gia-horsh-1kg-do-an-vat-ngon-muasamnhanh-i2621683757.html", "https://www.lazada.vn/products/banh-sua-chua-ong-gia-horsh-1kg-do-an-vat-ngon-muasamnhanh-i2621683757.html")</f>
        <v>https://www.lazada.vn/products/banh-sua-chua-ong-gia-horsh-1kg-do-an-vat-ngon-muasamnhanh-i2621683757.html</v>
      </c>
      <c r="C6613" s="10" t="s">
        <v>6613</v>
      </c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>
      <c r="A6614" s="8">
        <v>11468.0</v>
      </c>
      <c r="B6614" s="9" t="str">
        <f>HYPERLINK("https://www.lazada.vn/products/sieu-sale-sieu-hot-10-goi-keo-chua-nhat-the-gioikeo-sieu-chua-super-sour-candy-mix-du-vi-cocasodatrai-cay-sieu-hot-hit-shop-haimy-i2704752512.html", "https://www.lazada.vn/products/sieu-sale-sieu-hot-10-goi-keo-chua-nhat-the-gioikeo-sieu-chua-super-sour-candy-mix-du-vi-cocasodatrai-cay-sieu-hot-hit-shop-haimy-i2704752512.html")</f>
        <v>https://www.lazada.vn/products/sieu-sale-sieu-hot-10-goi-keo-chua-nhat-the-gioikeo-sieu-chua-super-sour-candy-mix-du-vi-cocasodatrai-cay-sieu-hot-hit-shop-haimy-i2704752512.html</v>
      </c>
      <c r="C6614" s="10" t="s">
        <v>6614</v>
      </c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>
      <c r="A6615" s="8">
        <v>11469.0</v>
      </c>
      <c r="B6615" s="9" t="str">
        <f>HYPERLINK("https://www.lazada.vn/products/mi-ly-hao-hao-tom-chua-ca-67g-i3031692264.html", "https://www.lazada.vn/products/mi-ly-hao-hao-tom-chua-ca-67g-i3031692264.html")</f>
        <v>https://www.lazada.vn/products/mi-ly-hao-hao-tom-chua-ca-67g-i3031692264.html</v>
      </c>
      <c r="C6615" s="10" t="s">
        <v>6615</v>
      </c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>
      <c r="A6616" s="8">
        <v>11470.0</v>
      </c>
      <c r="B6616" s="9" t="str">
        <f>HYPERLINK("https://www.lazada.vn/products/tren-18-tuoi-chinh-hang-ruou-vodka-hangar-1-mandarin-blossom-orange-40-750ml-i2316437748.html", "https://www.lazada.vn/products/tren-18-tuoi-chinh-hang-ruou-vodka-hangar-1-mandarin-blossom-orange-40-750ml-i2316437748.html")</f>
        <v>https://www.lazada.vn/products/tren-18-tuoi-chinh-hang-ruou-vodka-hangar-1-mandarin-blossom-orange-40-750ml-i2316437748.html</v>
      </c>
      <c r="C6616" s="10" t="s">
        <v>6616</v>
      </c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>
      <c r="A6617" s="8">
        <v>11471.0</v>
      </c>
      <c r="B6617" s="9" t="str">
        <f>HYPERLINK("https://www.lazada.vn/products/bot-kem-coffee-mate-nestle-450g-date-moi-bot-kem-beo-pha-tra-sua-va-ca-phe-i1559613472.html", "https://www.lazada.vn/products/bot-kem-coffee-mate-nestle-450g-date-moi-bot-kem-beo-pha-tra-sua-va-ca-phe-i1559613472.html")</f>
        <v>https://www.lazada.vn/products/bot-kem-coffee-mate-nestle-450g-date-moi-bot-kem-beo-pha-tra-sua-va-ca-phe-i1559613472.html</v>
      </c>
      <c r="C6617" s="10" t="s">
        <v>6617</v>
      </c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>
      <c r="A6618" s="8">
        <v>11472.0</v>
      </c>
      <c r="B6618" s="9" t="str">
        <f>HYPERLINK("https://www.lazada.vn/products/bim-bim-tam-cay-den-i1363301630.html", "https://www.lazada.vn/products/bim-bim-tam-cay-den-i1363301630.html")</f>
        <v>https://www.lazada.vn/products/bim-bim-tam-cay-den-i1363301630.html</v>
      </c>
      <c r="C6618" s="10" t="s">
        <v>6618</v>
      </c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>
      <c r="A6619" s="8">
        <v>11473.0</v>
      </c>
      <c r="B6619" s="9" t="str">
        <f>HYPERLINK("https://www.lazada.vn/products/yen-sao-winsnest-kids-grow-to-yen-chung-san-nguyen-chat-danh-cho-tre-6-lo-x-70-ml-loc-i2658466144.html", "https://www.lazada.vn/products/yen-sao-winsnest-kids-grow-to-yen-chung-san-nguyen-chat-danh-cho-tre-6-lo-x-70-ml-loc-i2658466144.html")</f>
        <v>https://www.lazada.vn/products/yen-sao-winsnest-kids-grow-to-yen-chung-san-nguyen-chat-danh-cho-tre-6-lo-x-70-ml-loc-i2658466144.html</v>
      </c>
      <c r="C6619" s="10" t="s">
        <v>6619</v>
      </c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>
      <c r="A6620" s="8">
        <v>11474.0</v>
      </c>
      <c r="B6620" s="9" t="str">
        <f>HYPERLINK("https://www.lazada.vn/products/mi-modern-lau-tha-tom-ly-65g-i3030345111.html", "https://www.lazada.vn/products/mi-modern-lau-tha-tom-ly-65g-i3030345111.html")</f>
        <v>https://www.lazada.vn/products/mi-modern-lau-tha-tom-ly-65g-i3030345111.html</v>
      </c>
      <c r="C6620" s="10" t="s">
        <v>6620</v>
      </c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>
      <c r="A6621" s="8">
        <v>11475.0</v>
      </c>
      <c r="B6621" s="9" t="str">
        <f>HYPERLINK("https://www.lazada.vn/products/1kg-snack-gion-cay-hap-dan-i1363297570.html", "https://www.lazada.vn/products/1kg-snack-gion-cay-hap-dan-i1363297570.html")</f>
        <v>https://www.lazada.vn/products/1kg-snack-gion-cay-hap-dan-i1363297570.html</v>
      </c>
      <c r="C6621" s="10" t="s">
        <v>6621</v>
      </c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>
      <c r="A6622" s="8">
        <v>11476.0</v>
      </c>
      <c r="B6622" s="9" t="str">
        <f>HYPERLINK("https://www.lazada.vn/products/mi-jy-modern-lau-thai-tom-chua-cay-thung-24-goi-loai-65g-i3028222151.html", "https://www.lazada.vn/products/mi-jy-modern-lau-thai-tom-chua-cay-thung-24-goi-loai-65g-i3028222151.html")</f>
        <v>https://www.lazada.vn/products/mi-jy-modern-lau-thai-tom-chua-cay-thung-24-goi-loai-65g-i3028222151.html</v>
      </c>
      <c r="C6622" s="10" t="s">
        <v>6622</v>
      </c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>
      <c r="A6623" s="8">
        <v>11477.0</v>
      </c>
      <c r="B6623" s="9" t="str">
        <f>HYPERLINK("https://www.lazada.vn/products/bim-bim-tam-cay-den-an-la-me-i1363297564.html", "https://www.lazada.vn/products/bim-bim-tam-cay-den-an-la-me-i1363297564.html")</f>
        <v>https://www.lazada.vn/products/bim-bim-tam-cay-den-an-la-me-i1363297564.html</v>
      </c>
      <c r="C6623" s="10" t="s">
        <v>6623</v>
      </c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>
      <c r="A6624" s="8">
        <v>11478.0</v>
      </c>
      <c r="B6624" s="9" t="str">
        <f>HYPERLINK("https://www.lazada.vn/products/combo-5-coc-mi-ly-modern-lau-thai-tom-65gr-i3023831178.html", "https://www.lazada.vn/products/combo-5-coc-mi-ly-modern-lau-thai-tom-65gr-i3023831178.html")</f>
        <v>https://www.lazada.vn/products/combo-5-coc-mi-ly-modern-lau-thai-tom-65gr-i3023831178.html</v>
      </c>
      <c r="C6624" s="10" t="s">
        <v>6624</v>
      </c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>
      <c r="A6625" s="8">
        <v>11479.0</v>
      </c>
      <c r="B6625" s="9" t="str">
        <f>HYPERLINK("https://www.lazada.vn/products/combo-2-bich-bot-kem-nestle-coffee-mate-4537g-nhap-khau-thai-lan-hsd-2026-bot-kem-beo-pha-tra-sua-va-ca-phe-i1559575560.html", "https://www.lazada.vn/products/combo-2-bich-bot-kem-nestle-coffee-mate-4537g-nhap-khau-thai-lan-hsd-2026-bot-kem-beo-pha-tra-sua-va-ca-phe-i1559575560.html")</f>
        <v>https://www.lazada.vn/products/combo-2-bich-bot-kem-nestle-coffee-mate-4537g-nhap-khau-thai-lan-hsd-2026-bot-kem-beo-pha-tra-sua-va-ca-phe-i1559575560.html</v>
      </c>
      <c r="C6625" s="10" t="s">
        <v>6625</v>
      </c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>
      <c r="A6626" s="8">
        <v>11480.0</v>
      </c>
      <c r="B6626" s="9" t="str">
        <f>HYPERLINK("https://www.lazada.vn/products/200g-bim-bim-cay-mix-dau-ha-lan-i838742078.html", "https://www.lazada.vn/products/200g-bim-bim-cay-mix-dau-ha-lan-i838742078.html")</f>
        <v>https://www.lazada.vn/products/200g-bim-bim-cay-mix-dau-ha-lan-i838742078.html</v>
      </c>
      <c r="C6626" s="10" t="s">
        <v>6626</v>
      </c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>
      <c r="A6627" s="8">
        <v>11481.0</v>
      </c>
      <c r="B6627" s="9" t="str">
        <f>HYPERLINK("https://www.lazada.vn/products/tren-18-tuoi-chinh-hang-ruou-vodka-hangar-1-straight-vodka-40-750ml-i2316311113.html", "https://www.lazada.vn/products/tren-18-tuoi-chinh-hang-ruou-vodka-hangar-1-straight-vodka-40-750ml-i2316311113.html")</f>
        <v>https://www.lazada.vn/products/tren-18-tuoi-chinh-hang-ruou-vodka-hangar-1-straight-vodka-40-750ml-i2316311113.html</v>
      </c>
      <c r="C6627" s="10" t="s">
        <v>6627</v>
      </c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>
      <c r="A6628" s="8">
        <v>11482.0</v>
      </c>
      <c r="B6628" s="9" t="str">
        <f>HYPERLINK("https://www.lazada.vn/products/thung-30-goi-my-mama-thai-lan-sieu-ngon-vi-thit-bam-tomyum-i3020474851.html", "https://www.lazada.vn/products/thung-30-goi-my-mama-thai-lan-sieu-ngon-vi-thit-bam-tomyum-i3020474851.html")</f>
        <v>https://www.lazada.vn/products/thung-30-goi-my-mama-thai-lan-sieu-ngon-vi-thit-bam-tomyum-i3020474851.html</v>
      </c>
      <c r="C6628" s="10" t="s">
        <v>6628</v>
      </c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>
      <c r="A6629" s="8">
        <v>11483.0</v>
      </c>
      <c r="B6629" s="9" t="str">
        <f>HYPERLINK("https://www.lazada.vn/products/bich-50-goi-bim-bim-tam-cay-den-i836886198.html", "https://www.lazada.vn/products/bich-50-goi-bim-bim-tam-cay-den-i836886198.html")</f>
        <v>https://www.lazada.vn/products/bich-50-goi-bim-bim-tam-cay-den-i836886198.html</v>
      </c>
      <c r="C6629" s="10" t="s">
        <v>6629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>
      <c r="A6630" s="8">
        <v>11484.0</v>
      </c>
      <c r="B6630" s="9" t="str">
        <f>HYPERLINK("https://www.lazada.vn/products/mi-tom-kokomi-i3019934053.html", "https://www.lazada.vn/products/mi-tom-kokomi-i3019934053.html")</f>
        <v>https://www.lazada.vn/products/mi-tom-kokomi-i3019934053.html</v>
      </c>
      <c r="C6630" s="10" t="s">
        <v>6630</v>
      </c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>
      <c r="A6631" s="8">
        <v>11485.0</v>
      </c>
      <c r="B6631" s="9" t="str">
        <f>HYPERLINK("https://www.lazada.vn/products/10-goi-bim-tam-cay-den-an-la-nghien-i836868154.html", "https://www.lazada.vn/products/10-goi-bim-tam-cay-den-an-la-nghien-i836868154.html")</f>
        <v>https://www.lazada.vn/products/10-goi-bim-tam-cay-den-an-la-nghien-i836868154.html</v>
      </c>
      <c r="C6631" s="10" t="s">
        <v>6631</v>
      </c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>
      <c r="A6632" s="8">
        <v>11486.0</v>
      </c>
      <c r="B6632" s="9" t="str">
        <f>HYPERLINK("https://www.lazada.vn/products/mi-an-lien-handy-hao-hao-ly-67g-tom-chua-cay-tomyum-thit-bam-i3019705071.html", "https://www.lazada.vn/products/mi-an-lien-handy-hao-hao-ly-67g-tom-chua-cay-tomyum-thit-bam-i3019705071.html")</f>
        <v>https://www.lazada.vn/products/mi-an-lien-handy-hao-hao-ly-67g-tom-chua-cay-tomyum-thit-bam-i3019705071.html</v>
      </c>
      <c r="C6632" s="10" t="s">
        <v>6632</v>
      </c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>
      <c r="A6633" s="8">
        <v>11487.0</v>
      </c>
      <c r="B6633" s="9" t="str">
        <f>HYPERLINK("https://www.lazada.vn/products/bim-bim-tam-cay-den-i836840691.html", "https://www.lazada.vn/products/bim-bim-tam-cay-den-i836840691.html")</f>
        <v>https://www.lazada.vn/products/bim-bim-tam-cay-den-i836840691.html</v>
      </c>
      <c r="C6633" s="10" t="s">
        <v>6633</v>
      </c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>
      <c r="A6634" s="8">
        <v>11488.0</v>
      </c>
      <c r="B6634" s="9" t="str">
        <f>HYPERLINK("https://www.lazada.vn/products/nui-ong-thien-long-bao-10kg-i3017482703.html", "https://www.lazada.vn/products/nui-ong-thien-long-bao-10kg-i3017482703.html")</f>
        <v>https://www.lazada.vn/products/nui-ong-thien-long-bao-10kg-i3017482703.html</v>
      </c>
      <c r="C6634" s="10" t="s">
        <v>6634</v>
      </c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>
      <c r="A6635" s="8">
        <v>11489.0</v>
      </c>
      <c r="B6635" s="9" t="str">
        <f>HYPERLINK("https://www.lazada.vn/products/bim-bim-tam-cay-den-i836824857.html", "https://www.lazada.vn/products/bim-bim-tam-cay-den-i836824857.html")</f>
        <v>https://www.lazada.vn/products/bim-bim-tam-cay-den-i836824857.html</v>
      </c>
      <c r="C6635" s="10" t="s">
        <v>6635</v>
      </c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>
      <c r="A6636" s="8">
        <v>11490.0</v>
      </c>
      <c r="B6636" s="9" t="str">
        <f>HYPERLINK("https://www.lazada.vn/products/pho-bo-vifon-goi-65g-1-thung-30-goi-i3016613057.html", "https://www.lazada.vn/products/pho-bo-vifon-goi-65g-1-thung-30-goi-i3016613057.html")</f>
        <v>https://www.lazada.vn/products/pho-bo-vifon-goi-65g-1-thung-30-goi-i3016613057.html</v>
      </c>
      <c r="C6636" s="10" t="s">
        <v>6636</v>
      </c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>
      <c r="A6637" s="8">
        <v>11491.0</v>
      </c>
      <c r="B6637" s="9" t="str">
        <f>HYPERLINK("https://www.lazada.vn/products/200g-snack-gion-cay-i779212927.html", "https://www.lazada.vn/products/200g-snack-gion-cay-i779212927.html")</f>
        <v>https://www.lazada.vn/products/200g-snack-gion-cay-i779212927.html</v>
      </c>
      <c r="C6637" s="10" t="s">
        <v>6637</v>
      </c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>
      <c r="A6638" s="8">
        <v>11492.0</v>
      </c>
      <c r="B6638" s="9" t="str">
        <f>HYPERLINK("https://www.lazada.vn/products/mi-lau-nam-chua-cay-goi-85g-chay-man-deu-dung-duoc-i3016489776.html", "https://www.lazada.vn/products/mi-lau-nam-chua-cay-goi-85g-chay-man-deu-dung-duoc-i3016489776.html")</f>
        <v>https://www.lazada.vn/products/mi-lau-nam-chua-cay-goi-85g-chay-man-deu-dung-duoc-i3016489776.html</v>
      </c>
      <c r="C6638" s="10" t="s">
        <v>6638</v>
      </c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>
      <c r="A6639" s="8">
        <v>11493.0</v>
      </c>
      <c r="B6639" s="9" t="str">
        <f>HYPERLINK("https://www.lazada.vn/products/1kg-snack-hinh-hat-sen-gion-ngon-i779200872.html", "https://www.lazada.vn/products/1kg-snack-hinh-hat-sen-gion-ngon-i779200872.html")</f>
        <v>https://www.lazada.vn/products/1kg-snack-hinh-hat-sen-gion-ngon-i779200872.html</v>
      </c>
      <c r="C6639" s="10" t="s">
        <v>6639</v>
      </c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>
      <c r="A6640" s="8">
        <v>11494.0</v>
      </c>
      <c r="B6640" s="9" t="str">
        <f>HYPERLINK("https://www.lazada.vn/products/bao-sale-bich-20-goi-bim-bim-canh-ga-bimbim-canh-ga-snack-canh-ga-an-vat-canh-ga-trung-quoc-bim-bim-canh-ga-gion-rum-i711074644.html", "https://www.lazada.vn/products/bao-sale-bich-20-goi-bim-bim-canh-ga-bimbim-canh-ga-snack-canh-ga-an-vat-canh-ga-trung-quoc-bim-bim-canh-ga-gion-rum-i711074644.html")</f>
        <v>https://www.lazada.vn/products/bao-sale-bich-20-goi-bim-bim-canh-ga-bimbim-canh-ga-snack-canh-ga-an-vat-canh-ga-trung-quoc-bim-bim-canh-ga-gion-rum-i711074644.html</v>
      </c>
      <c r="C6640" s="10" t="s">
        <v>6640</v>
      </c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>
      <c r="A6641" s="8">
        <v>11495.0</v>
      </c>
      <c r="B6641" s="9" t="str">
        <f>HYPERLINK("https://www.lazada.vn/products/500g-kho-heo-chay-toi-thom-ngon-dac-biet-i539914359.html", "https://www.lazada.vn/products/500g-kho-heo-chay-toi-thom-ngon-dac-biet-i539914359.html")</f>
        <v>https://www.lazada.vn/products/500g-kho-heo-chay-toi-thom-ngon-dac-biet-i539914359.html</v>
      </c>
      <c r="C6641" s="10" t="s">
        <v>6641</v>
      </c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>
      <c r="A6642" s="8">
        <v>11496.0</v>
      </c>
      <c r="B6642" s="9" t="str">
        <f>HYPERLINK("https://www.lazada.vn/products/bot-pho-mai-tornado-truyen-thong-100g-ll181-i358760140.html", "https://www.lazada.vn/products/bot-pho-mai-tornado-truyen-thong-100g-ll181-i358760140.html")</f>
        <v>https://www.lazada.vn/products/bot-pho-mai-tornado-truyen-thong-100g-ll181-i358760140.html</v>
      </c>
      <c r="C6642" s="10" t="s">
        <v>6642</v>
      </c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>
      <c r="A6643" s="8">
        <v>11497.0</v>
      </c>
      <c r="B6643" s="9" t="str">
        <f>HYPERLINK("https://www.lazada.vn/products/dao-ngam-ha-long-lon-820g-i3023598021.html", "https://www.lazada.vn/products/dao-ngam-ha-long-lon-820g-i3023598021.html")</f>
        <v>https://www.lazada.vn/products/dao-ngam-ha-long-lon-820g-i3023598021.html</v>
      </c>
      <c r="C6643" s="10" t="s">
        <v>6643</v>
      </c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>
      <c r="A6644" s="8">
        <v>11498.0</v>
      </c>
      <c r="B6644" s="9" t="str">
        <f>HYPERLINK("https://www.lazada.vn/products/kho-ga-la-chanh-thuong-hang-dtfood-1kg-chung-nhan-attp-ll181-i358760100.html", "https://www.lazada.vn/products/kho-ga-la-chanh-thuong-hang-dtfood-1kg-chung-nhan-attp-ll181-i358760100.html")</f>
        <v>https://www.lazada.vn/products/kho-ga-la-chanh-thuong-hang-dtfood-1kg-chung-nhan-attp-ll181-i358760100.html</v>
      </c>
      <c r="C6644" s="10" t="s">
        <v>6644</v>
      </c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>
      <c r="A6645" s="8">
        <v>11499.0</v>
      </c>
      <c r="B6645" s="9" t="str">
        <f>HYPERLINK("https://www.lazada.vn/products/an-la-ghien-keo-no-striking-lollipop-hong-kong-popping-candy-sieu-hot-i2704730500.html", "https://www.lazada.vn/products/an-la-ghien-keo-no-striking-lollipop-hong-kong-popping-candy-sieu-hot-i2704730500.html")</f>
        <v>https://www.lazada.vn/products/an-la-ghien-keo-no-striking-lollipop-hong-kong-popping-candy-sieu-hot-i2704730500.html</v>
      </c>
      <c r="C6645" s="10" t="s">
        <v>6645</v>
      </c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>
      <c r="A6646" s="8">
        <v>11500.0</v>
      </c>
      <c r="B6646" s="9" t="str">
        <f>HYPERLINK("https://www.lazada.vn/products/thung-2kg-banh-mix-dai-loan-du-vi-do-an-vat-sieu-ngon-an-vat-sieu-ngon-shop-haimy-mua-sam-nhanh-i2621672899.html", "https://www.lazada.vn/products/thung-2kg-banh-mix-dai-loan-du-vi-do-an-vat-sieu-ngon-an-vat-sieu-ngon-shop-haimy-mua-sam-nhanh-i2621672899.html")</f>
        <v>https://www.lazada.vn/products/thung-2kg-banh-mix-dai-loan-du-vi-do-an-vat-sieu-ngon-an-vat-sieu-ngon-shop-haimy-mua-sam-nhanh-i2621672899.html</v>
      </c>
      <c r="C6646" s="10" t="s">
        <v>6646</v>
      </c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>
      <c r="A6647" s="8">
        <v>11501.0</v>
      </c>
      <c r="B6647" s="9" t="str">
        <f>HYPERLINK("https://www.lazada.vn/products/ke-go-tuong-rong-ngam-ngoc-va-2-chai-vang-phap-rong-vang-i2550640952.html", "https://www.lazada.vn/products/ke-go-tuong-rong-ngam-ngoc-va-2-chai-vang-phap-rong-vang-i2550640952.html")</f>
        <v>https://www.lazada.vn/products/ke-go-tuong-rong-ngam-ngoc-va-2-chai-vang-phap-rong-vang-i2550640952.html</v>
      </c>
      <c r="C6647" s="10" t="s">
        <v>6647</v>
      </c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>
      <c r="A6648" s="8">
        <v>11502.0</v>
      </c>
      <c r="B6648" s="9" t="str">
        <f>HYPERLINK("https://www.lazada.vn/products/sua-bot-nguyen-kem-devondale-chinh-hang-nhap-khau-uc-tui-1kg-ll181-i358752347.html", "https://www.lazada.vn/products/sua-bot-nguyen-kem-devondale-chinh-hang-nhap-khau-uc-tui-1kg-ll181-i358752347.html")</f>
        <v>https://www.lazada.vn/products/sua-bot-nguyen-kem-devondale-chinh-hang-nhap-khau-uc-tui-1kg-ll181-i358752347.html</v>
      </c>
      <c r="C6648" s="10" t="s">
        <v>6648</v>
      </c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>
      <c r="A6649" s="8">
        <v>11503.0</v>
      </c>
      <c r="B6649" s="9" t="str">
        <f>HYPERLINK("https://www.lazada.vn/products/keo-deo-ich-nhi-bo-sung-vitamin-tang-cuong-suc-de-khang-goi-24g-i2704561545.html", "https://www.lazada.vn/products/keo-deo-ich-nhi-bo-sung-vitamin-tang-cuong-suc-de-khang-goi-24g-i2704561545.html")</f>
        <v>https://www.lazada.vn/products/keo-deo-ich-nhi-bo-sung-vitamin-tang-cuong-suc-de-khang-goi-24g-i2704561545.html</v>
      </c>
      <c r="C6649" s="10" t="s">
        <v>6649</v>
      </c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>
      <c r="A6650" s="8">
        <v>11504.0</v>
      </c>
      <c r="B6650" s="9" t="str">
        <f>HYPERLINK("https://www.lazada.vn/products/pst400-combo-nhu-hinh-300gram-banh-trang-phoi-suong200gram-bo-trung-ga100-gram-ruoc-tep-hanh-phi-i2620586111.html", "https://www.lazada.vn/products/pst400-combo-nhu-hinh-300gram-banh-trang-phoi-suong200gram-bo-trung-ga100-gram-ruoc-tep-hanh-phi-i2620586111.html")</f>
        <v>https://www.lazada.vn/products/pst400-combo-nhu-hinh-300gram-banh-trang-phoi-suong200gram-bo-trung-ga100-gram-ruoc-tep-hanh-phi-i2620586111.html</v>
      </c>
      <c r="C6650" s="10" t="s">
        <v>6650</v>
      </c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>
      <c r="A6651" s="8">
        <v>11505.0</v>
      </c>
      <c r="B6651" s="9" t="str">
        <f>HYPERLINK("https://www.lazada.vn/products/1kg-com-chay-lac-kho-ga-sieu-ngon-2-hu-500g-ll181-i358750435.html", "https://www.lazada.vn/products/1kg-com-chay-lac-kho-ga-sieu-ngon-2-hu-500g-ll181-i358750435.html")</f>
        <v>https://www.lazada.vn/products/1kg-com-chay-lac-kho-ga-sieu-ngon-2-hu-500g-ll181-i358750435.html</v>
      </c>
      <c r="C6651" s="10" t="s">
        <v>6651</v>
      </c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>
      <c r="A6652" s="8">
        <v>11506.0</v>
      </c>
      <c r="B6652" s="9" t="str">
        <f>HYPERLINK("https://www.lazada.vn/products/chinh-hang-ruou-vodka-danzka-vodka-750ml-40-i2313393149.html", "https://www.lazada.vn/products/chinh-hang-ruou-vodka-danzka-vodka-750ml-40-i2313393149.html")</f>
        <v>https://www.lazada.vn/products/chinh-hang-ruou-vodka-danzka-vodka-750ml-40-i2313393149.html</v>
      </c>
      <c r="C6652" s="10" t="s">
        <v>6652</v>
      </c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>
      <c r="A6653" s="8">
        <v>11507.0</v>
      </c>
      <c r="B6653" s="9" t="str">
        <f>HYPERLINK("https://www.lazada.vn/products/dung-bo-lo-keo-deo-xoai-lot-vo-dai-long-keo-deo-mix-co-dac-tu-cot-trai-cay-hieu-dai-long-goi-300g-i2704182848.html", "https://www.lazada.vn/products/dung-bo-lo-keo-deo-xoai-lot-vo-dai-long-keo-deo-mix-co-dac-tu-cot-trai-cay-hieu-dai-long-goi-300g-i2704182848.html")</f>
        <v>https://www.lazada.vn/products/dung-bo-lo-keo-deo-xoai-lot-vo-dai-long-keo-deo-mix-co-dac-tu-cot-trai-cay-hieu-dai-long-goi-300g-i2704182848.html</v>
      </c>
      <c r="C6653" s="10" t="s">
        <v>6653</v>
      </c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>
      <c r="A6654" s="8">
        <v>11508.0</v>
      </c>
      <c r="B6654" s="9" t="str">
        <f>HYPERLINK("https://www.lazada.vn/products/tra-cozy-hoa-tan-cac-loai-huong-i2658413617.html", "https://www.lazada.vn/products/tra-cozy-hoa-tan-cac-loai-huong-i2658413617.html")</f>
        <v>https://www.lazada.vn/products/tra-cozy-hoa-tan-cac-loai-huong-i2658413617.html</v>
      </c>
      <c r="C6654" s="10" t="s">
        <v>6654</v>
      </c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>
      <c r="A6655" s="8">
        <v>11509.0</v>
      </c>
      <c r="B6655" s="9" t="str">
        <f>HYPERLINK("https://www.lazada.vn/products/bot-kem-nestle-coffee-mate-4537g-nhap-khau-thai-lan-hsd-2026-bot-kem-beo-pha-tra-sua-i1559514920.html", "https://www.lazada.vn/products/bot-kem-nestle-coffee-mate-4537g-nhap-khau-thai-lan-hsd-2026-bot-kem-beo-pha-tra-sua-i1559514920.html")</f>
        <v>https://www.lazada.vn/products/bot-kem-nestle-coffee-mate-4537g-nhap-khau-thai-lan-hsd-2026-bot-kem-beo-pha-tra-sua-i1559514920.html</v>
      </c>
      <c r="C6655" s="10" t="s">
        <v>6655</v>
      </c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>
      <c r="A6656" s="8">
        <v>11510.0</v>
      </c>
      <c r="B6656" s="9" t="str">
        <f>HYPERLINK("https://www.lazada.vn/products/bich-5-cai-banh-oc-que-matcha-an-kem-i2619084909.html", "https://www.lazada.vn/products/bich-5-cai-banh-oc-que-matcha-an-kem-i2619084909.html")</f>
        <v>https://www.lazada.vn/products/bich-5-cai-banh-oc-que-matcha-an-kem-i2619084909.html</v>
      </c>
      <c r="C6656" s="10" t="s">
        <v>6656</v>
      </c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>
      <c r="A6657" s="8">
        <v>11511.0</v>
      </c>
      <c r="B6657" s="9" t="str">
        <f>HYPERLINK("https://www.lazada.vn/products/kho-ga-la-chanh-loai-dac-biet-sieu-ngon-500g-ll181-i358750392.html", "https://www.lazada.vn/products/kho-ga-la-chanh-loai-dac-biet-sieu-ngon-500g-ll181-i358750392.html")</f>
        <v>https://www.lazada.vn/products/kho-ga-la-chanh-loai-dac-biet-sieu-ngon-500g-ll181-i358750392.html</v>
      </c>
      <c r="C6657" s="10" t="s">
        <v>6657</v>
      </c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>
      <c r="A6658" s="8">
        <v>11512.0</v>
      </c>
      <c r="B6658" s="9" t="str">
        <f>HYPERLINK("https://www.lazada.vn/products/hop-12-goi-keo-chanh-muoi-himalaya-extra-cool-i2701456817.html", "https://www.lazada.vn/products/hop-12-goi-keo-chanh-muoi-himalaya-extra-cool-i2701456817.html")</f>
        <v>https://www.lazada.vn/products/hop-12-goi-keo-chanh-muoi-himalaya-extra-cool-i2701456817.html</v>
      </c>
      <c r="C6658" s="10" t="s">
        <v>6658</v>
      </c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>
      <c r="A6659" s="8">
        <v>11513.0</v>
      </c>
      <c r="B6659" s="9" t="str">
        <f>HYPERLINK("https://www.lazada.vn/products/banh-trang-pho-mai-sua-thom-beo-ngay-i2618875941.html", "https://www.lazada.vn/products/banh-trang-pho-mai-sua-thom-beo-ngay-i2618875941.html")</f>
        <v>https://www.lazada.vn/products/banh-trang-pho-mai-sua-thom-beo-ngay-i2618875941.html</v>
      </c>
      <c r="C6659" s="10" t="s">
        <v>6659</v>
      </c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>
      <c r="A6660" s="8">
        <v>11514.0</v>
      </c>
      <c r="B6660" s="9" t="str">
        <f>HYPERLINK("https://www.lazada.vn/products/combo-2kg-dau-phong-rang-toi-ot-ngon-gion-dac-biet-ll181-i358746472.html", "https://www.lazada.vn/products/combo-2kg-dau-phong-rang-toi-ot-ngon-gion-dac-biet-ll181-i358746472.html")</f>
        <v>https://www.lazada.vn/products/combo-2kg-dau-phong-rang-toi-ot-ngon-gion-dac-biet-ll181-i358746472.html</v>
      </c>
      <c r="C6660" s="10" t="s">
        <v>6660</v>
      </c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>
      <c r="A6661" s="8">
        <v>11515.0</v>
      </c>
      <c r="B6661" s="9" t="str">
        <f>HYPERLINK("https://www.lazada.vn/products/duong-chat-combo-500g-keo-vung-den-nguyen-chat-keo-me-den-khong-duong-an-vat-ngon-dinh-duong-tot-cho-suc-khoe-i2700122906.html", "https://www.lazada.vn/products/duong-chat-combo-500g-keo-vung-den-nguyen-chat-keo-me-den-khong-duong-an-vat-ngon-dinh-duong-tot-cho-suc-khoe-i2700122906.html")</f>
        <v>https://www.lazada.vn/products/duong-chat-combo-500g-keo-vung-den-nguyen-chat-keo-me-den-khong-duong-an-vat-ngon-dinh-duong-tot-cho-suc-khoe-i2700122906.html</v>
      </c>
      <c r="C6661" s="10" t="s">
        <v>6661</v>
      </c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>
      <c r="A6662" s="8">
        <v>11516.0</v>
      </c>
      <c r="B6662" s="9" t="str">
        <f>HYPERLINK("https://www.lazada.vn/products/sua-meiji-so-0-noi-dia-nhat-danh-cho-be-0-12-thang-800g-ll181-i358746429.html", "https://www.lazada.vn/products/sua-meiji-so-0-noi-dia-nhat-danh-cho-be-0-12-thang-800g-ll181-i358746429.html")</f>
        <v>https://www.lazada.vn/products/sua-meiji-so-0-noi-dia-nhat-danh-cho-be-0-12-thang-800g-ll181-i358746429.html</v>
      </c>
      <c r="C6662" s="10" t="s">
        <v>6662</v>
      </c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>
      <c r="A6663" s="8">
        <v>11517.0</v>
      </c>
      <c r="B6663" s="9" t="str">
        <f>HYPERLINK("https://www.lazada.vn/products/keo-sua-tho-trang-114g-i2699170054.html", "https://www.lazada.vn/products/keo-sua-tho-trang-114g-i2699170054.html")</f>
        <v>https://www.lazada.vn/products/keo-sua-tho-trang-114g-i2699170054.html</v>
      </c>
      <c r="C6663" s="10" t="s">
        <v>6663</v>
      </c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>
      <c r="A6664" s="8">
        <v>11518.0</v>
      </c>
      <c r="B6664" s="9" t="str">
        <f>HYPERLINK("https://www.lazada.vn/products/muc-mot-nang-xe-soi-hap-nuoc-cot-dua-sieu-ngon-250g-ll181-i358744537.html", "https://www.lazada.vn/products/muc-mot-nang-xe-soi-hap-nuoc-cot-dua-sieu-ngon-250g-ll181-i358744537.html")</f>
        <v>https://www.lazada.vn/products/muc-mot-nang-xe-soi-hap-nuoc-cot-dua-sieu-ngon-250g-ll181-i358744537.html</v>
      </c>
      <c r="C6664" s="10" t="s">
        <v>6664</v>
      </c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>
      <c r="A6665" s="8">
        <v>11519.0</v>
      </c>
      <c r="B6665" s="9" t="str">
        <f>HYPERLINK("https://www.lazada.vn/products/keo-mut-strike-lollipop-berry-and-fruit-113g-huong-qua-mong-va-trai-cay-30-ly-trinh-15-i2698172345.html", "https://www.lazada.vn/products/keo-mut-strike-lollipop-berry-and-fruit-113g-huong-qua-mong-va-trai-cay-30-ly-trinh-15-i2698172345.html")</f>
        <v>https://www.lazada.vn/products/keo-mut-strike-lollipop-berry-and-fruit-113g-huong-qua-mong-va-trai-cay-30-ly-trinh-15-i2698172345.html</v>
      </c>
      <c r="C6665" s="10" t="s">
        <v>6665</v>
      </c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>
      <c r="A6666" s="8">
        <v>11520.0</v>
      </c>
      <c r="B6666" s="9" t="str">
        <f>HYPERLINK("https://www.lazada.vn/products/200gr-kho-bo-soi-loai-ngon-heo-gia-bo-ll181-i358738608.html", "https://www.lazada.vn/products/200gr-kho-bo-soi-loai-ngon-heo-gia-bo-ll181-i358738608.html")</f>
        <v>https://www.lazada.vn/products/200gr-kho-bo-soi-loai-ngon-heo-gia-bo-ll181-i358738608.html</v>
      </c>
      <c r="C6666" s="10" t="s">
        <v>6666</v>
      </c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>
      <c r="A6667" s="8">
        <v>11521.0</v>
      </c>
      <c r="B6667" s="9" t="str">
        <f>HYPERLINK("https://www.lazada.vn/products/keo-sap-hinh-mieng-cam-tron-ngon-ngot-nhieu-vi-i2697372927.html", "https://www.lazada.vn/products/keo-sap-hinh-mieng-cam-tron-ngon-ngot-nhieu-vi-i2697372927.html")</f>
        <v>https://www.lazada.vn/products/keo-sap-hinh-mieng-cam-tron-ngon-ngot-nhieu-vi-i2697372927.html</v>
      </c>
      <c r="C6667" s="10" t="s">
        <v>6667</v>
      </c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>
      <c r="A6668" s="8">
        <v>11522.0</v>
      </c>
      <c r="B6668" s="9" t="str">
        <f>HYPERLINK("https://www.lazada.vn/products/tui-44-vien-giat-xa-mau-hong-noi-dia-nhat-ban-ll181-i358736589.html", "https://www.lazada.vn/products/tui-44-vien-giat-xa-mau-hong-noi-dia-nhat-ban-ll181-i358736589.html")</f>
        <v>https://www.lazada.vn/products/tui-44-vien-giat-xa-mau-hong-noi-dia-nhat-ban-ll181-i358736589.html</v>
      </c>
      <c r="C6668" s="10" t="s">
        <v>6668</v>
      </c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>
      <c r="A6669" s="8">
        <v>11523.0</v>
      </c>
      <c r="B6669" s="9" t="str">
        <f>HYPERLINK("https://www.lazada.vn/products/keo-sap-ong-ca-nho-combo-50100-con-ca-nho-du-vi-i2697322928.html", "https://www.lazada.vn/products/keo-sap-ong-ca-nho-combo-50100-con-ca-nho-du-vi-i2697322928.html")</f>
        <v>https://www.lazada.vn/products/keo-sap-ong-ca-nho-combo-50100-con-ca-nho-du-vi-i2697322928.html</v>
      </c>
      <c r="C6669" s="10" t="s">
        <v>6669</v>
      </c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>
      <c r="A6670" s="8">
        <v>11524.0</v>
      </c>
      <c r="B6670" s="9" t="str">
        <f>HYPERLINK("https://www.lazada.vn/products/tra-diep-ca-thanh-loc-co-the-orihiro-noi-dia-nhat-60-goi-ll181-i358730644.html", "https://www.lazada.vn/products/tra-diep-ca-thanh-loc-co-the-orihiro-noi-dia-nhat-60-goi-ll181-i358730644.html")</f>
        <v>https://www.lazada.vn/products/tra-diep-ca-thanh-loc-co-the-orihiro-noi-dia-nhat-60-goi-ll181-i358730644.html</v>
      </c>
      <c r="C6670" s="10" t="s">
        <v>6670</v>
      </c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>
      <c r="A6671" s="8">
        <v>11525.0</v>
      </c>
      <c r="B6671" s="9" t="str">
        <f>HYPERLINK("https://www.lazada.vn/products/siro-mama-rosa-chai-700ml-la-dua-i2658215957.html", "https://www.lazada.vn/products/siro-mama-rosa-chai-700ml-la-dua-i2658215957.html")</f>
        <v>https://www.lazada.vn/products/siro-mama-rosa-chai-700ml-la-dua-i2658215957.html</v>
      </c>
      <c r="C6671" s="10" t="s">
        <v>6671</v>
      </c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>
      <c r="A6672" s="8">
        <v>11526.0</v>
      </c>
      <c r="B6672" s="9" t="str">
        <f>HYPERLINK("https://www.lazada.vn/products/keo-deo-haribo-80g-nhieu-loai-i2696453370.html", "https://www.lazada.vn/products/keo-deo-haribo-80g-nhieu-loai-i2696453370.html")</f>
        <v>https://www.lazada.vn/products/keo-deo-haribo-80g-nhieu-loai-i2696453370.html</v>
      </c>
      <c r="C6672" s="10" t="s">
        <v>6672</v>
      </c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>
      <c r="A6673" s="8">
        <v>11527.0</v>
      </c>
      <c r="B6673" s="9" t="str">
        <f>HYPERLINK("https://www.lazada.vn/products/bia-su-schorsch-weizen-13-nhap-khau-duc-1-thung-6-chai-500ml-i2896631134.html", "https://www.lazada.vn/products/bia-su-schorsch-weizen-13-nhap-khau-duc-1-thung-6-chai-500ml-i2896631134.html")</f>
        <v>https://www.lazada.vn/products/bia-su-schorsch-weizen-13-nhap-khau-duc-1-thung-6-chai-500ml-i2896631134.html</v>
      </c>
      <c r="C6673" s="10" t="s">
        <v>6673</v>
      </c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>
      <c r="A6674" s="8">
        <v>11528.0</v>
      </c>
      <c r="B6674" s="9" t="str">
        <f>HYPERLINK("https://www.lazada.vn/products/chinh-hang-ruou-vodka-keys-bricks-nhat-ban-720ml-40-i2313307671.html", "https://www.lazada.vn/products/chinh-hang-ruou-vodka-keys-bricks-nhat-ban-720ml-40-i2313307671.html")</f>
        <v>https://www.lazada.vn/products/chinh-hang-ruou-vodka-keys-bricks-nhat-ban-720ml-40-i2313307671.html</v>
      </c>
      <c r="C6674" s="10" t="s">
        <v>6674</v>
      </c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>
      <c r="A6675" s="8">
        <v>11529.0</v>
      </c>
      <c r="B6675" s="9" t="str">
        <f>HYPERLINK("https://www.lazada.vn/products/kho-bo-mieng-loai-ngon-500g-ll181-i358728719.html", "https://www.lazada.vn/products/kho-bo-mieng-loai-ngon-500g-ll181-i358728719.html")</f>
        <v>https://www.lazada.vn/products/kho-bo-mieng-loai-ngon-500g-ll181-i358728719.html</v>
      </c>
      <c r="C6675" s="10" t="s">
        <v>6675</v>
      </c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>
      <c r="A6676" s="8">
        <v>11530.0</v>
      </c>
      <c r="B6676" s="9" t="str">
        <f>HYPERLINK("https://www.lazada.vn/products/bot-cacao-ngot-malaysia-tan-thanh-ngoc-goi-500g-i1547998070.html", "https://www.lazada.vn/products/bot-cacao-ngot-malaysia-tan-thanh-ngoc-goi-500g-i1547998070.html")</f>
        <v>https://www.lazada.vn/products/bot-cacao-ngot-malaysia-tan-thanh-ngoc-goi-500g-i1547998070.html</v>
      </c>
      <c r="C6676" s="10" t="s">
        <v>6676</v>
      </c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>
      <c r="A6677" s="8">
        <v>11531.0</v>
      </c>
      <c r="B6677" s="9" t="str">
        <f>HYPERLINK("https://www.lazada.vn/products/dat-092025-coca-nhat-mini-lon-160ml-thung-30-lon-xuat-xu-nhat-ban-i2270967479.html", "https://www.lazada.vn/products/dat-092025-coca-nhat-mini-lon-160ml-thung-30-lon-xuat-xu-nhat-ban-i2270967479.html")</f>
        <v>https://www.lazada.vn/products/dat-092025-coca-nhat-mini-lon-160ml-thung-30-lon-xuat-xu-nhat-ban-i2270967479.html</v>
      </c>
      <c r="C6677" s="10" t="s">
        <v>6677</v>
      </c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>
      <c r="A6678" s="8">
        <v>11532.0</v>
      </c>
      <c r="B6678" s="9" t="str">
        <f>HYPERLINK("https://www.lazada.vn/products/banh-trang-phoi-suong-deo-dau-hanh-sa-te-sieu-cay-thom-ngon-combo-5-bich-10-bich-i2370103601.html", "https://www.lazada.vn/products/banh-trang-phoi-suong-deo-dau-hanh-sa-te-sieu-cay-thom-ngon-combo-5-bich-10-bich-i2370103601.html")</f>
        <v>https://www.lazada.vn/products/banh-trang-phoi-suong-deo-dau-hanh-sa-te-sieu-cay-thom-ngon-combo-5-bich-10-bich-i2370103601.html</v>
      </c>
      <c r="C6678" s="10" t="s">
        <v>6678</v>
      </c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>
      <c r="A6679" s="8">
        <v>11533.0</v>
      </c>
      <c r="B6679" s="9" t="str">
        <f>HYPERLINK("https://www.lazada.vn/products/ca-phe-nguyen-chat-robusta-the-organic-coffee-thom-vi-dam-da-khong-chua-500-gram-i2675878188.html", "https://www.lazada.vn/products/ca-phe-nguyen-chat-robusta-the-organic-coffee-thom-vi-dam-da-khong-chua-500-gram-i2675878188.html")</f>
        <v>https://www.lazada.vn/products/ca-phe-nguyen-chat-robusta-the-organic-coffee-thom-vi-dam-da-khong-chua-500-gram-i2675878188.html</v>
      </c>
      <c r="C6679" s="10" t="s">
        <v>6679</v>
      </c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>
      <c r="A6680" s="8">
        <v>11534.0</v>
      </c>
      <c r="B6680" s="9" t="str">
        <f>HYPERLINK("https://www.lazada.vn/products/hoa-toc-thung-24-lon-bia-heineken-xanh-lon-330-ml-i2028705687.html", "https://www.lazada.vn/products/hoa-toc-thung-24-lon-bia-heineken-xanh-lon-330-ml-i2028705687.html")</f>
        <v>https://www.lazada.vn/products/hoa-toc-thung-24-lon-bia-heineken-xanh-lon-330-ml-i2028705687.html</v>
      </c>
      <c r="C6680" s="10" t="s">
        <v>6680</v>
      </c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>
      <c r="A6681" s="8">
        <v>11535.0</v>
      </c>
      <c r="B6681" s="9" t="str">
        <f>HYPERLINK("https://www.lazada.vn/products/ca-na-ngao-duong-hu-500gr-i3022120892.html", "https://www.lazada.vn/products/ca-na-ngao-duong-hu-500gr-i3022120892.html")</f>
        <v>https://www.lazada.vn/products/ca-na-ngao-duong-hu-500gr-i3022120892.html</v>
      </c>
      <c r="C6681" s="10" t="s">
        <v>6681</v>
      </c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>
      <c r="A6682" s="8">
        <v>11536.0</v>
      </c>
      <c r="B6682" s="9" t="str">
        <f>HYPERLINK("https://www.lazada.vn/products/ruou-vang-do-noi-dia-mastro-i2549169795.html", "https://www.lazada.vn/products/ruou-vang-do-noi-dia-mastro-i2549169795.html")</f>
        <v>https://www.lazada.vn/products/ruou-vang-do-noi-dia-mastro-i2549169795.html</v>
      </c>
      <c r="C6682" s="10" t="s">
        <v>6682</v>
      </c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>
      <c r="A6683" s="8">
        <v>11537.0</v>
      </c>
      <c r="B6683" s="9" t="str">
        <f>HYPERLINK("https://www.lazada.vn/products/chinh-hang-mua-2-tang-1-socola-feastables-mrbeast-keo-i2902459258.html", "https://www.lazada.vn/products/chinh-hang-mua-2-tang-1-socola-feastables-mrbeast-keo-i2902459258.html")</f>
        <v>https://www.lazada.vn/products/chinh-hang-mua-2-tang-1-socola-feastables-mrbeast-keo-i2902459258.html</v>
      </c>
      <c r="C6683" s="10" t="s">
        <v>6683</v>
      </c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>
      <c r="A6684" s="8">
        <v>11538.0</v>
      </c>
      <c r="B6684" s="9" t="str">
        <f>HYPERLINK("https://www.lazada.vn/products/bot-chuoi-xanh-hu-450gr-i2792935664.html", "https://www.lazada.vn/products/bot-chuoi-xanh-hu-450gr-i2792935664.html")</f>
        <v>https://www.lazada.vn/products/bot-chuoi-xanh-hu-450gr-i2792935664.html</v>
      </c>
      <c r="C6684" s="10" t="s">
        <v>6684</v>
      </c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>
      <c r="A6685" s="8">
        <v>11539.0</v>
      </c>
      <c r="B6685" s="9" t="str">
        <f>HYPERLINK("https://www.lazada.vn/products/thach-bi-douxian-hop-25kg-i2488109516.html", "https://www.lazada.vn/products/thach-bi-douxian-hop-25kg-i2488109516.html")</f>
        <v>https://www.lazada.vn/products/thach-bi-douxian-hop-25kg-i2488109516.html</v>
      </c>
      <c r="C6685" s="10" t="s">
        <v>6685</v>
      </c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>
      <c r="A6686" s="8">
        <v>11540.0</v>
      </c>
      <c r="B6686" s="9" t="str">
        <f>HYPERLINK("https://www.lazada.vn/products/cb-15-goi-mi-miliket-thap-cam-70gr-02146-i3054168431.html", "https://www.lazada.vn/products/cb-15-goi-mi-miliket-thap-cam-70gr-02146-i3054168431.html")</f>
        <v>https://www.lazada.vn/products/cb-15-goi-mi-miliket-thap-cam-70gr-02146-i3054168431.html</v>
      </c>
      <c r="C6686" s="10" t="s">
        <v>6686</v>
      </c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>
      <c r="A6687" s="8">
        <v>11541.0</v>
      </c>
      <c r="B6687" s="9" t="str">
        <f>HYPERLINK("https://www.lazada.vn/products/thach-rau-cau-3d-dai-long-hop-25kg-i2486742238.html", "https://www.lazada.vn/products/thach-rau-cau-3d-dai-long-hop-25kg-i2486742238.html")</f>
        <v>https://www.lazada.vn/products/thach-rau-cau-3d-dai-long-hop-25kg-i2486742238.html</v>
      </c>
      <c r="C6687" s="10" t="s">
        <v>6687</v>
      </c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>
      <c r="A6688" s="8">
        <v>11542.0</v>
      </c>
      <c r="B6688" s="9" t="str">
        <f>HYPERLINK("https://www.lazada.vn/products/mam-ca-xiu-hu-500g-hot-hit-i3020536758.html", "https://www.lazada.vn/products/mam-ca-xiu-hu-500g-hot-hit-i3020536758.html")</f>
        <v>https://www.lazada.vn/products/mam-ca-xiu-hu-500g-hot-hit-i3020536758.html</v>
      </c>
      <c r="C6688" s="10" t="s">
        <v>6688</v>
      </c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>
      <c r="A6689" s="8">
        <v>11543.0</v>
      </c>
      <c r="B6689" s="9" t="str">
        <f>HYPERLINK("https://www.lazada.vn/products/vang-da-lat-classic-red-wine-3l-i2545470125.html", "https://www.lazada.vn/products/vang-da-lat-classic-red-wine-3l-i2545470125.html")</f>
        <v>https://www.lazada.vn/products/vang-da-lat-classic-red-wine-3l-i2545470125.html</v>
      </c>
      <c r="C6689" s="10" t="s">
        <v>6689</v>
      </c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>
      <c r="A6690" s="8">
        <v>11544.0</v>
      </c>
      <c r="B6690" s="9" t="str">
        <f>HYPERLINK("https://www.lazada.vn/products/bia-su-schorsch-bock-13-nhap-khau-duc-1-chai-500ml-i2896600988.html", "https://www.lazada.vn/products/bia-su-schorsch-bock-13-nhap-khau-duc-1-chai-500ml-i2896600988.html")</f>
        <v>https://www.lazada.vn/products/bia-su-schorsch-bock-13-nhap-khau-duc-1-chai-500ml-i2896600988.html</v>
      </c>
      <c r="C6690" s="10" t="s">
        <v>6690</v>
      </c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>
      <c r="A6691" s="8">
        <v>11545.0</v>
      </c>
      <c r="B6691" s="9" t="str">
        <f>HYPERLINK("https://www.lazada.vn/products/hop-6-hu-to-yen-chung-dong-trung-duong-phen-nha-dam-tingco-x-70ml-i2658099274.html", "https://www.lazada.vn/products/hop-6-hu-to-yen-chung-dong-trung-duong-phen-nha-dam-tingco-x-70ml-i2658099274.html")</f>
        <v>https://www.lazada.vn/products/hop-6-hu-to-yen-chung-dong-trung-duong-phen-nha-dam-tingco-x-70ml-i2658099274.html</v>
      </c>
      <c r="C6691" s="10" t="s">
        <v>6691</v>
      </c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>
      <c r="A6692" s="8">
        <v>11546.0</v>
      </c>
      <c r="B6692" s="9" t="str">
        <f>HYPERLINK("https://www.lazada.vn/products/mut-cacao-marou-cacao-spread-lo-250g-i1543787918.html", "https://www.lazada.vn/products/mut-cacao-marou-cacao-spread-lo-250g-i1543787918.html")</f>
        <v>https://www.lazada.vn/products/mut-cacao-marou-cacao-spread-lo-250g-i1543787918.html</v>
      </c>
      <c r="C6692" s="10" t="s">
        <v>6692</v>
      </c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>
      <c r="A6693" s="8">
        <v>11547.0</v>
      </c>
      <c r="B6693" s="9" t="str">
        <f>HYPERLINK("https://www.lazada.vn/products/muc-cau-phoi-kho-go-cong-ngonngot-thom-ll181-i358728707.html", "https://www.lazada.vn/products/muc-cau-phoi-kho-go-cong-ngonngot-thom-ll181-i358728707.html")</f>
        <v>https://www.lazada.vn/products/muc-cau-phoi-kho-go-cong-ngonngot-thom-ll181-i358728707.html</v>
      </c>
      <c r="C6693" s="10" t="s">
        <v>6693</v>
      </c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>
      <c r="A6694" s="8">
        <v>11548.0</v>
      </c>
      <c r="B6694" s="9" t="str">
        <f>HYPERLINK("https://www.lazada.vn/products/tren-18-tuoi-chinh-hang-ruou-skyy-vodka-40-700ml-i2307306728.html", "https://www.lazada.vn/products/tren-18-tuoi-chinh-hang-ruou-skyy-vodka-40-700ml-i2307306728.html")</f>
        <v>https://www.lazada.vn/products/tren-18-tuoi-chinh-hang-ruou-skyy-vodka-40-700ml-i2307306728.html</v>
      </c>
      <c r="C6694" s="10" t="s">
        <v>6694</v>
      </c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>
      <c r="A6695" s="8">
        <v>11549.0</v>
      </c>
      <c r="B6695" s="9" t="str">
        <f>HYPERLINK("https://www.lazada.vn/products/keo-tang-luc-bo-huc-keo-bo-huc-redbull-noi-dia-i2694879072.html", "https://www.lazada.vn/products/keo-tang-luc-bo-huc-keo-bo-huc-redbull-noi-dia-i2694879072.html")</f>
        <v>https://www.lazada.vn/products/keo-tang-luc-bo-huc-keo-bo-huc-redbull-noi-dia-i2694879072.html</v>
      </c>
      <c r="C6695" s="10" t="s">
        <v>6695</v>
      </c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>
      <c r="A6696" s="8">
        <v>11550.0</v>
      </c>
      <c r="B6696" s="9" t="str">
        <f>HYPERLINK("https://www.lazada.vn/products/banh-trung-kem-sau-rieng-tipo-huu-nghi-durian-cream-egg-cookies-goi-220g-i2894655386.html", "https://www.lazada.vn/products/banh-trung-kem-sau-rieng-tipo-huu-nghi-durian-cream-egg-cookies-goi-220g-i2894655386.html")</f>
        <v>https://www.lazada.vn/products/banh-trung-kem-sau-rieng-tipo-huu-nghi-durian-cream-egg-cookies-goi-220g-i2894655386.html</v>
      </c>
      <c r="C6696" s="10" t="s">
        <v>6696</v>
      </c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>
      <c r="A6697" s="8">
        <v>11551.0</v>
      </c>
      <c r="B6697" s="9" t="str">
        <f>HYPERLINK("https://www.lazada.vn/products/keo-me-thai-ngao-duong-i2689070346.html", "https://www.lazada.vn/products/keo-me-thai-ngao-duong-i2689070346.html")</f>
        <v>https://www.lazada.vn/products/keo-me-thai-ngao-duong-i2689070346.html</v>
      </c>
      <c r="C6697" s="10" t="s">
        <v>6697</v>
      </c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>
      <c r="A6698" s="8">
        <v>11552.0</v>
      </c>
      <c r="B6698" s="9" t="str">
        <f>HYPERLINK("https://www.lazada.vn/products/bia-su-schorsch-weizen-13-nhap-khau-duc-1-chai-500ml-i2896570260.html", "https://www.lazada.vn/products/bia-su-schorsch-weizen-13-nhap-khau-duc-1-chai-500ml-i2896570260.html")</f>
        <v>https://www.lazada.vn/products/bia-su-schorsch-weizen-13-nhap-khau-duc-1-chai-500ml-i2896570260.html</v>
      </c>
      <c r="C6698" s="10" t="s">
        <v>6698</v>
      </c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>
      <c r="A6699" s="8">
        <v>11553.0</v>
      </c>
      <c r="B6699" s="9" t="str">
        <f>HYPERLINK("https://www.lazada.vn/products/nuoc-gao-rang-han-quoc-chai-15-lit-co-duong-duong-an-kieng-shop-mint-mint-i2657430119.html", "https://www.lazada.vn/products/nuoc-gao-rang-han-quoc-chai-15-lit-co-duong-duong-an-kieng-shop-mint-mint-i2657430119.html")</f>
        <v>https://www.lazada.vn/products/nuoc-gao-rang-han-quoc-chai-15-lit-co-duong-duong-an-kieng-shop-mint-mint-i2657430119.html</v>
      </c>
      <c r="C6699" s="10" t="s">
        <v>6699</v>
      </c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>
      <c r="A6700" s="8">
        <v>11554.0</v>
      </c>
      <c r="B6700" s="9" t="str">
        <f>HYPERLINK("https://www.lazada.vn/products/keo-nang-luong-ban-chay-nhat-the-gioi-clif-bloks-energy-chews-60g-i2687706920.html", "https://www.lazada.vn/products/keo-nang-luong-ban-chay-nhat-the-gioi-clif-bloks-energy-chews-60g-i2687706920.html")</f>
        <v>https://www.lazada.vn/products/keo-nang-luong-ban-chay-nhat-the-gioi-clif-bloks-energy-chews-60g-i2687706920.html</v>
      </c>
      <c r="C6700" s="10" t="s">
        <v>6700</v>
      </c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>
      <c r="A6701" s="8">
        <v>11555.0</v>
      </c>
      <c r="B6701" s="9" t="str">
        <f>HYPERLINK("https://www.lazada.vn/products/th-24-goi-mien-phu-huong-thit-bam-55gr-03150-i3025545327.html", "https://www.lazada.vn/products/th-24-goi-mien-phu-huong-thit-bam-55gr-03150-i3025545327.html")</f>
        <v>https://www.lazada.vn/products/th-24-goi-mien-phu-huong-thit-bam-55gr-03150-i3025545327.html</v>
      </c>
      <c r="C6701" s="10" t="s">
        <v>6701</v>
      </c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>
      <c r="A6702" s="8">
        <v>11556.0</v>
      </c>
      <c r="B6702" s="9" t="str">
        <f>HYPERLINK("https://www.lazada.vn/products/tren-18-tuoichinh-hang-ruou-bols-vodka-375-700ml-1000ml-i2307219659.html", "https://www.lazada.vn/products/tren-18-tuoichinh-hang-ruou-bols-vodka-375-700ml-1000ml-i2307219659.html")</f>
        <v>https://www.lazada.vn/products/tren-18-tuoichinh-hang-ruou-bols-vodka-375-700ml-1000ml-i2307219659.html</v>
      </c>
      <c r="C6702" s="10" t="s">
        <v>6702</v>
      </c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>
      <c r="A6703" s="8">
        <v>11557.0</v>
      </c>
      <c r="B6703" s="9" t="str">
        <f>HYPERLINK("https://www.lazada.vn/products/bot-cacao-marou-nguyen-chat-cacao-powder-lon-250g-i1543783892.html", "https://www.lazada.vn/products/bot-cacao-marou-nguyen-chat-cacao-powder-lon-250g-i1543783892.html")</f>
        <v>https://www.lazada.vn/products/bot-cacao-marou-nguyen-chat-cacao-powder-lon-250g-i1543783892.html</v>
      </c>
      <c r="C6703" s="10" t="s">
        <v>6703</v>
      </c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>
      <c r="A6704" s="8">
        <v>11558.0</v>
      </c>
      <c r="B6704" s="9" t="str">
        <f>HYPERLINK("https://www.lazada.vn/products/1kg-kho-bo-soi-ngon-heo-gia-bo-2-hop-500g-ll181-i358728694.html", "https://www.lazada.vn/products/1kg-kho-bo-soi-ngon-heo-gia-bo-2-hop-500g-ll181-i358728694.html")</f>
        <v>https://www.lazada.vn/products/1kg-kho-bo-soi-ngon-heo-gia-bo-2-hop-500g-ll181-i358728694.html</v>
      </c>
      <c r="C6704" s="10" t="s">
        <v>6704</v>
      </c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>
      <c r="A6705" s="8">
        <v>11559.0</v>
      </c>
      <c r="B6705" s="9" t="str">
        <f>HYPERLINK("https://www.lazada.vn/products/bia-la-trappe-dubbel-7-nhap-khau-ha-lan-1-chai-330ml-i2896443687.html", "https://www.lazada.vn/products/bia-la-trappe-dubbel-7-nhap-khau-ha-lan-1-chai-330ml-i2896443687.html")</f>
        <v>https://www.lazada.vn/products/bia-la-trappe-dubbel-7-nhap-khau-ha-lan-1-chai-330ml-i2896443687.html</v>
      </c>
      <c r="C6705" s="10" t="s">
        <v>6705</v>
      </c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>
      <c r="A6706" s="8">
        <v>11560.0</v>
      </c>
      <c r="B6706" s="9" t="str">
        <f>HYPERLINK("https://www.lazada.vn/products/hop-10-vien-keo-a7-anfa-vi-chanh-chinh-hang-usa-che-ten-i2686243713.html", "https://www.lazada.vn/products/hop-10-vien-keo-a7-anfa-vi-chanh-chinh-hang-usa-che-ten-i2686243713.html")</f>
        <v>https://www.lazada.vn/products/hop-10-vien-keo-a7-anfa-vi-chanh-chinh-hang-usa-che-ten-i2686243713.html</v>
      </c>
      <c r="C6706" s="10" t="s">
        <v>6706</v>
      </c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>
      <c r="A6707" s="8">
        <v>11561.0</v>
      </c>
      <c r="B6707" s="9" t="str">
        <f>HYPERLINK("https://www.lazada.vn/products/sam-du-vi-i2656435910.html", "https://www.lazada.vn/products/sam-du-vi-i2656435910.html")</f>
        <v>https://www.lazada.vn/products/sam-du-vi-i2656435910.html</v>
      </c>
      <c r="C6707" s="10" t="s">
        <v>6707</v>
      </c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>
      <c r="A6708" s="8">
        <v>11562.0</v>
      </c>
      <c r="B6708" s="9" t="str">
        <f>HYPERLINK("https://www.lazada.vn/products/top-ruou-vn-ruou-vodka-absolut-700ml-1000ml-chinh-hang-i2300658731.html", "https://www.lazada.vn/products/top-ruou-vn-ruou-vodka-absolut-700ml-1000ml-chinh-hang-i2300658731.html")</f>
        <v>https://www.lazada.vn/products/top-ruou-vn-ruou-vodka-absolut-700ml-1000ml-chinh-hang-i2300658731.html</v>
      </c>
      <c r="C6708" s="10" t="s">
        <v>6708</v>
      </c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>
      <c r="A6709" s="8">
        <v>11563.0</v>
      </c>
      <c r="B6709" s="9" t="str">
        <f>HYPERLINK("https://www.lazada.vn/products/tang-tui-giay-banh-quy-cookies-bo-sua-hanh-nhan-top-savor-hop-thiec-460g-lam-qua-tang-b230-an-vat-beegin-i2885181896.html", "https://www.lazada.vn/products/tang-tui-giay-banh-quy-cookies-bo-sua-hanh-nhan-top-savor-hop-thiec-460g-lam-qua-tang-b230-an-vat-beegin-i2885181896.html")</f>
        <v>https://www.lazada.vn/products/tang-tui-giay-banh-quy-cookies-bo-sua-hanh-nhan-top-savor-hop-thiec-460g-lam-qua-tang-b230-an-vat-beegin-i2885181896.html</v>
      </c>
      <c r="C6709" s="10" t="s">
        <v>6709</v>
      </c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>
      <c r="A6710" s="8">
        <v>11564.0</v>
      </c>
      <c r="B6710" s="9" t="str">
        <f>HYPERLINK("https://www.lazada.vn/products/bot-khoai-mon-wonderful-goi-1kg-i1541166742.html", "https://www.lazada.vn/products/bot-khoai-mon-wonderful-goi-1kg-i1541166742.html")</f>
        <v>https://www.lazada.vn/products/bot-khoai-mon-wonderful-goi-1kg-i1541166742.html</v>
      </c>
      <c r="C6710" s="10" t="s">
        <v>6710</v>
      </c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>
      <c r="A6711" s="8">
        <v>11565.0</v>
      </c>
      <c r="B6711" s="9" t="str">
        <f>HYPERLINK("https://www.lazada.vn/products/1kg-dau-phong-rang-toi-ot-loai-dac-biet-ll181-i358724735.html", "https://www.lazada.vn/products/1kg-dau-phong-rang-toi-ot-loai-dac-biet-ll181-i358724735.html")</f>
        <v>https://www.lazada.vn/products/1kg-dau-phong-rang-toi-ot-loai-dac-biet-ll181-i358724735.html</v>
      </c>
      <c r="C6711" s="10" t="s">
        <v>6711</v>
      </c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>
      <c r="A6712" s="8">
        <v>11566.0</v>
      </c>
      <c r="B6712" s="9" t="str">
        <f>HYPERLINK("https://www.lazada.vn/products/cb-6-to-mi-omachi-suon-ham-ngu-qua-96gr-60955-i3025137056.html", "https://www.lazada.vn/products/cb-6-to-mi-omachi-suon-ham-ngu-qua-96gr-60955-i3025137056.html")</f>
        <v>https://www.lazada.vn/products/cb-6-to-mi-omachi-suon-ham-ngu-qua-96gr-60955-i3025137056.html</v>
      </c>
      <c r="C6712" s="10" t="s">
        <v>6712</v>
      </c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>
      <c r="A6713" s="8">
        <v>11567.0</v>
      </c>
      <c r="B6713" s="9" t="str">
        <f>HYPERLINK("https://www.lazada.vn/products/ruou-com-sua-rieu-com-vat-i2485329195.html", "https://www.lazada.vn/products/ruou-com-sua-rieu-com-vat-i2485329195.html")</f>
        <v>https://www.lazada.vn/products/ruou-com-sua-rieu-com-vat-i2485329195.html</v>
      </c>
      <c r="C6713" s="10" t="s">
        <v>6713</v>
      </c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>
      <c r="A6714" s="8">
        <v>11568.0</v>
      </c>
      <c r="B6714" s="9" t="str">
        <f>HYPERLINK("https://www.lazada.vn/products/combo-50-vien-keo-socola-noel-giang-sinh-qua-tang-dac-biet-cho-be-i2902253173.html", "https://www.lazada.vn/products/combo-50-vien-keo-socola-noel-giang-sinh-qua-tang-dac-biet-cho-be-i2902253173.html")</f>
        <v>https://www.lazada.vn/products/combo-50-vien-keo-socola-noel-giang-sinh-qua-tang-dac-biet-cho-be-i2902253173.html</v>
      </c>
      <c r="C6714" s="10" t="s">
        <v>6714</v>
      </c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>
      <c r="A6715" s="8">
        <v>11569.0</v>
      </c>
      <c r="B6715" s="9" t="str">
        <f>HYPERLINK("https://www.lazada.vn/products/ca-dua-1-nang-topfreshi-size-dai-15-2kgcon-thit-day-ngot-chuan-vi-bien-i3017005384.html", "https://www.lazada.vn/products/ca-dua-1-nang-topfreshi-size-dai-15-2kgcon-thit-day-ngot-chuan-vi-bien-i3017005384.html")</f>
        <v>https://www.lazada.vn/products/ca-dua-1-nang-topfreshi-size-dai-15-2kgcon-thit-day-ngot-chuan-vi-bien-i3017005384.html</v>
      </c>
      <c r="C6715" s="10" t="s">
        <v>6715</v>
      </c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>
      <c r="A6716" s="8">
        <v>11570.0</v>
      </c>
      <c r="B6716" s="9" t="str">
        <f>HYPERLINK("https://www.lazada.vn/products/vang-da-lat-strong-red-wine-750ml-i2545392345.html", "https://www.lazada.vn/products/vang-da-lat-strong-red-wine-750ml-i2545392345.html")</f>
        <v>https://www.lazada.vn/products/vang-da-lat-strong-red-wine-750ml-i2545392345.html</v>
      </c>
      <c r="C6716" s="10" t="s">
        <v>6716</v>
      </c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>
      <c r="A6717" s="8">
        <v>11571.0</v>
      </c>
      <c r="B6717" s="9" t="str">
        <f>HYPERLINK("https://www.lazada.vn/products/bia-cernovar-dark-45-nhap-khau-tiep-1-lon-500ml-i2896433599.html", "https://www.lazada.vn/products/bia-cernovar-dark-45-nhap-khau-tiep-1-lon-500ml-i2896433599.html")</f>
        <v>https://www.lazada.vn/products/bia-cernovar-dark-45-nhap-khau-tiep-1-lon-500ml-i2896433599.html</v>
      </c>
      <c r="C6717" s="10" t="s">
        <v>6717</v>
      </c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>
      <c r="A6718" s="8">
        <v>11572.0</v>
      </c>
      <c r="B6718" s="9" t="str">
        <f>HYPERLINK("https://www.lazada.vn/products/vi-cu-nuoc-ep-giai-phap-cho-suc-khoe-sinh-ly-nam-nu-multi-juice-10-goihop-i2740521731.html", "https://www.lazada.vn/products/vi-cu-nuoc-ep-giai-phap-cho-suc-khoe-sinh-ly-nam-nu-multi-juice-10-goihop-i2740521731.html")</f>
        <v>https://www.lazada.vn/products/vi-cu-nuoc-ep-giai-phap-cho-suc-khoe-sinh-ly-nam-nu-multi-juice-10-goihop-i2740521731.html</v>
      </c>
      <c r="C6718" s="10" t="s">
        <v>6718</v>
      </c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>
      <c r="A6719" s="8">
        <v>11573.0</v>
      </c>
      <c r="B6719" s="9" t="str">
        <f>HYPERLINK("https://www.lazada.vn/products/tinh-bot-chuoi-xiem-xanh-say-lanh-sieu-thuc-pham-dinh-duong-hop-500gr-i2718570435.html", "https://www.lazada.vn/products/tinh-bot-chuoi-xiem-xanh-say-lanh-sieu-thuc-pham-dinh-duong-hop-500gr-i2718570435.html")</f>
        <v>https://www.lazada.vn/products/tinh-bot-chuoi-xiem-xanh-say-lanh-sieu-thuc-pham-dinh-duong-hop-500gr-i2718570435.html</v>
      </c>
      <c r="C6719" s="10" t="s">
        <v>6719</v>
      </c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>
      <c r="A6720" s="8">
        <v>11574.0</v>
      </c>
      <c r="B6720" s="9" t="str">
        <f>HYPERLINK("https://www.lazada.vn/products/nuoc-tao-len-men-3-vi-tao-thom-dau-dong-chai-i1944025187.html", "https://www.lazada.vn/products/nuoc-tao-len-men-3-vi-tao-thom-dau-dong-chai-i1944025187.html")</f>
        <v>https://www.lazada.vn/products/nuoc-tao-len-men-3-vi-tao-thom-dau-dong-chai-i1944025187.html</v>
      </c>
      <c r="C6720" s="10" t="s">
        <v>6720</v>
      </c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>
      <c r="A6721" s="8">
        <v>11575.0</v>
      </c>
      <c r="B6721" s="9" t="str">
        <f>HYPERLINK("https://www.lazada.vn/products/ca-phe-sau-rieng-tui-600g-30-goi-x-20g-rock-cafe-i2675867235.html", "https://www.lazada.vn/products/ca-phe-sau-rieng-tui-600g-30-goi-x-20g-rock-cafe-i2675867235.html")</f>
        <v>https://www.lazada.vn/products/ca-phe-sau-rieng-tui-600g-30-goi-x-20g-rock-cafe-i2675867235.html</v>
      </c>
      <c r="C6721" s="10" t="s">
        <v>6721</v>
      </c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>
      <c r="A6722" s="8">
        <v>11576.0</v>
      </c>
      <c r="B6722" s="9" t="str">
        <f>HYPERLINK("https://www.lazada.vn/products/banh-cuon-vi-rong-bien-joongma-go-han-quoc-365g-ll181-i358724724.html", "https://www.lazada.vn/products/banh-cuon-vi-rong-bien-joongma-go-han-quoc-365g-ll181-i358724724.html")</f>
        <v>https://www.lazada.vn/products/banh-cuon-vi-rong-bien-joongma-go-han-quoc-365g-ll181-i358724724.html</v>
      </c>
      <c r="C6722" s="10" t="s">
        <v>6722</v>
      </c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>
      <c r="A6723" s="8">
        <v>11577.0</v>
      </c>
      <c r="B6723" s="9" t="str">
        <f>HYPERLINK("https://www.lazada.vn/products/500g-banh-trang-deo-hanh-ot-phoi-suong-i2366937876.html", "https://www.lazada.vn/products/500g-banh-trang-deo-hanh-ot-phoi-suong-i2366937876.html")</f>
        <v>https://www.lazada.vn/products/500g-banh-trang-deo-hanh-ot-phoi-suong-i2366937876.html</v>
      </c>
      <c r="C6723" s="10" t="s">
        <v>6723</v>
      </c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>
      <c r="A6724" s="8">
        <v>11578.0</v>
      </c>
      <c r="B6724" s="9" t="str">
        <f>HYPERLINK("https://www.lazada.vn/products/chocolate-hoa-tan-aik-cheong-malaysia-chocolate-cafe-art-600g-15-goi-x-40g-i1540853813.html", "https://www.lazada.vn/products/chocolate-hoa-tan-aik-cheong-malaysia-chocolate-cafe-art-600g-15-goi-x-40g-i1540853813.html")</f>
        <v>https://www.lazada.vn/products/chocolate-hoa-tan-aik-cheong-malaysia-chocolate-cafe-art-600g-15-goi-x-40g-i1540853813.html</v>
      </c>
      <c r="C6724" s="10" t="s">
        <v>6724</v>
      </c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>
      <c r="A6725" s="8">
        <v>11579.0</v>
      </c>
      <c r="B6725" s="9" t="str">
        <f>HYPERLINK("https://www.lazada.vn/products/thung-30-goi-mi-omachi-tom-chua-cay-80gr-68791-i3016425953.html", "https://www.lazada.vn/products/thung-30-goi-mi-omachi-tom-chua-cay-80gr-68791-i3016425953.html")</f>
        <v>https://www.lazada.vn/products/thung-30-goi-mi-omachi-tom-chua-cay-80gr-68791-i3016425953.html</v>
      </c>
      <c r="C6725" s="10" t="s">
        <v>6725</v>
      </c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>
      <c r="A6726" s="8">
        <v>11580.0</v>
      </c>
      <c r="B6726" s="9" t="str">
        <f>HYPERLINK("https://www.lazada.vn/products/gia-vi-haidilao-lau-tu-soi-lau-rau-cu-tu-soi-vi-ca-chua-vi-mala-cay-te-i3015729582.html", "https://www.lazada.vn/products/gia-vi-haidilao-lau-tu-soi-lau-rau-cu-tu-soi-vi-ca-chua-vi-mala-cay-te-i3015729582.html")</f>
        <v>https://www.lazada.vn/products/gia-vi-haidilao-lau-tu-soi-lau-rau-cu-tu-soi-vi-ca-chua-vi-mala-cay-te-i3015729582.html</v>
      </c>
      <c r="C6726" s="10" t="s">
        <v>6726</v>
      </c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>
      <c r="A6727" s="8">
        <v>11581.0</v>
      </c>
      <c r="B6727" s="9" t="str">
        <f>HYPERLINK("https://www.lazada.vn/products/ruou-com-sua-rieu-com-vat-5-lit-i2485209640.html", "https://www.lazada.vn/products/ruou-com-sua-rieu-com-vat-5-lit-i2485209640.html")</f>
        <v>https://www.lazada.vn/products/ruou-com-sua-rieu-com-vat-5-lit-i2485209640.html</v>
      </c>
      <c r="C6727" s="10" t="s">
        <v>6727</v>
      </c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>
      <c r="A6728" s="8">
        <v>11582.0</v>
      </c>
      <c r="B6728" s="9" t="str">
        <f>HYPERLINK("https://www.lazada.vn/products/thach-dua-rim-chanh-day-hu-1kg-i2655910009.html", "https://www.lazada.vn/products/thach-dua-rim-chanh-day-hu-1kg-i2655910009.html")</f>
        <v>https://www.lazada.vn/products/thach-dua-rim-chanh-day-hu-1kg-i2655910009.html</v>
      </c>
      <c r="C6728" s="10" t="s">
        <v>6728</v>
      </c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>
      <c r="A6729" s="8">
        <v>11583.0</v>
      </c>
      <c r="B6729" s="9" t="str">
        <f>HYPERLINK("https://www.lazada.vn/products/ca-phen-phile-khay-500g-giao-hcm-i3016543483.html", "https://www.lazada.vn/products/ca-phen-phile-khay-500g-giao-hcm-i3016543483.html")</f>
        <v>https://www.lazada.vn/products/ca-phen-phile-khay-500g-giao-hcm-i3016543483.html</v>
      </c>
      <c r="C6729" s="10" t="s">
        <v>6729</v>
      </c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>
      <c r="A6730" s="8">
        <v>11584.0</v>
      </c>
      <c r="B6730" s="9" t="str">
        <f>HYPERLINK("https://www.lazada.vn/products/tang-tui-giay-banh-quy-cookies-bo-sua-hanh-nhan-top-savor-hop-thiec-460g-lam-qua-tang-b230-beegin-mart-i2885180922.html", "https://www.lazada.vn/products/tang-tui-giay-banh-quy-cookies-bo-sua-hanh-nhan-top-savor-hop-thiec-460g-lam-qua-tang-b230-beegin-mart-i2885180922.html")</f>
        <v>https://www.lazada.vn/products/tang-tui-giay-banh-quy-cookies-bo-sua-hanh-nhan-top-savor-hop-thiec-460g-lam-qua-tang-b230-beegin-mart-i2885180922.html</v>
      </c>
      <c r="C6730" s="10" t="s">
        <v>6730</v>
      </c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>
      <c r="A6731" s="8">
        <v>11585.0</v>
      </c>
      <c r="B6731" s="9" t="str">
        <f>HYPERLINK("https://www.lazada.vn/products/top-ruou-vn-ruou-vodka-poliakov-200ml-700ml-chinh-hang-i2200710750.html", "https://www.lazada.vn/products/top-ruou-vn-ruou-vodka-poliakov-200ml-700ml-chinh-hang-i2200710750.html")</f>
        <v>https://www.lazada.vn/products/top-ruou-vn-ruou-vodka-poliakov-200ml-700ml-chinh-hang-i2200710750.html</v>
      </c>
      <c r="C6731" s="10" t="s">
        <v>6731</v>
      </c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>
      <c r="A6732" s="8">
        <v>11586.0</v>
      </c>
      <c r="B6732" s="9" t="str">
        <f>HYPERLINK("https://www.lazada.vn/products/bia-la-trappe-dubbel-7-nhap-khau-ha-lan-1-chai-330ml-i2896423632.html", "https://www.lazada.vn/products/bia-la-trappe-dubbel-7-nhap-khau-ha-lan-1-chai-330ml-i2896423632.html")</f>
        <v>https://www.lazada.vn/products/bia-la-trappe-dubbel-7-nhap-khau-ha-lan-1-chai-330ml-i2896423632.html</v>
      </c>
      <c r="C6732" s="10" t="s">
        <v>6732</v>
      </c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>
      <c r="A6733" s="8">
        <v>11587.0</v>
      </c>
      <c r="B6733" s="9" t="str">
        <f>HYPERLINK("https://www.lazada.vn/products/vang-da-lat-superior-red-wine-750-ml-i2545280968.html", "https://www.lazada.vn/products/vang-da-lat-superior-red-wine-750-ml-i2545280968.html")</f>
        <v>https://www.lazada.vn/products/vang-da-lat-superior-red-wine-750-ml-i2545280968.html</v>
      </c>
      <c r="C6733" s="10" t="s">
        <v>6733</v>
      </c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>
      <c r="A6734" s="8">
        <v>11588.0</v>
      </c>
      <c r="B6734" s="9" t="str">
        <f>HYPERLINK("https://www.lazada.vn/products/thung-24-chai-nuoc-uong-sua-trai-cay-mang-cau-tu-nhien-th-true-juice-milk-300ml-x-24-i2739984158.html", "https://www.lazada.vn/products/thung-24-chai-nuoc-uong-sua-trai-cay-mang-cau-tu-nhien-th-true-juice-milk-300ml-x-24-i2739984158.html")</f>
        <v>https://www.lazada.vn/products/thung-24-chai-nuoc-uong-sua-trai-cay-mang-cau-tu-nhien-th-true-juice-milk-300ml-x-24-i2739984158.html</v>
      </c>
      <c r="C6734" s="10" t="s">
        <v>6734</v>
      </c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>
      <c r="A6735" s="8">
        <v>11589.0</v>
      </c>
      <c r="B6735" s="9" t="str">
        <f>HYPERLINK("https://www.lazada.vn/products/cb-15-goi-mi-kokomi-pro-vi-canh-chua-82gr-40841-i3015649985.html", "https://www.lazada.vn/products/cb-15-goi-mi-kokomi-pro-vi-canh-chua-82gr-40841-i3015649985.html")</f>
        <v>https://www.lazada.vn/products/cb-15-goi-mi-kokomi-pro-vi-canh-chua-82gr-40841-i3015649985.html</v>
      </c>
      <c r="C6735" s="10" t="s">
        <v>6735</v>
      </c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>
      <c r="A6736" s="8">
        <v>11590.0</v>
      </c>
      <c r="B6736" s="9" t="str">
        <f>HYPERLINK("https://www.lazada.vn/products/vang-da-lat-excellence-red-wine-750ml-i2545204735.html", "https://www.lazada.vn/products/vang-da-lat-excellence-red-wine-750ml-i2545204735.html")</f>
        <v>https://www.lazada.vn/products/vang-da-lat-excellence-red-wine-750ml-i2545204735.html</v>
      </c>
      <c r="C6736" s="10" t="s">
        <v>6736</v>
      </c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>
      <c r="A6737" s="8">
        <v>11591.0</v>
      </c>
      <c r="B6737" s="9" t="str">
        <f>HYPERLINK("https://www.lazada.vn/products/nuoc-ngot-fanta-vi-nho-va-cam-thung-30-lon-160ml-i2738841898.html", "https://www.lazada.vn/products/nuoc-ngot-fanta-vi-nho-va-cam-thung-30-lon-160ml-i2738841898.html")</f>
        <v>https://www.lazada.vn/products/nuoc-ngot-fanta-vi-nho-va-cam-thung-30-lon-160ml-i2738841898.html</v>
      </c>
      <c r="C6737" s="10" t="s">
        <v>6737</v>
      </c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>
      <c r="A6738" s="8">
        <v>11592.0</v>
      </c>
      <c r="B6738" s="9" t="str">
        <f>HYPERLINK("https://www.lazada.vn/products/tang-tui-giay-banh-quy-cookies-bo-sua-hanh-nhan-top-savor-hop-thiec-460g-lam-qua-tang-b230-chuyen-si-tpnk-i2885171933.html", "https://www.lazada.vn/products/tang-tui-giay-banh-quy-cookies-bo-sua-hanh-nhan-top-savor-hop-thiec-460g-lam-qua-tang-b230-chuyen-si-tpnk-i2885171933.html")</f>
        <v>https://www.lazada.vn/products/tang-tui-giay-banh-quy-cookies-bo-sua-hanh-nhan-top-savor-hop-thiec-460g-lam-qua-tang-b230-chuyen-si-tpnk-i2885171933.html</v>
      </c>
      <c r="C6738" s="10" t="s">
        <v>6738</v>
      </c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>
      <c r="A6739" s="8">
        <v>11593.0</v>
      </c>
      <c r="B6739" s="9" t="str">
        <f>HYPERLINK("https://www.lazada.vn/products/bo-qua-tang-2-chai-vang-long-phung-750ml-i2545174859.html", "https://www.lazada.vn/products/bo-qua-tang-2-chai-vang-long-phung-750ml-i2545174859.html")</f>
        <v>https://www.lazada.vn/products/bo-qua-tang-2-chai-vang-long-phung-750ml-i2545174859.html</v>
      </c>
      <c r="C6739" s="10" t="s">
        <v>6739</v>
      </c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>
      <c r="A6740" s="8">
        <v>11594.0</v>
      </c>
      <c r="B6740" s="9" t="str">
        <f>HYPERLINK("https://www.lazada.vn/products/mi-goi-vi-chua-cay-7-cap-do-koreno-jumbo-han-quoc-100g-i3011387529.html", "https://www.lazada.vn/products/mi-goi-vi-chua-cay-7-cap-do-koreno-jumbo-han-quoc-100g-i3011387529.html")</f>
        <v>https://www.lazada.vn/products/mi-goi-vi-chua-cay-7-cap-do-koreno-jumbo-han-quoc-100g-i3011387529.html</v>
      </c>
      <c r="C6740" s="10" t="s">
        <v>6740</v>
      </c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>
      <c r="A6741" s="8">
        <v>11595.0</v>
      </c>
      <c r="B6741" s="9" t="str">
        <f>HYPERLINK("https://www.lazada.vn/products/nuoc-ngot-co-gas-chai-15-lit-pepsi-coca-7-up-me-da-fanta-i2738279026.html", "https://www.lazada.vn/products/nuoc-ngot-co-gas-chai-15-lit-pepsi-coca-7-up-me-da-fanta-i2738279026.html")</f>
        <v>https://www.lazada.vn/products/nuoc-ngot-co-gas-chai-15-lit-pepsi-coca-7-up-me-da-fanta-i2738279026.html</v>
      </c>
      <c r="C6741" s="10" t="s">
        <v>6741</v>
      </c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>
      <c r="A6742" s="8">
        <v>11596.0</v>
      </c>
      <c r="B6742" s="9" t="str">
        <f>HYPERLINK("https://www.lazada.vn/products/thach-dua-rim-chanh-day-hu-1kg-i2655844263.html", "https://www.lazada.vn/products/thach-dua-rim-chanh-day-hu-1kg-i2655844263.html")</f>
        <v>https://www.lazada.vn/products/thach-dua-rim-chanh-day-hu-1kg-i2655844263.html</v>
      </c>
      <c r="C6742" s="10" t="s">
        <v>6742</v>
      </c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>
      <c r="A6743" s="8">
        <v>11597.0</v>
      </c>
      <c r="B6743" s="9" t="str">
        <f>HYPERLINK("https://www.lazada.vn/products/top-ruou-vn-ruou-vodka-smirnoff-red-700ml-chinh-hang-i2195733143.html", "https://www.lazada.vn/products/top-ruou-vn-ruou-vodka-smirnoff-red-700ml-chinh-hang-i2195733143.html")</f>
        <v>https://www.lazada.vn/products/top-ruou-vn-ruou-vodka-smirnoff-red-700ml-chinh-hang-i2195733143.html</v>
      </c>
      <c r="C6743" s="10" t="s">
        <v>6743</v>
      </c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>
      <c r="A6744" s="8">
        <v>11598.0</v>
      </c>
      <c r="B6744" s="9" t="str">
        <f>HYPERLINK("https://www.lazada.vn/products/bia-cernovar-dark-45-nhap-khau-tiep-1-lon-500ml-i2896413663.html", "https://www.lazada.vn/products/bia-cernovar-dark-45-nhap-khau-tiep-1-lon-500ml-i2896413663.html")</f>
        <v>https://www.lazada.vn/products/bia-cernovar-dark-45-nhap-khau-tiep-1-lon-500ml-i2896413663.html</v>
      </c>
      <c r="C6744" s="10" t="s">
        <v>6744</v>
      </c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>
      <c r="A6745" s="8">
        <v>11599.0</v>
      </c>
      <c r="B6745" s="9" t="str">
        <f>HYPERLINK("https://www.lazada.vn/products/tang-tui-giay-banh-quy-cookies-bo-sua-hanh-nhan-top-savor-hop-thiec-460g-lam-qua-tang-b230-sieu-thi-beegin-i2885157765.html", "https://www.lazada.vn/products/tang-tui-giay-banh-quy-cookies-bo-sua-hanh-nhan-top-savor-hop-thiec-460g-lam-qua-tang-b230-sieu-thi-beegin-i2885157765.html")</f>
        <v>https://www.lazada.vn/products/tang-tui-giay-banh-quy-cookies-bo-sua-hanh-nhan-top-savor-hop-thiec-460g-lam-qua-tang-b230-sieu-thi-beegin-i2885157765.html</v>
      </c>
      <c r="C6745" s="10" t="s">
        <v>6745</v>
      </c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>
      <c r="A6746" s="8">
        <v>11600.0</v>
      </c>
      <c r="B6746" s="9" t="str">
        <f>HYPERLINK("https://www.lazada.vn/products/vang-da-lat-classic-red-wine-750-ml-i2545158715.html", "https://www.lazada.vn/products/vang-da-lat-classic-red-wine-750-ml-i2545158715.html")</f>
        <v>https://www.lazada.vn/products/vang-da-lat-classic-red-wine-750-ml-i2545158715.html</v>
      </c>
      <c r="C6746" s="10" t="s">
        <v>6746</v>
      </c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>
      <c r="A6747" s="8">
        <v>11601.0</v>
      </c>
      <c r="B6747" s="9" t="str">
        <f>HYPERLINK("https://www.lazada.vn/products/nuoc-trai-cay-dai-loan-vi-le-tuyet-duong-phen-dao-mat-chai-1l-n09-store-gia-ngan-i2738277432.html", "https://www.lazada.vn/products/nuoc-trai-cay-dai-loan-vi-le-tuyet-duong-phen-dao-mat-chai-1l-n09-store-gia-ngan-i2738277432.html")</f>
        <v>https://www.lazada.vn/products/nuoc-trai-cay-dai-loan-vi-le-tuyet-duong-phen-dao-mat-chai-1l-n09-store-gia-ngan-i2738277432.html</v>
      </c>
      <c r="C6747" s="10" t="s">
        <v>6747</v>
      </c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>
      <c r="A6748" s="8">
        <v>11602.0</v>
      </c>
      <c r="B6748" s="9" t="str">
        <f>HYPERLINK("https://www.lazada.vn/products/com-ca-ri-ga-thuan-chay-94g-au-lac-i2997264167.html", "https://www.lazada.vn/products/com-ca-ri-ga-thuan-chay-94g-au-lac-i2997264167.html")</f>
        <v>https://www.lazada.vn/products/com-ca-ri-ga-thuan-chay-94g-au-lac-i2997264167.html</v>
      </c>
      <c r="C6748" s="10" t="s">
        <v>6748</v>
      </c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>
      <c r="A6749" s="8">
        <v>11603.0</v>
      </c>
      <c r="B6749" s="9" t="str">
        <f>HYPERLINK("https://www.lazada.vn/products/banh-trang-tron-muoi-pho-mai-me-beo-ngay-an-vat-ogi-food-chuyen-si-banh-trang-tay-ninh-cac-loai-i2361827744.html", "https://www.lazada.vn/products/banh-trang-tron-muoi-pho-mai-me-beo-ngay-an-vat-ogi-food-chuyen-si-banh-trang-tay-ninh-cac-loai-i2361827744.html")</f>
        <v>https://www.lazada.vn/products/banh-trang-tron-muoi-pho-mai-me-beo-ngay-an-vat-ogi-food-chuyen-si-banh-trang-tay-ninh-cac-loai-i2361827744.html</v>
      </c>
      <c r="C6749" s="10" t="s">
        <v>6749</v>
      </c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>
      <c r="A6750" s="8">
        <v>11604.0</v>
      </c>
      <c r="B6750" s="9" t="str">
        <f>HYPERLINK("https://www.lazada.vn/products/ca-phe-nguyen-chat-huu-co-arabica-cau-dat-the-organic-vi-chua-thanh-dung-pha-cold-brew-500-gram-i2675752793.html", "https://www.lazada.vn/products/ca-phe-nguyen-chat-huu-co-arabica-cau-dat-the-organic-vi-chua-thanh-dung-pha-cold-brew-500-gram-i2675752793.html")</f>
        <v>https://www.lazada.vn/products/ca-phe-nguyen-chat-huu-co-arabica-cau-dat-the-organic-vi-chua-thanh-dung-pha-cold-brew-500-gram-i2675752793.html</v>
      </c>
      <c r="C6750" s="10" t="s">
        <v>6750</v>
      </c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>
      <c r="A6751" s="8">
        <v>11605.0</v>
      </c>
      <c r="B6751" s="9" t="str">
        <f>HYPERLINK("https://www.lazada.vn/products/bia-reeper-b-duc-500ml-lua-mach-lua-mi-i1939836430.html", "https://www.lazada.vn/products/bia-reeper-b-duc-500ml-lua-mach-lua-mi-i1939836430.html")</f>
        <v>https://www.lazada.vn/products/bia-reeper-b-duc-500ml-lua-mach-lua-mi-i1939836430.html</v>
      </c>
      <c r="C6751" s="10" t="s">
        <v>6751</v>
      </c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>
      <c r="A6752" s="8">
        <v>11606.0</v>
      </c>
      <c r="B6752" s="9" t="str">
        <f>HYPERLINK("https://www.lazada.vn/products/1kg-bot-sua-tuyet-lam-bingsu-lucky-vn-star-ls-t70-bot-kem-tuyet-thom-ngon-beo-ngay-i2714750011.html", "https://www.lazada.vn/products/1kg-bot-sua-tuyet-lam-bingsu-lucky-vn-star-ls-t70-bot-kem-tuyet-thom-ngon-beo-ngay-i2714750011.html")</f>
        <v>https://www.lazada.vn/products/1kg-bot-sua-tuyet-lam-bingsu-lucky-vn-star-ls-t70-bot-kem-tuyet-thom-ngon-beo-ngay-i2714750011.html</v>
      </c>
      <c r="C6752" s="10" t="s">
        <v>6752</v>
      </c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>
      <c r="A6753" s="8">
        <v>11607.0</v>
      </c>
      <c r="B6753" s="9" t="str">
        <f>HYPERLINK("https://www.lazada.vn/products/keo-socola-gau-truc-panda-3d-keo-socola-hinh-gau-truc_an-vat-denfood-i2900490686.html", "https://www.lazada.vn/products/keo-socola-gau-truc-panda-3d-keo-socola-hinh-gau-truc_an-vat-denfood-i2900490686.html")</f>
        <v>https://www.lazada.vn/products/keo-socola-gau-truc-panda-3d-keo-socola-hinh-gau-truc_an-vat-denfood-i2900490686.html</v>
      </c>
      <c r="C6753" s="10" t="s">
        <v>6753</v>
      </c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>
      <c r="A6754" s="8">
        <v>11608.0</v>
      </c>
      <c r="B6754" s="9" t="str">
        <f>HYPERLINK("https://www.lazada.vn/products/thung-mi-to-siukay-tia-chop-huong-vi-hai-san-12-to-x-96g-i2892974898.html", "https://www.lazada.vn/products/thung-mi-to-siukay-tia-chop-huong-vi-hai-san-12-to-x-96g-i2892974898.html")</f>
        <v>https://www.lazada.vn/products/thung-mi-to-siukay-tia-chop-huong-vi-hai-san-12-to-x-96g-i2892974898.html</v>
      </c>
      <c r="C6754" s="10" t="s">
        <v>6754</v>
      </c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>
      <c r="A6755" s="8">
        <v>11609.0</v>
      </c>
      <c r="B6755" s="9" t="str">
        <f>HYPERLINK("https://www.lazada.vn/products/tran-chau-3q-viet-nam-2kg-tran-chau-gion-su-dung-lien-i2655631448.html", "https://www.lazada.vn/products/tran-chau-3q-viet-nam-2kg-tran-chau-gion-su-dung-lien-i2655631448.html")</f>
        <v>https://www.lazada.vn/products/tran-chau-3q-viet-nam-2kg-tran-chau-gion-su-dung-lien-i2655631448.html</v>
      </c>
      <c r="C6755" s="10" t="s">
        <v>6755</v>
      </c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>
      <c r="A6756" s="8">
        <v>11610.0</v>
      </c>
      <c r="B6756" s="9" t="str">
        <f>HYPERLINK("https://www.lazada.vn/products/ruou-com-sua-rieu-com-vat-1-lit-i2485166746.html", "https://www.lazada.vn/products/ruou-com-sua-rieu-com-vat-1-lit-i2485166746.html")</f>
        <v>https://www.lazada.vn/products/ruou-com-sua-rieu-com-vat-1-lit-i2485166746.html</v>
      </c>
      <c r="C6756" s="10" t="s">
        <v>6756</v>
      </c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>
      <c r="A6757" s="8">
        <v>11611.0</v>
      </c>
      <c r="B6757" s="9" t="str">
        <f>HYPERLINK("https://www.lazada.vn/products/ca-nuc-man-sach-sieu-ngon-bich-1kg-giao-tphcm-i3016531618.html", "https://www.lazada.vn/products/ca-nuc-man-sach-sieu-ngon-bich-1kg-giao-tphcm-i3016531618.html")</f>
        <v>https://www.lazada.vn/products/ca-nuc-man-sach-sieu-ngon-bich-1kg-giao-tphcm-i3016531618.html</v>
      </c>
      <c r="C6757" s="10" t="s">
        <v>6757</v>
      </c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>
      <c r="A6758" s="8">
        <v>11612.0</v>
      </c>
      <c r="B6758" s="9" t="str">
        <f>HYPERLINK("https://www.lazada.vn/products/top-ruou-vn-ruou-vodka-danzka-700ml-1000ml-chinh-hang-i2190964691.html", "https://www.lazada.vn/products/top-ruou-vn-ruou-vodka-danzka-700ml-1000ml-chinh-hang-i2190964691.html")</f>
        <v>https://www.lazada.vn/products/top-ruou-vn-ruou-vodka-danzka-700ml-1000ml-chinh-hang-i2190964691.html</v>
      </c>
      <c r="C6758" s="10" t="s">
        <v>6758</v>
      </c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>
      <c r="A6759" s="8">
        <v>11613.0</v>
      </c>
      <c r="B6759" s="9" t="str">
        <f>HYPERLINK("https://www.lazada.vn/products/bia-su-schorsch-weizen-13-nhap-khau-duc-1-thung-6-chai-500ml-i2896400735.html", "https://www.lazada.vn/products/bia-su-schorsch-weizen-13-nhap-khau-duc-1-thung-6-chai-500ml-i2896400735.html")</f>
        <v>https://www.lazada.vn/products/bia-su-schorsch-weizen-13-nhap-khau-duc-1-thung-6-chai-500ml-i2896400735.html</v>
      </c>
      <c r="C6759" s="10" t="s">
        <v>6759</v>
      </c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>
      <c r="A6760" s="8">
        <v>11614.0</v>
      </c>
      <c r="B6760" s="9" t="str">
        <f>HYPERLINK("https://www.lazada.vn/products/tang-tui-giay-banh-quy-cookies-bo-sua-hanh-nhan-top-savor-hop-thiec-460g-lam-qua-tang-b230-gia-ngan-food-i2885130967.html", "https://www.lazada.vn/products/tang-tui-giay-banh-quy-cookies-bo-sua-hanh-nhan-top-savor-hop-thiec-460g-lam-qua-tang-b230-gia-ngan-food-i2885130967.html")</f>
        <v>https://www.lazada.vn/products/tang-tui-giay-banh-quy-cookies-bo-sua-hanh-nhan-top-savor-hop-thiec-460g-lam-qua-tang-b230-gia-ngan-food-i2885130967.html</v>
      </c>
      <c r="C6760" s="10" t="s">
        <v>6760</v>
      </c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>
      <c r="A6761" s="8">
        <v>11615.0</v>
      </c>
      <c r="B6761" s="9" t="str">
        <f>HYPERLINK("https://www.lazada.vn/products/hop-son-mai-cao-cap-6-chai-vang-y-vincenzo-3-mau-tuy-chon-i2539410121.html", "https://www.lazada.vn/products/hop-son-mai-cao-cap-6-chai-vang-y-vincenzo-3-mau-tuy-chon-i2539410121.html")</f>
        <v>https://www.lazada.vn/products/hop-son-mai-cao-cap-6-chai-vang-y-vincenzo-3-mau-tuy-chon-i2539410121.html</v>
      </c>
      <c r="C6761" s="10" t="s">
        <v>6761</v>
      </c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>
      <c r="A6762" s="8">
        <v>11616.0</v>
      </c>
      <c r="B6762" s="9" t="str">
        <f>HYPERLINK("https://www.lazada.vn/products/nuoc-ep-nho-den-rosso-sparkling-natural-dark-grape-juice-750ml-i2737255152.html", "https://www.lazada.vn/products/nuoc-ep-nho-den-rosso-sparkling-natural-dark-grape-juice-750ml-i2737255152.html")</f>
        <v>https://www.lazada.vn/products/nuoc-ep-nho-den-rosso-sparkling-natural-dark-grape-juice-750ml-i2737255152.html</v>
      </c>
      <c r="C6762" s="10" t="s">
        <v>6762</v>
      </c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>
      <c r="A6763" s="8">
        <v>11617.0</v>
      </c>
      <c r="B6763" s="9" t="str">
        <f>HYPERLINK("https://www.lazada.vn/products/keo-sap-nhieu-vi-goi-15-vien-i2683494122.html", "https://www.lazada.vn/products/keo-sap-nhieu-vi-goi-15-vien-i2683494122.html")</f>
        <v>https://www.lazada.vn/products/keo-sap-nhieu-vi-goi-15-vien-i2683494122.html</v>
      </c>
      <c r="C6763" s="10" t="s">
        <v>6763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>
      <c r="A6764" s="8">
        <v>11618.0</v>
      </c>
      <c r="B6764" s="9" t="str">
        <f>HYPERLINK("https://www.lazada.vn/products/nuoc-ngot-vi-cafe-walk-up-247-330ml-loc-6-chai-i2734352650.html", "https://www.lazada.vn/products/nuoc-ngot-vi-cafe-walk-up-247-330ml-loc-6-chai-i2734352650.html")</f>
        <v>https://www.lazada.vn/products/nuoc-ngot-vi-cafe-walk-up-247-330ml-loc-6-chai-i2734352650.html</v>
      </c>
      <c r="C6764" s="10" t="s">
        <v>6764</v>
      </c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>
      <c r="A6765" s="8">
        <v>11619.0</v>
      </c>
      <c r="B6765" s="9" t="str">
        <f>HYPERLINK("https://www.lazada.vn/products/bia-su-schorsch-weizen-13-nhap-khau-duc-1-chai-500ml-i2896379978.html", "https://www.lazada.vn/products/bia-su-schorsch-weizen-13-nhap-khau-duc-1-chai-500ml-i2896379978.html")</f>
        <v>https://www.lazada.vn/products/bia-su-schorsch-weizen-13-nhap-khau-duc-1-chai-500ml-i2896379978.html</v>
      </c>
      <c r="C6765" s="10" t="s">
        <v>6765</v>
      </c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>
      <c r="A6766" s="8">
        <v>11620.0</v>
      </c>
      <c r="B6766" s="9" t="str">
        <f>HYPERLINK("https://www.lazada.vn/products/binh-tay-food-pho-chay-truyen-thong-goi-65gr-i2810762962.html", "https://www.lazada.vn/products/binh-tay-food-pho-chay-truyen-thong-goi-65gr-i2810762962.html")</f>
        <v>https://www.lazada.vn/products/binh-tay-food-pho-chay-truyen-thong-goi-65gr-i2810762962.html</v>
      </c>
      <c r="C6766" s="10" t="s">
        <v>6766</v>
      </c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>
      <c r="A6767" s="8">
        <v>11621.0</v>
      </c>
      <c r="B6767" s="9" t="str">
        <f>HYPERLINK("https://www.lazada.vn/products/top-ruou-vn-ruou-vodka-svedka-cherry-clementine-citron-700ml-chinh-hang-i2190819490.html", "https://www.lazada.vn/products/top-ruou-vn-ruou-vodka-svedka-cherry-clementine-citron-700ml-chinh-hang-i2190819490.html")</f>
        <v>https://www.lazada.vn/products/top-ruou-vn-ruou-vodka-svedka-cherry-clementine-citron-700ml-chinh-hang-i2190819490.html</v>
      </c>
      <c r="C6767" s="10" t="s">
        <v>6767</v>
      </c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>
      <c r="A6768" s="8">
        <v>11622.0</v>
      </c>
      <c r="B6768" s="9" t="str">
        <f>HYPERLINK("https://www.lazada.vn/products/hop-go-6-chai-vang-y-nhan-chien-binh-empire-i2539307720.html", "https://www.lazada.vn/products/hop-go-6-chai-vang-y-nhan-chien-binh-empire-i2539307720.html")</f>
        <v>https://www.lazada.vn/products/hop-go-6-chai-vang-y-nhan-chien-binh-empire-i2539307720.html</v>
      </c>
      <c r="C6768" s="10" t="s">
        <v>6768</v>
      </c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>
      <c r="A6769" s="8">
        <v>11623.0</v>
      </c>
      <c r="B6769" s="9" t="str">
        <f>HYPERLINK("https://www.lazada.vn/products/thach-trai-cay-douxian-hop-25kg-i2655220218.html", "https://www.lazada.vn/products/thach-trai-cay-douxian-hop-25kg-i2655220218.html")</f>
        <v>https://www.lazada.vn/products/thach-trai-cay-douxian-hop-25kg-i2655220218.html</v>
      </c>
      <c r="C6769" s="10" t="s">
        <v>6769</v>
      </c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>
      <c r="A6770" s="8">
        <v>11624.0</v>
      </c>
      <c r="B6770" s="9" t="str">
        <f>HYPERLINK("https://www.lazada.vn/products/chinh-hang-100-banh-dua-nuong-coconut-deli-nguyen-vi-mix-dau-phong-180g-i2881307279.html", "https://www.lazada.vn/products/chinh-hang-100-banh-dua-nuong-coconut-deli-nguyen-vi-mix-dau-phong-180g-i2881307279.html")</f>
        <v>https://www.lazada.vn/products/chinh-hang-100-banh-dua-nuong-coconut-deli-nguyen-vi-mix-dau-phong-180g-i2881307279.html</v>
      </c>
      <c r="C6770" s="10" t="s">
        <v>6770</v>
      </c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>
      <c r="A6771" s="8">
        <v>11625.0</v>
      </c>
      <c r="B6771" s="9" t="str">
        <f>HYPERLINK("https://www.lazada.vn/products/lap-xuong-nuong-da-lap-xuong-tuoi-xuc-xich-trung-lap-xuong-ha-khau-10-cay-i2806840957.html", "https://www.lazada.vn/products/lap-xuong-nuong-da-lap-xuong-tuoi-xuc-xich-trung-lap-xuong-ha-khau-10-cay-i2806840957.html")</f>
        <v>https://www.lazada.vn/products/lap-xuong-nuong-da-lap-xuong-tuoi-xuc-xich-trung-lap-xuong-ha-khau-10-cay-i2806840957.html</v>
      </c>
      <c r="C6771" s="10" t="s">
        <v>6771</v>
      </c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>
      <c r="A6772" s="8">
        <v>11626.0</v>
      </c>
      <c r="B6772" s="9" t="str">
        <f>HYPERLINK("https://www.lazada.vn/products/chay-nhat-hop-go-3-chai-vang-uc-olivia-trang-hay-do-tuy-chon-i2539261113.html", "https://www.lazada.vn/products/chay-nhat-hop-go-3-chai-vang-uc-olivia-trang-hay-do-tuy-chon-i2539261113.html")</f>
        <v>https://www.lazada.vn/products/chay-nhat-hop-go-3-chai-vang-uc-olivia-trang-hay-do-tuy-chon-i2539261113.html</v>
      </c>
      <c r="C6772" s="10" t="s">
        <v>6772</v>
      </c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>
      <c r="A6773" s="8">
        <v>11627.0</v>
      </c>
      <c r="B6773" s="9" t="str">
        <f>HYPERLINK("https://www.lazada.vn/products/hsd-26825-siro-nguyen-ban-country-kitchen-710ml-xi-ro-original-maple-syrup-i2733034409.html", "https://www.lazada.vn/products/hsd-26825-siro-nguyen-ban-country-kitchen-710ml-xi-ro-original-maple-syrup-i2733034409.html")</f>
        <v>https://www.lazada.vn/products/hsd-26825-siro-nguyen-ban-country-kitchen-710ml-xi-ro-original-maple-syrup-i2733034409.html</v>
      </c>
      <c r="C6773" s="10" t="s">
        <v>6773</v>
      </c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>
      <c r="A6774" s="8">
        <v>11628.0</v>
      </c>
      <c r="B6774" s="9" t="str">
        <f>HYPERLINK("https://www.lazada.vn/products/xi-muoi-thit-khong-hat-hop-500g-i2655011640.html", "https://www.lazada.vn/products/xi-muoi-thit-khong-hat-hop-500g-i2655011640.html")</f>
        <v>https://www.lazada.vn/products/xi-muoi-thit-khong-hat-hop-500g-i2655011640.html</v>
      </c>
      <c r="C6774" s="10" t="s">
        <v>6774</v>
      </c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>
      <c r="A6775" s="8">
        <v>11629.0</v>
      </c>
      <c r="B6775" s="9" t="str">
        <f>HYPERLINK("https://www.lazada.vn/products/bia-steiger-tiep-bia-hoa-qua-set-8-lon-i2895627878.html", "https://www.lazada.vn/products/bia-steiger-tiep-bia-hoa-qua-set-8-lon-i2895627878.html")</f>
        <v>https://www.lazada.vn/products/bia-steiger-tiep-bia-hoa-qua-set-8-lon-i2895627878.html</v>
      </c>
      <c r="C6775" s="10" t="s">
        <v>6775</v>
      </c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>
      <c r="A6776" s="8">
        <v>11630.0</v>
      </c>
      <c r="B6776" s="9" t="str">
        <f>HYPERLINK("https://www.lazada.vn/products/banh-marika-hop-thiec-sang-trong-432g-hang-moi-ve-i2863770928.html", "https://www.lazada.vn/products/banh-marika-hop-thiec-sang-trong-432g-hang-moi-ve-i2863770928.html")</f>
        <v>https://www.lazada.vn/products/banh-marika-hop-thiec-sang-trong-432g-hang-moi-ve-i2863770928.html</v>
      </c>
      <c r="C6776" s="10" t="s">
        <v>6776</v>
      </c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>
      <c r="A6777" s="8">
        <v>11631.0</v>
      </c>
      <c r="B6777" s="9" t="str">
        <f>HYPERLINK("https://www.lazada.vn/products/shop-khanh-ha-grey-goose-vodka-700ml-40-i2030683161.html", "https://www.lazada.vn/products/shop-khanh-ha-grey-goose-vodka-700ml-40-i2030683161.html")</f>
        <v>https://www.lazada.vn/products/shop-khanh-ha-grey-goose-vodka-700ml-40-i2030683161.html</v>
      </c>
      <c r="C6777" s="10" t="s">
        <v>6777</v>
      </c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>
      <c r="A6778" s="8">
        <v>11632.0</v>
      </c>
      <c r="B6778" s="9" t="str">
        <f>HYPERLINK("https://www.lazada.vn/products/hop-go-3-chai-vang-uc-encaste-mau-tuy-chon-tang-do-khui-i2538983739.html", "https://www.lazada.vn/products/hop-go-3-chai-vang-uc-encaste-mau-tuy-chon-tang-do-khui-i2538983739.html")</f>
        <v>https://www.lazada.vn/products/hop-go-3-chai-vang-uc-encaste-mau-tuy-chon-tang-do-khui-i2538983739.html</v>
      </c>
      <c r="C6778" s="10" t="s">
        <v>6778</v>
      </c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>
      <c r="A6779" s="8">
        <v>11633.0</v>
      </c>
      <c r="B6779" s="9" t="str">
        <f>HYPERLINK("https://www.lazada.vn/products/combo-25-goi-mi-tuoi-tho-mi-tre-em-vifon-20gr-goi-i2806114247.html", "https://www.lazada.vn/products/combo-25-goi-mi-tuoi-tho-mi-tre-em-vifon-20gr-goi-i2806114247.html")</f>
        <v>https://www.lazada.vn/products/combo-25-goi-mi-tuoi-tho-mi-tre-em-vifon-20gr-goi-i2806114247.html</v>
      </c>
      <c r="C6779" s="10" t="s">
        <v>6779</v>
      </c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>
      <c r="A6780" s="8">
        <v>11634.0</v>
      </c>
      <c r="B6780" s="9" t="str">
        <f>HYPERLINK("https://www.lazada.vn/products/r-uou-sake-etsu-no-hajime-15-do-chai-720-ml-i2483532220.html", "https://www.lazada.vn/products/r-uou-sake-etsu-no-hajime-15-do-chai-720-ml-i2483532220.html")</f>
        <v>https://www.lazada.vn/products/r-uou-sake-etsu-no-hajime-15-do-chai-720-ml-i2483532220.html</v>
      </c>
      <c r="C6780" s="10" t="s">
        <v>6780</v>
      </c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>
      <c r="A6781" s="8">
        <v>11635.0</v>
      </c>
      <c r="B6781" s="9" t="str">
        <f>HYPERLINK("https://www.lazada.vn/products/nuoc-dien-giai-pocari-sweat-500ml-i2654990419.html", "https://www.lazada.vn/products/nuoc-dien-giai-pocari-sweat-500ml-i2654990419.html")</f>
        <v>https://www.lazada.vn/products/nuoc-dien-giai-pocari-sweat-500ml-i2654990419.html</v>
      </c>
      <c r="C6781" s="10" t="s">
        <v>6781</v>
      </c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>
      <c r="A6782" s="8">
        <v>11636.0</v>
      </c>
      <c r="B6782" s="9" t="str">
        <f>HYPERLINK("https://www.lazada.vn/products/nuoc-cot-dua-wonderfarm-160ml-400ml-shop-thu-quan-i2732693272.html", "https://www.lazada.vn/products/nuoc-cot-dua-wonderfarm-160ml-400ml-shop-thu-quan-i2732693272.html")</f>
        <v>https://www.lazada.vn/products/nuoc-cot-dua-wonderfarm-160ml-400ml-shop-thu-quan-i2732693272.html</v>
      </c>
      <c r="C6782" s="10" t="s">
        <v>6782</v>
      </c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>
      <c r="A6783" s="8">
        <v>11637.0</v>
      </c>
      <c r="B6783" s="9" t="str">
        <f>HYPERLINK("https://www.lazada.vn/products/banh-xop-y-loacker-wafer-selection-banh-keo-tet-hop-giay-235g-1-hop-co-2-tui-nho-b25-tknk-beegin-i2838492406.html", "https://www.lazada.vn/products/banh-xop-y-loacker-wafer-selection-banh-keo-tet-hop-giay-235g-1-hop-co-2-tui-nho-b25-tknk-beegin-i2838492406.html")</f>
        <v>https://www.lazada.vn/products/banh-xop-y-loacker-wafer-selection-banh-keo-tet-hop-giay-235g-1-hop-co-2-tui-nho-b25-tknk-beegin-i2838492406.html</v>
      </c>
      <c r="C6783" s="10" t="s">
        <v>6783</v>
      </c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>
      <c r="A6784" s="8">
        <v>11638.0</v>
      </c>
      <c r="B6784" s="9" t="str">
        <f>HYPERLINK("https://www.lazada.vn/products/shop-khanh-ha-ketel-one-vodka-chai700ml-40-i2030675181.html", "https://www.lazada.vn/products/shop-khanh-ha-ketel-one-vodka-chai700ml-40-i2030675181.html")</f>
        <v>https://www.lazada.vn/products/shop-khanh-ha-ketel-one-vodka-chai700ml-40-i2030675181.html</v>
      </c>
      <c r="C6784" s="10" t="s">
        <v>6784</v>
      </c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>
      <c r="A6785" s="8">
        <v>11639.0</v>
      </c>
      <c r="B6785" s="9" t="str">
        <f>HYPERLINK("https://www.lazada.vn/products/thung-24-lon-bia-ha-noi-330ml-habeco-i2893111681.html", "https://www.lazada.vn/products/thung-24-lon-bia-ha-noi-330ml-habeco-i2893111681.html")</f>
        <v>https://www.lazada.vn/products/thung-24-lon-bia-ha-noi-330ml-habeco-i2893111681.html</v>
      </c>
      <c r="C6785" s="10" t="s">
        <v>6785</v>
      </c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>
      <c r="A6786" s="8">
        <v>11640.0</v>
      </c>
      <c r="B6786" s="9" t="str">
        <f>HYPERLINK("https://www.lazada.vn/products/ho-kaka-huong-vi-tuoi-tho-an-vat-492-i2361429423.html", "https://www.lazada.vn/products/ho-kaka-huong-vi-tuoi-tho-an-vat-492-i2361429423.html")</f>
        <v>https://www.lazada.vn/products/ho-kaka-huong-vi-tuoi-tho-an-vat-492-i2361429423.html</v>
      </c>
      <c r="C6786" s="10" t="s">
        <v>6786</v>
      </c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>
      <c r="A6787" s="8">
        <v>11641.0</v>
      </c>
      <c r="B6787" s="9" t="str">
        <f>HYPERLINK("https://www.lazada.vn/products/chinh-hang-ca-phe-sau-rieng-rock-cafe-tui-30-goi-x-20g-mau-moi-cafe-sua-vi-sau-rieng-durian-white-coffee-thom-ngon-dam-vi-ca-phe-sua-hoa-tan-i2674233400.html", "https://www.lazada.vn/products/chinh-hang-ca-phe-sau-rieng-rock-cafe-tui-30-goi-x-20g-mau-moi-cafe-sua-vi-sau-rieng-durian-white-coffee-thom-ngon-dam-vi-ca-phe-sua-hoa-tan-i2674233400.html")</f>
        <v>https://www.lazada.vn/products/chinh-hang-ca-phe-sau-rieng-rock-cafe-tui-30-goi-x-20g-mau-moi-cafe-sua-vi-sau-rieng-durian-white-coffee-thom-ngon-dam-vi-ca-phe-sua-hoa-tan-i2674233400.html</v>
      </c>
      <c r="C6787" s="10" t="s">
        <v>6787</v>
      </c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>
      <c r="A6788" s="8">
        <v>11642.0</v>
      </c>
      <c r="B6788" s="9" t="str">
        <f>HYPERLINK("https://www.lazada.vn/products/sam-banh-hang-nhap-khau-i2535836397.html", "https://www.lazada.vn/products/sam-banh-hang-nhap-khau-i2535836397.html")</f>
        <v>https://www.lazada.vn/products/sam-banh-hang-nhap-khau-i2535836397.html</v>
      </c>
      <c r="C6788" s="10" t="s">
        <v>6788</v>
      </c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>
      <c r="A6789" s="8">
        <v>11643.0</v>
      </c>
      <c r="B6789" s="9" t="str">
        <f>HYPERLINK("https://www.lazada.vn/products/ruou-sake-etsu-no-hajime-15-do-chai-18-l-i2483465600.html", "https://www.lazada.vn/products/ruou-sake-etsu-no-hajime-15-do-chai-18-l-i2483465600.html")</f>
        <v>https://www.lazada.vn/products/ruou-sake-etsu-no-hajime-15-do-chai-18-l-i2483465600.html</v>
      </c>
      <c r="C6789" s="10" t="s">
        <v>6789</v>
      </c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>
      <c r="A6790" s="8">
        <v>11644.0</v>
      </c>
      <c r="B6790" s="9" t="str">
        <f>HYPERLINK("https://www.lazada.vn/products/combo-6chai-nuoc-dua-nha-dam-tingco-chai-450ml-dam-da-thom-ngon-dungvi-lanuoc-giai-khac-thanh-nhiet-lam-mat-giai-toa-moi-suc-nong-cho-co-the-i2732660298.html", "https://www.lazada.vn/products/combo-6chai-nuoc-dua-nha-dam-tingco-chai-450ml-dam-da-thom-ngon-dungvi-lanuoc-giai-khac-thanh-nhiet-lam-mat-giai-toa-moi-suc-nong-cho-co-the-i2732660298.html")</f>
        <v>https://www.lazada.vn/products/combo-6chai-nuoc-dua-nha-dam-tingco-chai-450ml-dam-da-thom-ngon-dungvi-lanuoc-giai-khac-thanh-nhiet-lam-mat-giai-toa-moi-suc-nong-cho-co-the-i2732660298.html</v>
      </c>
      <c r="C6790" s="10" t="s">
        <v>6790</v>
      </c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>
      <c r="A6791" s="8">
        <v>11645.0</v>
      </c>
      <c r="B6791" s="9" t="str">
        <f>HYPERLINK("https://www.lazada.vn/products/banh-quy-bo-lu-hop-310gam-i2825044612.html", "https://www.lazada.vn/products/banh-quy-bo-lu-hop-310gam-i2825044612.html")</f>
        <v>https://www.lazada.vn/products/banh-quy-bo-lu-hop-310gam-i2825044612.html</v>
      </c>
      <c r="C6791" s="10" t="s">
        <v>6791</v>
      </c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>
      <c r="A6792" s="8">
        <v>11646.0</v>
      </c>
      <c r="B6792" s="9" t="str">
        <f>HYPERLINK("https://www.lazada.vn/products/shop-khanh-ha-danzka-vodka-chai750ml-40-i2030675161.html", "https://www.lazada.vn/products/shop-khanh-ha-danzka-vodka-chai750ml-40-i2030675161.html")</f>
        <v>https://www.lazada.vn/products/shop-khanh-ha-danzka-vodka-chai750ml-40-i2030675161.html</v>
      </c>
      <c r="C6792" s="10" t="s">
        <v>6792</v>
      </c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>
      <c r="A6793" s="8">
        <v>11647.0</v>
      </c>
      <c r="B6793" s="9" t="str">
        <f>HYPERLINK("https://www.lazada.vn/products/combo-3-goi-mi-an-lien-miliket-sa-te-goi-65gr-i2806098290.html", "https://www.lazada.vn/products/combo-3-goi-mi-an-lien-miliket-sa-te-goi-65gr-i2806098290.html")</f>
        <v>https://www.lazada.vn/products/combo-3-goi-mi-an-lien-miliket-sa-te-goi-65gr-i2806098290.html</v>
      </c>
      <c r="C6793" s="10" t="s">
        <v>6793</v>
      </c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>
      <c r="A6794" s="8">
        <v>11648.0</v>
      </c>
      <c r="B6794" s="9" t="str">
        <f>HYPERLINK("https://www.lazada.vn/products/nuoc-gao-lut-den-woongjin-15l-ktown-market-i2654666307.html", "https://www.lazada.vn/products/nuoc-gao-lut-den-woongjin-15l-ktown-market-i2654666307.html")</f>
        <v>https://www.lazada.vn/products/nuoc-gao-lut-den-woongjin-15l-ktown-market-i2654666307.html</v>
      </c>
      <c r="C6794" s="10" t="s">
        <v>6794</v>
      </c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>
      <c r="A6795" s="8">
        <v>11649.0</v>
      </c>
      <c r="B6795" s="9" t="str">
        <f>HYPERLINK("https://www.lazada.vn/products/bia-thu-cong-cao-cap-independence-stout-hop-4-chai-500ml-i1871225293.html", "https://www.lazada.vn/products/bia-thu-cong-cao-cap-independence-stout-hop-4-chai-500ml-i1871225293.html")</f>
        <v>https://www.lazada.vn/products/bia-thu-cong-cao-cap-independence-stout-hop-4-chai-500ml-i1871225293.html</v>
      </c>
      <c r="C6795" s="10" t="s">
        <v>6795</v>
      </c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>
      <c r="A6796" s="8">
        <v>11650.0</v>
      </c>
      <c r="B6796" s="9" t="str">
        <f>HYPERLINK("https://www.lazada.vn/products/blues-main-course-fresh-cat-rice-50g-high-meat-hydration-wet-food-meal-pack-adult-kittens-full-price-cat-food-whole-box-i3015886328.html", "https://www.lazada.vn/products/blues-main-course-fresh-cat-rice-50g-high-meat-hydration-wet-food-meal-pack-adult-kittens-full-price-cat-food-whole-box-i3015886328.html")</f>
        <v>https://www.lazada.vn/products/blues-main-course-fresh-cat-rice-50g-high-meat-hydration-wet-food-meal-pack-adult-kittens-full-price-cat-food-whole-box-i3015886328.html</v>
      </c>
      <c r="C6796" s="10" t="s">
        <v>6796</v>
      </c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>
      <c r="A6797" s="8">
        <v>11651.0</v>
      </c>
      <c r="B6797" s="9" t="str">
        <f>HYPERLINK("https://www.lazada.vn/products/keo-ngam-ong-vang-ho-tro-giam-ho-i2683439323.html", "https://www.lazada.vn/products/keo-ngam-ong-vang-ho-tro-giam-ho-i2683439323.html")</f>
        <v>https://www.lazada.vn/products/keo-ngam-ong-vang-ho-tro-giam-ho-i2683439323.html</v>
      </c>
      <c r="C6797" s="10" t="s">
        <v>6797</v>
      </c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>
      <c r="A6798" s="8">
        <v>11652.0</v>
      </c>
      <c r="B6798" s="9" t="str">
        <f>HYPERLINK("https://www.lazada.vn/products/bot-gia-vi-pha-tra-sua-matcha-thom-beo-i2664682972.html", "https://www.lazada.vn/products/bot-gia-vi-pha-tra-sua-matcha-thom-beo-i2664682972.html")</f>
        <v>https://www.lazada.vn/products/bot-gia-vi-pha-tra-sua-matcha-thom-beo-i2664682972.html</v>
      </c>
      <c r="C6798" s="10" t="s">
        <v>6798</v>
      </c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>
      <c r="A6799" s="8">
        <v>11653.0</v>
      </c>
      <c r="B6799" s="9" t="str">
        <f>HYPERLINK("https://www.lazada.vn/products/keo-so-co-la-hershey-kisses-36g-thuong-hieu-my-nhap-khau-tu-malaysia-i2898042657.html", "https://www.lazada.vn/products/keo-so-co-la-hershey-kisses-36g-thuong-hieu-my-nhap-khau-tu-malaysia-i2898042657.html")</f>
        <v>https://www.lazada.vn/products/keo-so-co-la-hershey-kisses-36g-thuong-hieu-my-nhap-khau-tu-malaysia-i2898042657.html</v>
      </c>
      <c r="C6799" s="10" t="s">
        <v>6799</v>
      </c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>
      <c r="A6800" s="8">
        <v>11654.0</v>
      </c>
      <c r="B6800" s="9" t="str">
        <f>HYPERLINK("https://www.lazada.vn/products/thung-bia-lao-24-chai-x-330ml-beerlao-nhap-khau-lao-i2890334649.html", "https://www.lazada.vn/products/thung-bia-lao-24-chai-x-330ml-beerlao-nhap-khau-lao-i2890334649.html")</f>
        <v>https://www.lazada.vn/products/thung-bia-lao-24-chai-x-330ml-beerlao-nhap-khau-lao-i2890334649.html</v>
      </c>
      <c r="C6800" s="10" t="s">
        <v>6800</v>
      </c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>
      <c r="A6801" s="8">
        <v>11655.0</v>
      </c>
      <c r="B6801" s="9" t="str">
        <f>HYPERLINK("https://www.lazada.vn/products/oai-huong-combo-10-tui-thom-huong-hoa-tu-nhien-dung-khu-mui-tu-quan-ao-hop-giay-hop-dung-giay-xe-hoi-tien-dung-i2812214051.html", "https://www.lazada.vn/products/oai-huong-combo-10-tui-thom-huong-hoa-tu-nhien-dung-khu-mui-tu-quan-ao-hop-giay-hop-dung-giay-xe-hoi-tien-dung-i2812214051.html")</f>
        <v>https://www.lazada.vn/products/oai-huong-combo-10-tui-thom-huong-hoa-tu-nhien-dung-khu-mui-tu-quan-ao-hop-giay-hop-dung-giay-xe-hoi-tien-dung-i2812214051.html</v>
      </c>
      <c r="C6801" s="10" t="s">
        <v>6801</v>
      </c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>
      <c r="A6802" s="8">
        <v>11656.0</v>
      </c>
      <c r="B6802" s="9" t="str">
        <f>HYPERLINK("https://www.lazada.vn/products/tra-huong-sam-dua-khang-an-300g-i2653512839.html", "https://www.lazada.vn/products/tra-huong-sam-dua-khang-an-300g-i2653512839.html")</f>
        <v>https://www.lazada.vn/products/tra-huong-sam-dua-khang-an-300g-i2653512839.html</v>
      </c>
      <c r="C6802" s="10" t="s">
        <v>6802</v>
      </c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>
      <c r="A6803" s="8">
        <v>11657.0</v>
      </c>
      <c r="B6803" s="9" t="str">
        <f>HYPERLINK("https://www.lazada.vn/products/nuoc-sua-chua-uong-trai-cay-wahaha-risen-chai-500ml-i2732654368.html", "https://www.lazada.vn/products/nuoc-sua-chua-uong-trai-cay-wahaha-risen-chai-500ml-i2732654368.html")</f>
        <v>https://www.lazada.vn/products/nuoc-sua-chua-uong-trai-cay-wahaha-risen-chai-500ml-i2732654368.html</v>
      </c>
      <c r="C6803" s="10" t="s">
        <v>6803</v>
      </c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>
      <c r="A6804" s="8">
        <v>11658.0</v>
      </c>
      <c r="B6804" s="9" t="str">
        <f>HYPERLINK("https://www.lazada.vn/products/skyy-vodka-chai700ml-40-i2030584884.html", "https://www.lazada.vn/products/skyy-vodka-chai700ml-40-i2030584884.html")</f>
        <v>https://www.lazada.vn/products/skyy-vodka-chai700ml-40-i2030584884.html</v>
      </c>
      <c r="C6804" s="10" t="s">
        <v>6804</v>
      </c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>
      <c r="A6805" s="8">
        <v>11659.0</v>
      </c>
      <c r="B6805" s="9" t="str">
        <f>HYPERLINK("https://www.lazada.vn/products/sup-xuong-duoi-bo-ottogi-500g-i2801750050.html", "https://www.lazada.vn/products/sup-xuong-duoi-bo-ottogi-500g-i2801750050.html")</f>
        <v>https://www.lazada.vn/products/sup-xuong-duoi-bo-ottogi-500g-i2801750050.html</v>
      </c>
      <c r="C6805" s="10" t="s">
        <v>6805</v>
      </c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>
      <c r="A6806" s="8">
        <v>11660.0</v>
      </c>
      <c r="B6806" s="9" t="str">
        <f>HYPERLINK("https://www.lazada.vn/products/bia-schwaben-brau-das-helle-50-nhap-khau-duc-1-chai-500ml-i2890132759.html", "https://www.lazada.vn/products/bia-schwaben-brau-das-helle-50-nhap-khau-duc-1-chai-500ml-i2890132759.html")</f>
        <v>https://www.lazada.vn/products/bia-schwaben-brau-das-helle-50-nhap-khau-duc-1-chai-500ml-i2890132759.html</v>
      </c>
      <c r="C6806" s="10" t="s">
        <v>6806</v>
      </c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>
      <c r="A6807" s="8">
        <v>11661.0</v>
      </c>
      <c r="B6807" s="9" t="str">
        <f>HYPERLINK("https://www.lazada.vn/products/qua-tang-khong-ban-2-tui-nuoc-ep-thach-dau-ho-tro-be-tang-chieu-cao-de-khang-andros-fruit-me-up-90gx2-i2732317615.html", "https://www.lazada.vn/products/qua-tang-khong-ban-2-tui-nuoc-ep-thach-dau-ho-tro-be-tang-chieu-cao-de-khang-andros-fruit-me-up-90gx2-i2732317615.html")</f>
        <v>https://www.lazada.vn/products/qua-tang-khong-ban-2-tui-nuoc-ep-thach-dau-ho-tro-be-tang-chieu-cao-de-khang-andros-fruit-me-up-90gx2-i2732317615.html</v>
      </c>
      <c r="C6807" s="10" t="s">
        <v>6807</v>
      </c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>
      <c r="A6808" s="8">
        <v>11662.0</v>
      </c>
      <c r="B6808" s="9" t="str">
        <f>HYPERLINK("https://www.lazada.vn/products/banh-tao-do-oc-cho-an-kieng-khong-duong-i2809476151.html", "https://www.lazada.vn/products/banh-tao-do-oc-cho-an-kieng-khong-duong-i2809476151.html")</f>
        <v>https://www.lazada.vn/products/banh-tao-do-oc-cho-an-kieng-khong-duong-i2809476151.html</v>
      </c>
      <c r="C6808" s="10" t="s">
        <v>6808</v>
      </c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>
      <c r="A6809" s="8">
        <v>11663.0</v>
      </c>
      <c r="B6809" s="9" t="str">
        <f>HYPERLINK("https://www.lazada.vn/products/ruou-shochu-oni-29-dochai-4-l-i2483418909.html", "https://www.lazada.vn/products/ruou-shochu-oni-29-dochai-4-l-i2483418909.html")</f>
        <v>https://www.lazada.vn/products/ruou-shochu-oni-29-dochai-4-l-i2483418909.html</v>
      </c>
      <c r="C6809" s="10" t="s">
        <v>6809</v>
      </c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>
      <c r="A6810" s="8">
        <v>11664.0</v>
      </c>
      <c r="B6810" s="9" t="str">
        <f>HYPERLINK("https://www.lazada.vn/products/nuoc-khoang-lavie-500ml-i2732243271.html", "https://www.lazada.vn/products/nuoc-khoang-lavie-500ml-i2732243271.html")</f>
        <v>https://www.lazada.vn/products/nuoc-khoang-lavie-500ml-i2732243271.html</v>
      </c>
      <c r="C6810" s="10" t="s">
        <v>6810</v>
      </c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>
      <c r="A6811" s="8">
        <v>11665.0</v>
      </c>
      <c r="B6811" s="9" t="str">
        <f>HYPERLINK("https://www.lazada.vn/products/nhung-huou-tuoi-ngam-mat-ong-rung-i2653032237.html", "https://www.lazada.vn/products/nhung-huou-tuoi-ngam-mat-ong-rung-i2653032237.html")</f>
        <v>https://www.lazada.vn/products/nhung-huou-tuoi-ngam-mat-ong-rung-i2653032237.html</v>
      </c>
      <c r="C6811" s="10" t="s">
        <v>6811</v>
      </c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>
      <c r="A6812" s="8">
        <v>11666.0</v>
      </c>
      <c r="B6812" s="9" t="str">
        <f>HYPERLINK("https://www.lazada.vn/products/bia-schwaben-brau-das-helle-50-nhap-khau-duc-1-chai-500ml-i2890109831.html", "https://www.lazada.vn/products/bia-schwaben-brau-das-helle-50-nhap-khau-duc-1-chai-500ml-i2890109831.html")</f>
        <v>https://www.lazada.vn/products/bia-schwaben-brau-das-helle-50-nhap-khau-duc-1-chai-500ml-i2890109831.html</v>
      </c>
      <c r="C6812" s="10" t="s">
        <v>6812</v>
      </c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>
      <c r="A6813" s="8">
        <v>11667.0</v>
      </c>
      <c r="B6813" s="9" t="str">
        <f>HYPERLINK("https://www.lazada.vn/products/top-ruou-vn-ruou-vodka-smirnoff-red-black-apple-500ml-700ml-chinh-hang-i2007035522.html", "https://www.lazada.vn/products/top-ruou-vn-ruou-vodka-smirnoff-red-black-apple-500ml-700ml-chinh-hang-i2007035522.html")</f>
        <v>https://www.lazada.vn/products/top-ruou-vn-ruou-vodka-smirnoff-red-black-apple-500ml-700ml-chinh-hang-i2007035522.html</v>
      </c>
      <c r="C6813" s="10" t="s">
        <v>6813</v>
      </c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>
      <c r="A6814" s="8">
        <v>11668.0</v>
      </c>
      <c r="B6814" s="9" t="str">
        <f>HYPERLINK("https://www.lazada.vn/products/combo-1-thung-mi-omachi-lau-tom-cang-goi-80g-va-1-hop-ponnie-hot-dog-gion-an-lien-hop-x-20-cay-x-28g-i2800997153.html", "https://www.lazada.vn/products/combo-1-thung-mi-omachi-lau-tom-cang-goi-80g-va-1-hop-ponnie-hot-dog-gion-an-lien-hop-x-20-cay-x-28g-i2800997153.html")</f>
        <v>https://www.lazada.vn/products/combo-1-thung-mi-omachi-lau-tom-cang-goi-80g-va-1-hop-ponnie-hot-dog-gion-an-lien-hop-x-20-cay-x-28g-i2800997153.html</v>
      </c>
      <c r="C6814" s="10" t="s">
        <v>6814</v>
      </c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>
      <c r="A6815" s="8">
        <v>11669.0</v>
      </c>
      <c r="B6815" s="9" t="str">
        <f>HYPERLINK("https://www.lazada.vn/products/banh-quy-me-rong-bien-hong-kong-goi-360g-hang-chuan-i2807329399.html", "https://www.lazada.vn/products/banh-quy-me-rong-bien-hong-kong-goi-360g-hang-chuan-i2807329399.html")</f>
        <v>https://www.lazada.vn/products/banh-quy-me-rong-bien-hong-kong-goi-360g-hang-chuan-i2807329399.html</v>
      </c>
      <c r="C6815" s="10" t="s">
        <v>6815</v>
      </c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>
      <c r="A6816" s="8">
        <v>11670.0</v>
      </c>
      <c r="B6816" s="9" t="str">
        <f>HYPERLINK("https://www.lazada.vn/products/nuoc-ngot-vi-cafe-walk-up-247-330ml-loc-6-chai-i2732178460.html", "https://www.lazada.vn/products/nuoc-ngot-vi-cafe-walk-up-247-330ml-loc-6-chai-i2732178460.html")</f>
        <v>https://www.lazada.vn/products/nuoc-ngot-vi-cafe-walk-up-247-330ml-loc-6-chai-i2732178460.html</v>
      </c>
      <c r="C6816" s="10" t="s">
        <v>6816</v>
      </c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>
      <c r="A6817" s="8">
        <v>11671.0</v>
      </c>
      <c r="B6817" s="9" t="str">
        <f>HYPERLINK("https://www.lazada.vn/products/banh-mochi-viet-quat-dau-do-khong-duong-shin-food-mem-deo-thom-ngon-banh-mochi-khoai-mo-an-kieng-giam-healthy-i2768475768.html", "https://www.lazada.vn/products/banh-mochi-viet-quat-dau-do-khong-duong-shin-food-mem-deo-thom-ngon-banh-mochi-khoai-mo-an-kieng-giam-healthy-i2768475768.html")</f>
        <v>https://www.lazada.vn/products/banh-mochi-viet-quat-dau-do-khong-duong-shin-food-mem-deo-thom-ngon-banh-mochi-khoai-mo-an-kieng-giam-healthy-i2768475768.html</v>
      </c>
      <c r="C6817" s="10" t="s">
        <v>6817</v>
      </c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>
      <c r="A6818" s="8">
        <v>11672.0</v>
      </c>
      <c r="B6818" s="9" t="str">
        <f>HYPERLINK("https://www.lazada.vn/products/bia-duc-das-schwarze-schwaben-brau-bia-den-49-vol-1-thung-12-chai-500ml-i2890095540.html", "https://www.lazada.vn/products/bia-duc-das-schwarze-schwaben-brau-bia-den-49-vol-1-thung-12-chai-500ml-i2890095540.html")</f>
        <v>https://www.lazada.vn/products/bia-duc-das-schwarze-schwaben-brau-bia-den-49-vol-1-thung-12-chai-500ml-i2890095540.html</v>
      </c>
      <c r="C6818" s="10" t="s">
        <v>6818</v>
      </c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>
      <c r="A6819" s="8">
        <v>11673.0</v>
      </c>
      <c r="B6819" s="9" t="str">
        <f>HYPERLINK("https://www.lazada.vn/products/tuyet-yen-van-nam-loai-1-100g-ngon-i2652972194.html", "https://www.lazada.vn/products/tuyet-yen-van-nam-loai-1-100g-ngon-i2652972194.html")</f>
        <v>https://www.lazada.vn/products/tuyet-yen-van-nam-loai-1-100g-ngon-i2652972194.html</v>
      </c>
      <c r="C6819" s="10" t="s">
        <v>6819</v>
      </c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>
      <c r="A6820" s="8">
        <v>11674.0</v>
      </c>
      <c r="B6820" s="9" t="str">
        <f>HYPERLINK("https://www.lazada.vn/products/top-ruou-vn-ruou-vodka-absolut-grapefruit-apeach-citron-elyx-kurant-mandrin-1000ml-chinh-hang-i1797071763.html", "https://www.lazada.vn/products/top-ruou-vn-ruou-vodka-absolut-grapefruit-apeach-citron-elyx-kurant-mandrin-1000ml-chinh-hang-i1797071763.html")</f>
        <v>https://www.lazada.vn/products/top-ruou-vn-ruou-vodka-absolut-grapefruit-apeach-citron-elyx-kurant-mandrin-1000ml-chinh-hang-i1797071763.html</v>
      </c>
      <c r="C6820" s="10" t="s">
        <v>6820</v>
      </c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>
      <c r="A6821" s="8">
        <v>11675.0</v>
      </c>
      <c r="B6821" s="9" t="str">
        <f>HYPERLINK("https://www.lazada.vn/products/combo-3kg-banh-da-ha-giang-i2715205818.html", "https://www.lazada.vn/products/combo-3kg-banh-da-ha-giang-i2715205818.html")</f>
        <v>https://www.lazada.vn/products/combo-3kg-banh-da-ha-giang-i2715205818.html</v>
      </c>
      <c r="C6821" s="10" t="s">
        <v>6821</v>
      </c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>
      <c r="A6822" s="8">
        <v>11676.0</v>
      </c>
      <c r="B6822" s="9" t="str">
        <f>HYPERLINK("https://www.lazada.vn/products/1-thung-c2-chanh-24-chai-x355ml-sieu-ngon-i2731831966.html", "https://www.lazada.vn/products/1-thung-c2-chanh-24-chai-x355ml-sieu-ngon-i2731831966.html")</f>
        <v>https://www.lazada.vn/products/1-thung-c2-chanh-24-chai-x355ml-sieu-ngon-i2731831966.html</v>
      </c>
      <c r="C6822" s="10" t="s">
        <v>6822</v>
      </c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>
      <c r="A6823" s="8">
        <v>11677.0</v>
      </c>
      <c r="B6823" s="9" t="str">
        <f>HYPERLINK("https://www.lazada.vn/products/combo-1-thung-mi-omachi-xot-bo-ham-goi-80g-va-1-hop-ponnie-hot-dog-gion-an-lien-hop-x-20-cay-x-28g-i2800933561.html", "https://www.lazada.vn/products/combo-1-thung-mi-omachi-xot-bo-ham-goi-80g-va-1-hop-ponnie-hot-dog-gion-an-lien-hop-x-20-cay-x-28g-i2800933561.html")</f>
        <v>https://www.lazada.vn/products/combo-1-thung-mi-omachi-xot-bo-ham-goi-80g-va-1-hop-ponnie-hot-dog-gion-an-lien-hop-x-20-cay-x-28g-i2800933561.html</v>
      </c>
      <c r="C6823" s="10" t="s">
        <v>6823</v>
      </c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>
      <c r="A6824" s="8">
        <v>11678.0</v>
      </c>
      <c r="B6824" s="9" t="str">
        <f>HYPERLINK("https://www.lazada.vn/products/bia-duc-das-schwarze-schwaben-brau-bia-den-49-vol-1-thung-12-chai-500ml-i2889995878.html", "https://www.lazada.vn/products/bia-duc-das-schwarze-schwaben-brau-bia-den-49-vol-1-thung-12-chai-500ml-i2889995878.html")</f>
        <v>https://www.lazada.vn/products/bia-duc-das-schwarze-schwaben-brau-bia-den-49-vol-1-thung-12-chai-500ml-i2889995878.html</v>
      </c>
      <c r="C6824" s="10" t="s">
        <v>6824</v>
      </c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>
      <c r="A6825" s="8">
        <v>11679.0</v>
      </c>
      <c r="B6825" s="9" t="str">
        <f>HYPERLINK("https://www.lazada.vn/products/dac-san-ruou-tay-bac-com-sua-dong-dong-dau-tay-thom-ngon-hoa-toc-tphcm-i2483035082.html", "https://www.lazada.vn/products/dac-san-ruou-tay-bac-com-sua-dong-dong-dau-tay-thom-ngon-hoa-toc-tphcm-i2483035082.html")</f>
        <v>https://www.lazada.vn/products/dac-san-ruou-tay-bac-com-sua-dong-dong-dau-tay-thom-ngon-hoa-toc-tphcm-i2483035082.html</v>
      </c>
      <c r="C6825" s="10" t="s">
        <v>6825</v>
      </c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>
      <c r="A6826" s="8">
        <v>11680.0</v>
      </c>
      <c r="B6826" s="9" t="str">
        <f>HYPERLINK("https://www.lazada.vn/products/ruou-sam-banh-hang-nhap-khau-chinh-hang-i2534971478.html", "https://www.lazada.vn/products/ruou-sam-banh-hang-nhap-khau-chinh-hang-i2534971478.html")</f>
        <v>https://www.lazada.vn/products/ruou-sam-banh-hang-nhap-khau-chinh-hang-i2534971478.html</v>
      </c>
      <c r="C6826" s="10" t="s">
        <v>6826</v>
      </c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>
      <c r="A6827" s="8">
        <v>11681.0</v>
      </c>
      <c r="B6827" s="9" t="str">
        <f>HYPERLINK("https://www.lazada.vn/products/bot-gia-vi-pha-tra-sua-matcha-i2664654529.html", "https://www.lazada.vn/products/bot-gia-vi-pha-tra-sua-matcha-i2664654529.html")</f>
        <v>https://www.lazada.vn/products/bot-gia-vi-pha-tra-sua-matcha-i2664654529.html</v>
      </c>
      <c r="C6827" s="10" t="s">
        <v>6827</v>
      </c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>
      <c r="A6828" s="8">
        <v>11682.0</v>
      </c>
      <c r="B6828" s="9" t="str">
        <f>HYPERLINK("https://www.lazada.vn/products/bia-thu-cong-cao-cap-modern-belgain-dark-hop-4-chai-500ml-i1871208419.html", "https://www.lazada.vn/products/bia-thu-cong-cao-cap-modern-belgain-dark-hop-4-chai-500ml-i1871208419.html")</f>
        <v>https://www.lazada.vn/products/bia-thu-cong-cao-cap-modern-belgain-dark-hop-4-chai-500ml-i1871208419.html</v>
      </c>
      <c r="C6828" s="10" t="s">
        <v>6828</v>
      </c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>
      <c r="A6829" s="8">
        <v>11683.0</v>
      </c>
      <c r="B6829" s="9" t="str">
        <f>HYPERLINK("https://www.lazada.vn/products/keo-ca-phe-bo-sua-dam-vi-thom-ngon-keo-coffee-socola-capuchino-an-vat-denfood-i2898006096.html", "https://www.lazada.vn/products/keo-ca-phe-bo-sua-dam-vi-thom-ngon-keo-coffee-socola-capuchino-an-vat-denfood-i2898006096.html")</f>
        <v>https://www.lazada.vn/products/keo-ca-phe-bo-sua-dam-vi-thom-ngon-keo-coffee-socola-capuchino-an-vat-denfood-i2898006096.html</v>
      </c>
      <c r="C6829" s="10" t="s">
        <v>6829</v>
      </c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>
      <c r="A6830" s="8">
        <v>11684.0</v>
      </c>
      <c r="B6830" s="9" t="str">
        <f>HYPERLINK("https://www.lazada.vn/products/ca-phe-hoa-tan-americano-king-coffee-hop-15-goi-1g-i2674104417.html", "https://www.lazada.vn/products/ca-phe-hoa-tan-americano-king-coffee-hop-15-goi-1g-i2674104417.html")</f>
        <v>https://www.lazada.vn/products/ca-phe-hoa-tan-americano-king-coffee-hop-15-goi-1g-i2674104417.html</v>
      </c>
      <c r="C6830" s="10" t="s">
        <v>6830</v>
      </c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>
      <c r="A6831" s="8">
        <v>11685.0</v>
      </c>
      <c r="B6831" s="9" t="str">
        <f>HYPERLINK("https://www.lazada.vn/products/muc-bento-thai-lanloc-13-goi-i2359287432.html", "https://www.lazada.vn/products/muc-bento-thai-lanloc-13-goi-i2359287432.html")</f>
        <v>https://www.lazada.vn/products/muc-bento-thai-lanloc-13-goi-i2359287432.html</v>
      </c>
      <c r="C6831" s="10" t="s">
        <v>6831</v>
      </c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>
      <c r="A6832" s="8">
        <v>11686.0</v>
      </c>
      <c r="B6832" s="9" t="str">
        <f>HYPERLINK("https://www.lazada.vn/products/timothee-timothy-grass-rabbit-teeth-grinding-stick-guinea-pig-rabbit-carrot-multi-flavor-digestive-pet-food-treats-rabbit-nest-i3015848515.html", "https://www.lazada.vn/products/timothee-timothy-grass-rabbit-teeth-grinding-stick-guinea-pig-rabbit-carrot-multi-flavor-digestive-pet-food-treats-rabbit-nest-i3015848515.html")</f>
        <v>https://www.lazada.vn/products/timothee-timothy-grass-rabbit-teeth-grinding-stick-guinea-pig-rabbit-carrot-multi-flavor-digestive-pet-food-treats-rabbit-nest-i3015848515.html</v>
      </c>
      <c r="C6832" s="10" t="s">
        <v>6832</v>
      </c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>
      <c r="A6833" s="8">
        <v>11687.0</v>
      </c>
      <c r="B6833" s="9" t="str">
        <f>HYPERLINK("https://www.lazada.vn/products/keo-mut-keo-ong-la-thuong-xuan-happy-vitamin-giam-ho-viem-hong-khan-tieng-cho-be-nguoi-lon-novika-organic-store-i2682090328.html", "https://www.lazada.vn/products/keo-mut-keo-ong-la-thuong-xuan-happy-vitamin-giam-ho-viem-hong-khan-tieng-cho-be-nguoi-lon-novika-organic-store-i2682090328.html")</f>
        <v>https://www.lazada.vn/products/keo-mut-keo-ong-la-thuong-xuan-happy-vitamin-giam-ho-viem-hong-khan-tieng-cho-be-nguoi-lon-novika-organic-store-i2682090328.html</v>
      </c>
      <c r="C6833" s="10" t="s">
        <v>6833</v>
      </c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>
      <c r="A6834" s="8">
        <v>11688.0</v>
      </c>
      <c r="B6834" s="9" t="str">
        <f>HYPERLINK("https://www.lazada.vn/products/bia-duc-das-schwarze-schwaben-brau-bia-den-49-vol-1-chai-500ml-i2886246159.html", "https://www.lazada.vn/products/bia-duc-das-schwarze-schwaben-brau-bia-den-49-vol-1-chai-500ml-i2886246159.html")</f>
        <v>https://www.lazada.vn/products/bia-duc-das-schwarze-schwaben-brau-bia-den-49-vol-1-chai-500ml-i2886246159.html</v>
      </c>
      <c r="C6834" s="10" t="s">
        <v>6834</v>
      </c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>
      <c r="A6835" s="8">
        <v>11689.0</v>
      </c>
      <c r="B6835" s="9" t="str">
        <f>HYPERLINK("https://www.lazada.vn/products/banh-pia-sau-rieng-cao-loi-hung-bich-to-12-cai-klt-12kg-i2657930376.html", "https://www.lazada.vn/products/banh-pia-sau-rieng-cao-loi-hung-bich-to-12-cai-klt-12kg-i2657930376.html")</f>
        <v>https://www.lazada.vn/products/banh-pia-sau-rieng-cao-loi-hung-bich-to-12-cai-klt-12kg-i2657930376.html</v>
      </c>
      <c r="C6835" s="10" t="s">
        <v>6835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>
      <c r="A6836" s="8">
        <v>11690.0</v>
      </c>
      <c r="B6836" s="9" t="str">
        <f>HYPERLINK("https://www.lazada.vn/products/1-hop-nuoc-dua-vico-fresh-330ml-vi-dua-i2731411220.html", "https://www.lazada.vn/products/1-hop-nuoc-dua-vico-fresh-330ml-vi-dua-i2731411220.html")</f>
        <v>https://www.lazada.vn/products/1-hop-nuoc-dua-vico-fresh-330ml-vi-dua-i2731411220.html</v>
      </c>
      <c r="C6836" s="10" t="s">
        <v>6836</v>
      </c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>
      <c r="A6837" s="8">
        <v>11691.0</v>
      </c>
      <c r="B6837" s="9" t="str">
        <f>HYPERLINK("https://www.lazada.vn/products/vang-do-uc-vivo-cabernet-sauvignon-2021-i2534958550.html", "https://www.lazada.vn/products/vang-do-uc-vivo-cabernet-sauvignon-2021-i2534958550.html")</f>
        <v>https://www.lazada.vn/products/vang-do-uc-vivo-cabernet-sauvignon-2021-i2534958550.html</v>
      </c>
      <c r="C6837" s="10" t="s">
        <v>6837</v>
      </c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>
      <c r="A6838" s="8">
        <v>11692.0</v>
      </c>
      <c r="B6838" s="9" t="str">
        <f>HYPERLINK("https://www.lazada.vn/products/socola-snickers-hang-chuan-date-xa-i2896973432.html", "https://www.lazada.vn/products/socola-snickers-hang-chuan-date-xa-i2896973432.html")</f>
        <v>https://www.lazada.vn/products/socola-snickers-hang-chuan-date-xa-i2896973432.html</v>
      </c>
      <c r="C6838" s="10" t="s">
        <v>6838</v>
      </c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>
      <c r="A6839" s="8">
        <v>11693.0</v>
      </c>
      <c r="B6839" s="9" t="str">
        <f>HYPERLINK("https://www.lazada.vn/products/100g-bot-pha-tra-sua-vi-matcha-i2664595660.html", "https://www.lazada.vn/products/100g-bot-pha-tra-sua-vi-matcha-i2664595660.html")</f>
        <v>https://www.lazada.vn/products/100g-bot-pha-tra-sua-vi-matcha-i2664595660.html</v>
      </c>
      <c r="C6839" s="10" t="s">
        <v>6839</v>
      </c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>
      <c r="A6840" s="8">
        <v>11694.0</v>
      </c>
      <c r="B6840" s="9" t="str">
        <f>HYPERLINK("https://www.lazada.vn/products/eikodo-tui-vang-120g-keo-chanh-muoi-vn-salted-lemon-candy-i2680502506.html", "https://www.lazada.vn/products/eikodo-tui-vang-120g-keo-chanh-muoi-vn-salted-lemon-candy-i2680502506.html")</f>
        <v>https://www.lazada.vn/products/eikodo-tui-vang-120g-keo-chanh-muoi-vn-salted-lemon-candy-i2680502506.html</v>
      </c>
      <c r="C6840" s="10" t="s">
        <v>6840</v>
      </c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>
      <c r="A6841" s="8">
        <v>11695.0</v>
      </c>
      <c r="B6841" s="9" t="str">
        <f>HYPERLINK("https://www.lazada.vn/products/com-chay-cha-bong-sieu-gion-i2359270527.html", "https://www.lazada.vn/products/com-chay-cha-bong-sieu-gion-i2359270527.html")</f>
        <v>https://www.lazada.vn/products/com-chay-cha-bong-sieu-gion-i2359270527.html</v>
      </c>
      <c r="C6841" s="10" t="s">
        <v>6841</v>
      </c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>
      <c r="A6842" s="8">
        <v>11696.0</v>
      </c>
      <c r="B6842" s="9" t="str">
        <f>HYPERLINK("https://www.lazada.vn/products/bia-thu-cong-cao-cap-coffee-vanilla-porter-hop-4-chai-500ml-i1871191510.html", "https://www.lazada.vn/products/bia-thu-cong-cao-cap-coffee-vanilla-porter-hop-4-chai-500ml-i1871191510.html")</f>
        <v>https://www.lazada.vn/products/bia-thu-cong-cao-cap-coffee-vanilla-porter-hop-4-chai-500ml-i1871191510.html</v>
      </c>
      <c r="C6842" s="10" t="s">
        <v>6842</v>
      </c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>
      <c r="A6843" s="8">
        <v>11697.0</v>
      </c>
      <c r="B6843" s="9" t="str">
        <f>HYPERLINK("https://www.lazada.vn/products/ca-phe-pho-bich-30-goi-sua-da-x-24-gam-i2673287266.html", "https://www.lazada.vn/products/ca-phe-pho-bich-30-goi-sua-da-x-24-gam-i2673287266.html")</f>
        <v>https://www.lazada.vn/products/ca-phe-pho-bich-30-goi-sua-da-x-24-gam-i2673287266.html</v>
      </c>
      <c r="C6843" s="10" t="s">
        <v>6843</v>
      </c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>
      <c r="A6844" s="8">
        <v>11698.0</v>
      </c>
      <c r="B6844" s="9" t="str">
        <f>HYPERLINK("https://www.lazada.vn/products/siro-ho-ong-vang-hop-30-goi-x-5ml-i2481667706.html", "https://www.lazada.vn/products/siro-ho-ong-vang-hop-30-goi-x-5ml-i2481667706.html")</f>
        <v>https://www.lazada.vn/products/siro-ho-ong-vang-hop-30-goi-x-5ml-i2481667706.html</v>
      </c>
      <c r="C6844" s="10" t="s">
        <v>6844</v>
      </c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>
      <c r="A6845" s="8">
        <v>11699.0</v>
      </c>
      <c r="B6845" s="9" t="str">
        <f>HYPERLINK("https://www.lazada.vn/products/combo-1-thung-mi-omachi-suon-ham-ngu-qua-goi-80g-va-1-hop-ponnie-hot-dog-gion-an-lien-vi-gio-lua-hop-x-20-cay-x-28g-i2800888963.html", "https://www.lazada.vn/products/combo-1-thung-mi-omachi-suon-ham-ngu-qua-goi-80g-va-1-hop-ponnie-hot-dog-gion-an-lien-vi-gio-lua-hop-x-20-cay-x-28g-i2800888963.html")</f>
        <v>https://www.lazada.vn/products/combo-1-thung-mi-omachi-suon-ham-ngu-qua-goi-80g-va-1-hop-ponnie-hot-dog-gion-an-lien-vi-gio-lua-hop-x-20-cay-x-28g-i2800888963.html</v>
      </c>
      <c r="C6845" s="10" t="s">
        <v>6845</v>
      </c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>
      <c r="A6846" s="8">
        <v>11700.0</v>
      </c>
      <c r="B6846" s="9" t="str">
        <f>HYPERLINK("https://www.lazada.vn/products/bia-duc-schwaben-brau-das-keller-pils-5-vol-1-thung-12-chai-500ml-i2886220220.html", "https://www.lazada.vn/products/bia-duc-schwaben-brau-das-keller-pils-5-vol-1-thung-12-chai-500ml-i2886220220.html")</f>
        <v>https://www.lazada.vn/products/bia-duc-schwaben-brau-das-keller-pils-5-vol-1-thung-12-chai-500ml-i2886220220.html</v>
      </c>
      <c r="C6846" s="10" t="s">
        <v>6846</v>
      </c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>
      <c r="A6847" s="8">
        <v>11701.0</v>
      </c>
      <c r="B6847" s="9" t="str">
        <f>HYPERLINK("https://www.lazada.vn/products/banh-chocopie-orion-molle-kem-mem-vi-hanh-nhan-hop-12-cai-i2646602567.html", "https://www.lazada.vn/products/banh-chocopie-orion-molle-kem-mem-vi-hanh-nhan-hop-12-cai-i2646602567.html")</f>
        <v>https://www.lazada.vn/products/banh-chocopie-orion-molle-kem-mem-vi-hanh-nhan-hop-12-cai-i2646602567.html</v>
      </c>
      <c r="C6847" s="10" t="s">
        <v>6847</v>
      </c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>
      <c r="A6848" s="8">
        <v>11702.0</v>
      </c>
      <c r="B6848" s="9" t="str">
        <f>HYPERLINK("https://www.lazada.vn/products/nuoc-man-xanh-woongjin-han-quoc-chai-15l-15l-i2731388415.html", "https://www.lazada.vn/products/nuoc-man-xanh-woongjin-han-quoc-chai-15l-15l-i2731388415.html")</f>
        <v>https://www.lazada.vn/products/nuoc-man-xanh-woongjin-han-quoc-chai-15l-15l-i2731388415.html</v>
      </c>
      <c r="C6848" s="10" t="s">
        <v>6848</v>
      </c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>
      <c r="A6849" s="8">
        <v>11703.0</v>
      </c>
      <c r="B6849" s="9" t="str">
        <f>HYPERLINK("https://www.lazada.vn/products/ruou-vang-1933-i2533878849.html", "https://www.lazada.vn/products/ruou-vang-1933-i2533878849.html")</f>
        <v>https://www.lazada.vn/products/ruou-vang-1933-i2533878849.html</v>
      </c>
      <c r="C6849" s="10" t="s">
        <v>6849</v>
      </c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>
      <c r="A6850" s="8">
        <v>11704.0</v>
      </c>
      <c r="B6850" s="9" t="str">
        <f>HYPERLINK("https://www.lazada.vn/products/hop-24-cai-socola-den-dang-nguyen-chat-khong-duong-100-chocolate-an-kieng-thanh-goi-le-mood-choco-i2896473310.html", "https://www.lazada.vn/products/hop-24-cai-socola-den-dang-nguyen-chat-khong-duong-100-chocolate-an-kieng-thanh-goi-le-mood-choco-i2896473310.html")</f>
        <v>https://www.lazada.vn/products/hop-24-cai-socola-den-dang-nguyen-chat-khong-duong-100-chocolate-an-kieng-thanh-goi-le-mood-choco-i2896473310.html</v>
      </c>
      <c r="C6850" s="10" t="s">
        <v>6850</v>
      </c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>
      <c r="A6851" s="8">
        <v>11705.0</v>
      </c>
      <c r="B6851" s="9" t="str">
        <f>HYPERLINK("https://www.lazada.vn/products/keo-cafe-khong-duong-80k500g-danh-cho-nguoi-thich-cafe-i2678416857.html", "https://www.lazada.vn/products/keo-cafe-khong-duong-80k500g-danh-cho-nguoi-thich-cafe-i2678416857.html")</f>
        <v>https://www.lazada.vn/products/keo-cafe-khong-duong-80k500g-danh-cho-nguoi-thich-cafe-i2678416857.html</v>
      </c>
      <c r="C6851" s="10" t="s">
        <v>6851</v>
      </c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>
      <c r="A6852" s="8">
        <v>11706.0</v>
      </c>
      <c r="B6852" s="9" t="str">
        <f>HYPERLINK("https://www.lazada.vn/products/tra-da-sao-vang-huong-sam-dua-300g-i2652637163.html", "https://www.lazada.vn/products/tra-da-sao-vang-huong-sam-dua-300g-i2652637163.html")</f>
        <v>https://www.lazada.vn/products/tra-da-sao-vang-huong-sam-dua-300g-i2652637163.html</v>
      </c>
      <c r="C6852" s="10" t="s">
        <v>6852</v>
      </c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>
      <c r="A6853" s="8">
        <v>11707.0</v>
      </c>
      <c r="B6853" s="9" t="str">
        <f>HYPERLINK("https://www.lazada.vn/products/wildside-vodka-soda-vi-gung-spicy-ginger-330ml-do-con-39-i2798623882.html", "https://www.lazada.vn/products/wildside-vodka-soda-vi-gung-spicy-ginger-330ml-do-con-39-i2798623882.html")</f>
        <v>https://www.lazada.vn/products/wildside-vodka-soda-vi-gung-spicy-ginger-330ml-do-con-39-i2798623882.html</v>
      </c>
      <c r="C6853" s="10" t="s">
        <v>6853</v>
      </c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>
      <c r="A6854" s="8">
        <v>11708.0</v>
      </c>
      <c r="B6854" s="9" t="str">
        <f>HYPERLINK("https://www.lazada.vn/products/banh-trang-tom-deo-cuon-hanh-phi-dac-san-tay-ninh-chinh-goc-sieu-ngon-do-an-vat-lets-nuts-i2358531765.html", "https://www.lazada.vn/products/banh-trang-tom-deo-cuon-hanh-phi-dac-san-tay-ninh-chinh-goc-sieu-ngon-do-an-vat-lets-nuts-i2358531765.html")</f>
        <v>https://www.lazada.vn/products/banh-trang-tom-deo-cuon-hanh-phi-dac-san-tay-ninh-chinh-goc-sieu-ngon-do-an-vat-lets-nuts-i2358531765.html</v>
      </c>
      <c r="C6854" s="10" t="s">
        <v>6854</v>
      </c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>
      <c r="A6855" s="8">
        <v>11709.0</v>
      </c>
      <c r="B6855" s="9" t="str">
        <f>HYPERLINK("https://www.lazada.vn/products/banh-liu-trung-chay-ngan-lop-nhan-trung-muoi-thom-ngon-banh-noi-dia-trung-ngay-san-xuat-va-hsd-duoc-in-tren-bao-bi-cake-food-thuc-an-i3037074838.html", "https://www.lazada.vn/products/banh-liu-trung-chay-ngan-lop-nhan-trung-muoi-thom-ngon-banh-noi-dia-trung-ngay-san-xuat-va-hsd-duoc-in-tren-bao-bi-cake-food-thuc-an-i3037074838.html")</f>
        <v>https://www.lazada.vn/products/banh-liu-trung-chay-ngan-lop-nhan-trung-muoi-thom-ngon-banh-noi-dia-trung-ngay-san-xuat-va-hsd-duoc-in-tren-bao-bi-cake-food-thuc-an-i3037074838.html</v>
      </c>
      <c r="C6855" s="10" t="s">
        <v>6855</v>
      </c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>
      <c r="A6856" s="8">
        <v>11710.0</v>
      </c>
      <c r="B6856" s="9" t="str">
        <f>HYPERLINK("https://www.lazada.vn/products/500gr-keo-bi-trai-cay-7-mau-i2678230027.html", "https://www.lazada.vn/products/500gr-keo-bi-trai-cay-7-mau-i2678230027.html")</f>
        <v>https://www.lazada.vn/products/500gr-keo-bi-trai-cay-7-mau-i2678230027.html</v>
      </c>
      <c r="C6856" s="10" t="s">
        <v>6856</v>
      </c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>
      <c r="A6857" s="8">
        <v>11711.0</v>
      </c>
      <c r="B6857" s="9" t="str">
        <f>HYPERLINK("https://www.lazada.vn/products/da-me-thanh-binh-900g-i2652633322.html", "https://www.lazada.vn/products/da-me-thanh-binh-900g-i2652633322.html")</f>
        <v>https://www.lazada.vn/products/da-me-thanh-binh-900g-i2652633322.html</v>
      </c>
      <c r="C6857" s="10" t="s">
        <v>6857</v>
      </c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>
      <c r="A6858" s="8">
        <v>11712.0</v>
      </c>
      <c r="B6858" s="9" t="str">
        <f>HYPERLINK("https://www.lazada.vn/products/1-buong-dua-nuoc-nao-ngon-dac-san-mien-tay-i2731359059.html", "https://www.lazada.vn/products/1-buong-dua-nuoc-nao-ngon-dac-san-mien-tay-i2731359059.html")</f>
        <v>https://www.lazada.vn/products/1-buong-dua-nuoc-nao-ngon-dac-san-mien-tay-i2731359059.html</v>
      </c>
      <c r="C6858" s="10" t="s">
        <v>6858</v>
      </c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>
      <c r="A6859" s="8">
        <v>11713.0</v>
      </c>
      <c r="B6859" s="9" t="str">
        <f>HYPERLINK("https://www.lazada.vn/products/ruou-vang-do-mezzoto-i2532806698.html", "https://www.lazada.vn/products/ruou-vang-do-mezzoto-i2532806698.html")</f>
        <v>https://www.lazada.vn/products/ruou-vang-do-mezzoto-i2532806698.html</v>
      </c>
      <c r="C6859" s="10" t="s">
        <v>6859</v>
      </c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>
      <c r="A6860" s="8">
        <v>11714.0</v>
      </c>
      <c r="B6860" s="9" t="str">
        <f>HYPERLINK("https://www.lazada.vn/products/hcm-tuyet-yen-van-nam-100-gram-nau-che-duong-nhan-tach-ra-tu-bich-500g-muasamnhanh-i2652578242.html", "https://www.lazada.vn/products/hcm-tuyet-yen-van-nam-100-gram-nau-che-duong-nhan-tach-ra-tu-bich-500g-muasamnhanh-i2652578242.html")</f>
        <v>https://www.lazada.vn/products/hcm-tuyet-yen-van-nam-100-gram-nau-che-duong-nhan-tach-ra-tu-bich-500g-muasamnhanh-i2652578242.html</v>
      </c>
      <c r="C6860" s="10" t="s">
        <v>6860</v>
      </c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>
      <c r="A6861" s="8">
        <v>11715.0</v>
      </c>
      <c r="B6861" s="9" t="str">
        <f>HYPERLINK("https://www.lazada.vn/products/sua-chua-vien-trai-cay-say-thang-hoa-sua-chua-say-kho-an-kieng-i2725101304.html", "https://www.lazada.vn/products/sua-chua-vien-trai-cay-say-thang-hoa-sua-chua-say-kho-an-kieng-i2725101304.html")</f>
        <v>https://www.lazada.vn/products/sua-chua-vien-trai-cay-say-thang-hoa-sua-chua-say-kho-an-kieng-i2725101304.html</v>
      </c>
      <c r="C6861" s="10" t="s">
        <v>6861</v>
      </c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>
      <c r="A6862" s="8">
        <v>11716.0</v>
      </c>
      <c r="B6862" s="9" t="str">
        <f>HYPERLINK("https://www.lazada.vn/products/ruou-vang-do-promeasa-syrah-i2532719893.html", "https://www.lazada.vn/products/ruou-vang-do-promeasa-syrah-i2532719893.html")</f>
        <v>https://www.lazada.vn/products/ruou-vang-do-promeasa-syrah-i2532719893.html</v>
      </c>
      <c r="C6862" s="10" t="s">
        <v>6862</v>
      </c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>
      <c r="A6863" s="8">
        <v>11717.0</v>
      </c>
      <c r="B6863" s="9" t="str">
        <f>HYPERLINK("https://www.lazada.vn/products/hcm-cot-sam-bi-dao-co-dac-500-gram-i2652565290.html", "https://www.lazada.vn/products/hcm-cot-sam-bi-dao-co-dac-500-gram-i2652565290.html")</f>
        <v>https://www.lazada.vn/products/hcm-cot-sam-bi-dao-co-dac-500-gram-i2652565290.html</v>
      </c>
      <c r="C6863" s="10" t="s">
        <v>6863</v>
      </c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>
      <c r="A6864" s="8">
        <v>11718.0</v>
      </c>
      <c r="B6864" s="9" t="str">
        <f>HYPERLINK("https://www.lazada.vn/products/combo-6-vang-do-romania-feteasca-neagra-2016-i2531369226.html", "https://www.lazada.vn/products/combo-6-vang-do-romania-feteasca-neagra-2016-i2531369226.html")</f>
        <v>https://www.lazada.vn/products/combo-6-vang-do-romania-feteasca-neagra-2016-i2531369226.html</v>
      </c>
      <c r="C6864" s="10" t="s">
        <v>6864</v>
      </c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>
      <c r="A6865" s="8">
        <v>11719.0</v>
      </c>
      <c r="B6865" s="9" t="str">
        <f>HYPERLINK("https://www.lazada.vn/products/sua-chua-vien-trai-cay-say-thang-hoa-sua-chua-say-kho-an-kieng-i2725061368.html", "https://www.lazada.vn/products/sua-chua-vien-trai-cay-say-thang-hoa-sua-chua-say-kho-an-kieng-i2725061368.html")</f>
        <v>https://www.lazada.vn/products/sua-chua-vien-trai-cay-say-thang-hoa-sua-chua-say-kho-an-kieng-i2725061368.html</v>
      </c>
      <c r="C6865" s="10" t="s">
        <v>6865</v>
      </c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>
      <c r="A6866" s="8">
        <v>11720.0</v>
      </c>
      <c r="B6866" s="9" t="str">
        <f>HYPERLINK("https://www.lazada.vn/products/hop-100v-vienuong-ho-tro-cai-bia-ruou-hieu-qua-chinh-hang-thai-lan-i2650954016.html", "https://www.lazada.vn/products/hop-100v-vienuong-ho-tro-cai-bia-ruou-hieu-qua-chinh-hang-thai-lan-i2650954016.html")</f>
        <v>https://www.lazada.vn/products/hop-100v-vienuong-ho-tro-cai-bia-ruou-hieu-qua-chinh-hang-thai-lan-i2650954016.html</v>
      </c>
      <c r="C6866" s="10" t="s">
        <v>6866</v>
      </c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>
      <c r="A6867" s="8">
        <v>11721.0</v>
      </c>
      <c r="B6867" s="9" t="str">
        <f>HYPERLINK("https://www.lazada.vn/products/sua-ngam-mam-nhi-ca-tac-sua-ngam-mam-gion-sut-sut-te-tai-kho-cuong-dac-san-minh-triet-i2724420418.html", "https://www.lazada.vn/products/sua-ngam-mam-nhi-ca-tac-sua-ngam-mam-gion-sut-sut-te-tai-kho-cuong-dac-san-minh-triet-i2724420418.html")</f>
        <v>https://www.lazada.vn/products/sua-ngam-mam-nhi-ca-tac-sua-ngam-mam-gion-sut-sut-te-tai-kho-cuong-dac-san-minh-triet-i2724420418.html</v>
      </c>
      <c r="C6867" s="10" t="s">
        <v>6867</v>
      </c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>
      <c r="A6868" s="8">
        <v>11722.0</v>
      </c>
      <c r="B6868" s="9" t="str">
        <f>HYPERLINK("https://www.lazada.vn/products/bo-3-thach-ich-nhi-hop-21-tui-x-30-gr-huong-trai-cayvi-ngot-thanh-nhe-bo-sung-dinh-duong-cho-be-i2650879515.html", "https://www.lazada.vn/products/bo-3-thach-ich-nhi-hop-21-tui-x-30-gr-huong-trai-cayvi-ngot-thanh-nhe-bo-sung-dinh-duong-cho-be-i2650879515.html")</f>
        <v>https://www.lazada.vn/products/bo-3-thach-ich-nhi-hop-21-tui-x-30-gr-huong-trai-cayvi-ngot-thanh-nhe-bo-sung-dinh-duong-cho-be-i2650879515.html</v>
      </c>
      <c r="C6868" s="10" t="s">
        <v>6868</v>
      </c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>
      <c r="A6869" s="8">
        <v>11723.0</v>
      </c>
      <c r="B6869" s="9" t="str">
        <f>HYPERLINK("https://www.lazada.vn/products/hsd-041125-nuoc-ep-nam-viet-quat-ocean-spray-cranberry-juice-cocktail-189l-64fl-oz-i2723190344.html", "https://www.lazada.vn/products/hsd-041125-nuoc-ep-nam-viet-quat-ocean-spray-cranberry-juice-cocktail-189l-64fl-oz-i2723190344.html")</f>
        <v>https://www.lazada.vn/products/hsd-041125-nuoc-ep-nam-viet-quat-ocean-spray-cranberry-juice-cocktail-189l-64fl-oz-i2723190344.html</v>
      </c>
      <c r="C6869" s="10" t="s">
        <v>6869</v>
      </c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>
      <c r="A6870" s="8">
        <v>11724.0</v>
      </c>
      <c r="B6870" s="9" t="str">
        <f>HYPERLINK("https://www.lazada.vn/products/set-nau-sua-tuoi-tran-chau-duong-den-15ly-freeship-set-lam-tra-sua-tran-chau-tu-pha-phuc-long-thai-xanh-duong-den-i2650247264.html", "https://www.lazada.vn/products/set-nau-sua-tuoi-tran-chau-duong-den-15ly-freeship-set-lam-tra-sua-tran-chau-tu-pha-phuc-long-thai-xanh-duong-den-i2650247264.html")</f>
        <v>https://www.lazada.vn/products/set-nau-sua-tuoi-tran-chau-duong-den-15ly-freeship-set-lam-tra-sua-tran-chau-tu-pha-phuc-long-thai-xanh-duong-den-i2650247264.html</v>
      </c>
      <c r="C6870" s="10" t="s">
        <v>6870</v>
      </c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>
      <c r="A6871" s="8">
        <v>11725.0</v>
      </c>
      <c r="B6871" s="9" t="str">
        <f>HYPERLINK("https://www.lazada.vn/products/hsd-041125-nuoc-ep-nam-viet-quat-ocean-spray-cranberry-juice-cocktail-189l-64fl-oz-i2723105491.html", "https://www.lazada.vn/products/hsd-041125-nuoc-ep-nam-viet-quat-ocean-spray-cranberry-juice-cocktail-189l-64fl-oz-i2723105491.html")</f>
        <v>https://www.lazada.vn/products/hsd-041125-nuoc-ep-nam-viet-quat-ocean-spray-cranberry-juice-cocktail-189l-64fl-oz-i2723105491.html</v>
      </c>
      <c r="C6871" s="10" t="s">
        <v>6871</v>
      </c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>
      <c r="A6872" s="8">
        <v>11726.0</v>
      </c>
      <c r="B6872" s="9" t="str">
        <f>HYPERLINK("https://www.lazada.vn/products/set-che-khuc-bach-10-12-chen-freeship-nguyen-lieu-che-khuc-bach-tu-nau-3-vi-thach-cao-cap-i2650025870.html", "https://www.lazada.vn/products/set-che-khuc-bach-10-12-chen-freeship-nguyen-lieu-che-khuc-bach-tu-nau-3-vi-thach-cao-cap-i2650025870.html")</f>
        <v>https://www.lazada.vn/products/set-che-khuc-bach-10-12-chen-freeship-nguyen-lieu-che-khuc-bach-tu-nau-3-vi-thach-cao-cap-i2650025870.html</v>
      </c>
      <c r="C6872" s="10" t="s">
        <v>6872</v>
      </c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>
      <c r="A6873" s="8">
        <v>11727.0</v>
      </c>
      <c r="B6873" s="9" t="str">
        <f>HYPERLINK("https://www.lazada.vn/products/gia-tot-nuoc-chanh-day-mac-mac-1l-i2722895747.html", "https://www.lazada.vn/products/gia-tot-nuoc-chanh-day-mac-mac-1l-i2722895747.html")</f>
        <v>https://www.lazada.vn/products/gia-tot-nuoc-chanh-day-mac-mac-1l-i2722895747.html</v>
      </c>
      <c r="C6873" s="10" t="s">
        <v>6873</v>
      </c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>
      <c r="A6874" s="8">
        <v>11728.0</v>
      </c>
      <c r="B6874" s="9" t="str">
        <f>HYPERLINK("https://www.lazada.vn/products/thach-dua-thai-lan-hu-1kg-giai-nhiet-mua-he-i2649812606.html", "https://www.lazada.vn/products/thach-dua-thai-lan-hu-1kg-giai-nhiet-mua-he-i2649812606.html")</f>
        <v>https://www.lazada.vn/products/thach-dua-thai-lan-hu-1kg-giai-nhiet-mua-he-i2649812606.html</v>
      </c>
      <c r="C6874" s="10" t="s">
        <v>6874</v>
      </c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>
      <c r="A6875" s="8">
        <v>11729.0</v>
      </c>
      <c r="B6875" s="9" t="str">
        <f>HYPERLINK("https://www.lazada.vn/products/gia-tot-sinh-to-berrino-du-loai-1l-i2722829926.html", "https://www.lazada.vn/products/gia-tot-sinh-to-berrino-du-loai-1l-i2722829926.html")</f>
        <v>https://www.lazada.vn/products/gia-tot-sinh-to-berrino-du-loai-1l-i2722829926.html</v>
      </c>
      <c r="C6875" s="10" t="s">
        <v>6875</v>
      </c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>
      <c r="A6876" s="8">
        <v>11730.0</v>
      </c>
      <c r="B6876" s="9" t="str">
        <f>HYPERLINK("https://www.lazada.vn/products/bich-15-kg-thach-trai-cay-3-mau-lotus-food-i2649742609.html", "https://www.lazada.vn/products/bich-15-kg-thach-trai-cay-3-mau-lotus-food-i2649742609.html")</f>
        <v>https://www.lazada.vn/products/bich-15-kg-thach-trai-cay-3-mau-lotus-food-i2649742609.html</v>
      </c>
      <c r="C6876" s="10" t="s">
        <v>6876</v>
      </c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>
      <c r="A6877" s="8">
        <v>11731.0</v>
      </c>
      <c r="B6877" s="9" t="str">
        <f>HYPERLINK("https://www.lazada.vn/products/moi-nuoc-trai-cay-khong-duong-khong-calo-crystal-light-siro-mix-vi-pha-tra-an-kieng-giam-can-eatclean-giai-nhiet-chai-48ml-viet-thai-organic-i2720186974.html", "https://www.lazada.vn/products/moi-nuoc-trai-cay-khong-duong-khong-calo-crystal-light-siro-mix-vi-pha-tra-an-kieng-giam-can-eatclean-giai-nhiet-chai-48ml-viet-thai-organic-i2720186974.html")</f>
        <v>https://www.lazada.vn/products/moi-nuoc-trai-cay-khong-duong-khong-calo-crystal-light-siro-mix-vi-pha-tra-an-kieng-giam-can-eatclean-giai-nhiet-chai-48ml-viet-thai-organic-i2720186974.html</v>
      </c>
      <c r="C6877" s="10" t="s">
        <v>6877</v>
      </c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>
      <c r="A6878" s="8">
        <v>11732.0</v>
      </c>
      <c r="B6878" s="9" t="str">
        <f>HYPERLINK("https://www.lazada.vn/products/thach-dua-thai-lan-hu-1kg-giai-nhiet-mua-he-i2649737329.html", "https://www.lazada.vn/products/thach-dua-thai-lan-hu-1kg-giai-nhiet-mua-he-i2649737329.html")</f>
        <v>https://www.lazada.vn/products/thach-dua-thai-lan-hu-1kg-giai-nhiet-mua-he-i2649737329.html</v>
      </c>
      <c r="C6878" s="10" t="s">
        <v>6878</v>
      </c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>
      <c r="A6879" s="8">
        <v>11733.0</v>
      </c>
      <c r="B6879" s="9" t="str">
        <f>HYPERLINK("https://www.lazada.vn/products/bot-kem-beo-ciel-goi-1kg-i2649674542.html", "https://www.lazada.vn/products/bot-kem-beo-ciel-goi-1kg-i2649674542.html")</f>
        <v>https://www.lazada.vn/products/bot-kem-beo-ciel-goi-1kg-i2649674542.html</v>
      </c>
      <c r="C6879" s="10" t="s">
        <v>6879</v>
      </c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>
      <c r="A6880" s="8">
        <v>11734.0</v>
      </c>
      <c r="B6880" s="9" t="str">
        <f>HYPERLINK("https://www.lazada.vn/products/qua-tang-khong-ban-1-tui-nuoc-ep-thach-dau-ho-tro-be-tang-chieu-cao-de-khang-andros-fruit-me-up-90gx1-i2719258707.html", "https://www.lazada.vn/products/qua-tang-khong-ban-1-tui-nuoc-ep-thach-dau-ho-tro-be-tang-chieu-cao-de-khang-andros-fruit-me-up-90gx1-i2719258707.html")</f>
        <v>https://www.lazada.vn/products/qua-tang-khong-ban-1-tui-nuoc-ep-thach-dau-ho-tro-be-tang-chieu-cao-de-khang-andros-fruit-me-up-90gx1-i2719258707.html</v>
      </c>
      <c r="C6880" s="10" t="s">
        <v>6880</v>
      </c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>
      <c r="A6881" s="8">
        <v>11735.0</v>
      </c>
      <c r="B6881" s="9" t="str">
        <f>HYPERLINK("https://www.lazada.vn/products/bia-thu-cong-cao-cap-modern-belgain-blonde-hop-4-chai-500ml-i1871176371.html", "https://www.lazada.vn/products/bia-thu-cong-cao-cap-modern-belgain-blonde-hop-4-chai-500ml-i1871176371.html")</f>
        <v>https://www.lazada.vn/products/bia-thu-cong-cao-cap-modern-belgain-blonde-hop-4-chai-500ml-i1871176371.html</v>
      </c>
      <c r="C6881" s="10" t="s">
        <v>6881</v>
      </c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>
      <c r="A6882" s="8">
        <v>11736.0</v>
      </c>
      <c r="B6882" s="9" t="str">
        <f>HYPERLINK("https://www.lazada.vn/products/ca-phe-tran-quang-q-ngon-tui-lon-52-goi-x-20-g-cafe-tran-quang-good-morning-3-in-1-ca-phe-sua-hoa-tan-ruvask-i2672662279.html", "https://www.lazada.vn/products/ca-phe-tran-quang-q-ngon-tui-lon-52-goi-x-20-g-cafe-tran-quang-good-morning-3-in-1-ca-phe-sua-hoa-tan-ruvask-i2672662279.html")</f>
        <v>https://www.lazada.vn/products/ca-phe-tran-quang-q-ngon-tui-lon-52-goi-x-20-g-cafe-tran-quang-good-morning-3-in-1-ca-phe-sua-hoa-tan-ruvask-i2672662279.html</v>
      </c>
      <c r="C6882" s="10" t="s">
        <v>6882</v>
      </c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>
      <c r="A6883" s="8">
        <v>11737.0</v>
      </c>
      <c r="B6883" s="9" t="str">
        <f>HYPERLINK("https://www.lazada.vn/products/tran-chau-3q-hieu-ok-nguyen-violong-bich-2kg-i2480711234.html", "https://www.lazada.vn/products/tran-chau-3q-hieu-ok-nguyen-violong-bich-2kg-i2480711234.html")</f>
        <v>https://www.lazada.vn/products/tran-chau-3q-hieu-ok-nguyen-violong-bich-2kg-i2480711234.html</v>
      </c>
      <c r="C6883" s="10" t="s">
        <v>6883</v>
      </c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>
      <c r="A6884" s="8">
        <v>11738.0</v>
      </c>
      <c r="B6884" s="9" t="str">
        <f>HYPERLINK("https://www.lazada.vn/products/1234-thao-moc-da-day-o-chua-trao-nguoc-vi-em-loet-dai-trang-ta-trang-cuc-hieu-qua-i2663162568.html", "https://www.lazada.vn/products/1234-thao-moc-da-day-o-chua-trao-nguoc-vi-em-loet-dai-trang-ta-trang-cuc-hieu-qua-i2663162568.html")</f>
        <v>https://www.lazada.vn/products/1234-thao-moc-da-day-o-chua-trao-nguoc-vi-em-loet-dai-trang-ta-trang-cuc-hieu-qua-i2663162568.html</v>
      </c>
      <c r="C6884" s="10" t="s">
        <v>6884</v>
      </c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>
      <c r="A6885" s="8">
        <v>11739.0</v>
      </c>
      <c r="B6885" s="9" t="str">
        <f>HYPERLINK("https://www.lazada.vn/products/banh-trang-cuon-tom-hanh-500g-banh-trang-cuon-tom-hanh-tay-ninh-loai-1-sieu-ngon-i2358141584.html", "https://www.lazada.vn/products/banh-trang-cuon-tom-hanh-500g-banh-trang-cuon-tom-hanh-tay-ninh-loai-1-sieu-ngon-i2358141584.html")</f>
        <v>https://www.lazada.vn/products/banh-trang-cuon-tom-hanh-500g-banh-trang-cuon-tom-hanh-tay-ninh-loai-1-sieu-ngon-i2358141584.html</v>
      </c>
      <c r="C6885" s="10" t="s">
        <v>6885</v>
      </c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>
      <c r="A6886" s="8">
        <v>11740.0</v>
      </c>
      <c r="B6886" s="9" t="str">
        <f>HYPERLINK("https://www.lazada.vn/products/combo-1-thung-mi-omachi-mi-tron-xot-spaghetti-goi-90g-va-1-hop-ponnie-hot-dog-gion-an-lien-hop-x-20-cay-x-28g-i2800873975.html", "https://www.lazada.vn/products/combo-1-thung-mi-omachi-mi-tron-xot-spaghetti-goi-90g-va-1-hop-ponnie-hot-dog-gion-an-lien-hop-x-20-cay-x-28g-i2800873975.html")</f>
        <v>https://www.lazada.vn/products/combo-1-thung-mi-omachi-mi-tron-xot-spaghetti-goi-90g-va-1-hop-ponnie-hot-dog-gion-an-lien-hop-x-20-cay-x-28g-i2800873975.html</v>
      </c>
      <c r="C6886" s="10" t="s">
        <v>6886</v>
      </c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>
      <c r="A6887" s="8">
        <v>11741.0</v>
      </c>
      <c r="B6887" s="9" t="str">
        <f>HYPERLINK("https://www.lazada.vn/products/vodka-men-suong-mu-300ml-mua-1-chai-tang-1-ly-thu-tinh-shop-thanh-vi-i2756981005.html", "https://www.lazada.vn/products/vodka-men-suong-mu-300ml-mua-1-chai-tang-1-ly-thu-tinh-shop-thanh-vi-i2756981005.html")</f>
        <v>https://www.lazada.vn/products/vodka-men-suong-mu-300ml-mua-1-chai-tang-1-ly-thu-tinh-shop-thanh-vi-i2756981005.html</v>
      </c>
      <c r="C6887" s="10" t="s">
        <v>6887</v>
      </c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>
      <c r="A6888" s="8">
        <v>11742.0</v>
      </c>
      <c r="B6888" s="9" t="str">
        <f>HYPERLINK("https://www.lazada.vn/products/luong-kho-an-kieng-fucuco-phu-cuong-tui-26-vien-duoc-hut-chan-khong-tung-vien-tien-loi-i2615775585.html", "https://www.lazada.vn/products/luong-kho-an-kieng-fucuco-phu-cuong-tui-26-vien-duoc-hut-chan-khong-tung-vien-tien-loi-i2615775585.html")</f>
        <v>https://www.lazada.vn/products/luong-kho-an-kieng-fucuco-phu-cuong-tui-26-vien-duoc-hut-chan-khong-tung-vien-tien-loi-i2615775585.html</v>
      </c>
      <c r="C6888" s="10" t="s">
        <v>6888</v>
      </c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>
      <c r="A6889" s="8">
        <v>11743.0</v>
      </c>
      <c r="B6889" s="9" t="str">
        <f>HYPERLINK("https://www.lazada.vn/products/socola-den-dang-nguyen-chat-khong-duong-100-keo-so-co-la-ca-cao-an-kieng-hop-120g-mood-choco-i2896473299.html", "https://www.lazada.vn/products/socola-den-dang-nguyen-chat-khong-duong-100-keo-so-co-la-ca-cao-an-kieng-hop-120g-mood-choco-i2896473299.html")</f>
        <v>https://www.lazada.vn/products/socola-den-dang-nguyen-chat-khong-duong-100-keo-so-co-la-ca-cao-an-kieng-hop-120g-mood-choco-i2896473299.html</v>
      </c>
      <c r="C6889" s="10" t="s">
        <v>6889</v>
      </c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>
      <c r="A6890" s="8">
        <v>11744.0</v>
      </c>
      <c r="B6890" s="9" t="str">
        <f>HYPERLINK("https://www.lazada.vn/products/bia-duc-das-schwarze-schwaben-brau-bia-den-49-vol-1-chai-500ml-i2886131757.html", "https://www.lazada.vn/products/bia-duc-das-schwarze-schwaben-brau-bia-den-49-vol-1-chai-500ml-i2886131757.html")</f>
        <v>https://www.lazada.vn/products/bia-duc-das-schwarze-schwaben-brau-bia-den-49-vol-1-chai-500ml-i2886131757.html</v>
      </c>
      <c r="C6890" s="10" t="s">
        <v>6890</v>
      </c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>
      <c r="A6891" s="8">
        <v>11745.0</v>
      </c>
      <c r="B6891" s="9" t="str">
        <f>HYPERLINK("https://www.lazada.vn/products/mi-bo-cay-co-vien-thit-that-sieu-thom-ngon-i2800763944.html", "https://www.lazada.vn/products/mi-bo-cay-co-vien-thit-that-sieu-thom-ngon-i2800763944.html")</f>
        <v>https://www.lazada.vn/products/mi-bo-cay-co-vien-thit-that-sieu-thom-ngon-i2800763944.html</v>
      </c>
      <c r="C6891" s="10" t="s">
        <v>6891</v>
      </c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>
      <c r="A6892" s="8">
        <v>11746.0</v>
      </c>
      <c r="B6892" s="9" t="str">
        <f>HYPERLINK("https://www.lazada.vn/products/binh-tay-food-mi-hai-tom-goi-70gr-i2800354255.html", "https://www.lazada.vn/products/binh-tay-food-mi-hai-tom-goi-70gr-i2800354255.html")</f>
        <v>https://www.lazada.vn/products/binh-tay-food-mi-hai-tom-goi-70gr-i2800354255.html</v>
      </c>
      <c r="C6892" s="10" t="s">
        <v>6892</v>
      </c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>
      <c r="A6893" s="8">
        <v>11747.0</v>
      </c>
      <c r="B6893" s="9" t="str">
        <f>HYPERLINK("https://www.lazada.vn/products/bun-rieu-cua-vifon-1-goi-x-80g-i2798556847.html", "https://www.lazada.vn/products/bun-rieu-cua-vifon-1-goi-x-80g-i2798556847.html")</f>
        <v>https://www.lazada.vn/products/bun-rieu-cua-vifon-1-goi-x-80g-i2798556847.html</v>
      </c>
      <c r="C6893" s="10" t="s">
        <v>6893</v>
      </c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>
      <c r="A6894" s="8">
        <v>11748.0</v>
      </c>
      <c r="B6894" s="9" t="str">
        <f>HYPERLINK("https://www.lazada.vn/products/thung-30-goi-kokomi-tom-chua-cay-65g-i2798550872.html", "https://www.lazada.vn/products/thung-30-goi-kokomi-tom-chua-cay-65g-i2798550872.html")</f>
        <v>https://www.lazada.vn/products/thung-30-goi-kokomi-tom-chua-cay-65g-i2798550872.html</v>
      </c>
      <c r="C6894" s="10" t="s">
        <v>6894</v>
      </c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>
      <c r="A6895" s="8">
        <v>11749.0</v>
      </c>
      <c r="B6895" s="9" t="str">
        <f>HYPERLINK("https://www.lazada.vn/products/chao-ngu-coc-7-huong-vi-thom-ngon-bo-duong-chao-dinh-duong-day-du-duong-chat-cho-con-nguoi-om-i2798221462.html", "https://www.lazada.vn/products/chao-ngu-coc-7-huong-vi-thom-ngon-bo-duong-chao-dinh-duong-day-du-duong-chat-cho-con-nguoi-om-i2798221462.html")</f>
        <v>https://www.lazada.vn/products/chao-ngu-coc-7-huong-vi-thom-ngon-bo-duong-chao-dinh-duong-day-du-duong-chat-cho-con-nguoi-om-i2798221462.html</v>
      </c>
      <c r="C6895" s="10" t="s">
        <v>6895</v>
      </c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>
      <c r="A6896" s="8">
        <v>11750.0</v>
      </c>
      <c r="B6896" s="9" t="str">
        <f>HYPERLINK("https://www.lazada.vn/products/chao-thit-bam-vifon-1-goi-x-70g-i2797017707.html", "https://www.lazada.vn/products/chao-thit-bam-vifon-1-goi-x-70g-i2797017707.html")</f>
        <v>https://www.lazada.vn/products/chao-thit-bam-vifon-1-goi-x-70g-i2797017707.html</v>
      </c>
      <c r="C6896" s="10" t="s">
        <v>6896</v>
      </c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>
      <c r="A6897" s="8">
        <v>11751.0</v>
      </c>
      <c r="B6897" s="9" t="str">
        <f>HYPERLINK("https://www.lazada.vn/products/chao-nam-dong-co-1-goi-70g-chay-man-deu-dung-duoc-i2795974311.html", "https://www.lazada.vn/products/chao-nam-dong-co-1-goi-70g-chay-man-deu-dung-duoc-i2795974311.html")</f>
        <v>https://www.lazada.vn/products/chao-nam-dong-co-1-goi-70g-chay-man-deu-dung-duoc-i2795974311.html</v>
      </c>
      <c r="C6897" s="10" t="s">
        <v>6897</v>
      </c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>
      <c r="A6898" s="8">
        <v>11752.0</v>
      </c>
      <c r="B6898" s="9" t="str">
        <f>HYPERLINK("https://www.lazada.vn/products/step-1-hop-7-goi-chao-gao-sua-mix-hat-mammy-nau-chao-bo-sung-dinh-duong-cho-be-6-8-thang-30gr1goi-i2795758891.html", "https://www.lazada.vn/products/step-1-hop-7-goi-chao-gao-sua-mix-hat-mammy-nau-chao-bo-sung-dinh-duong-cho-be-6-8-thang-30gr1goi-i2795758891.html")</f>
        <v>https://www.lazada.vn/products/step-1-hop-7-goi-chao-gao-sua-mix-hat-mammy-nau-chao-bo-sung-dinh-duong-cho-be-6-8-thang-30gr1goi-i2795758891.html</v>
      </c>
      <c r="C6898" s="10" t="s">
        <v>6898</v>
      </c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>
      <c r="A6899" s="8">
        <v>11753.0</v>
      </c>
      <c r="B6899" s="9" t="str">
        <f>HYPERLINK("https://www.lazada.vn/products/thung-16-goi-omtomi-mi-nau-4-phut-omtomi-kieu-viet-nam-vi-thit-nuong-mi-an-lien-thit-nuong-mi-omtomi-thit-nuong-an-lien-115ggoi-i2794217170.html", "https://www.lazada.vn/products/thung-16-goi-omtomi-mi-nau-4-phut-omtomi-kieu-viet-nam-vi-thit-nuong-mi-an-lien-thit-nuong-mi-omtomi-thit-nuong-an-lien-115ggoi-i2794217170.html")</f>
        <v>https://www.lazada.vn/products/thung-16-goi-omtomi-mi-nau-4-phut-omtomi-kieu-viet-nam-vi-thit-nuong-mi-an-lien-thit-nuong-mi-omtomi-thit-nuong-an-lien-115ggoi-i2794217170.html</v>
      </c>
      <c r="C6899" s="10" t="s">
        <v>6899</v>
      </c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>
      <c r="A6900" s="8">
        <v>11754.0</v>
      </c>
      <c r="B6900" s="9" t="str">
        <f>HYPERLINK("https://www.lazada.vn/products/cb-15-goi-mi-3-mien-gold-cay-3-cap-do-goi-75g-i2792327939.html", "https://www.lazada.vn/products/cb-15-goi-mi-3-mien-gold-cay-3-cap-do-goi-75g-i2792327939.html")</f>
        <v>https://www.lazada.vn/products/cb-15-goi-mi-3-mien-gold-cay-3-cap-do-goi-75g-i2792327939.html</v>
      </c>
      <c r="C6900" s="10" t="s">
        <v>6900</v>
      </c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>
      <c r="A6901" s="8">
        <v>11755.0</v>
      </c>
      <c r="B6901" s="9" t="str">
        <f>HYPERLINK("https://www.lazada.vn/products/combo-1t-mi-vang-24-goi-gia-sieu-re-i2792170024.html", "https://www.lazada.vn/products/combo-1t-mi-vang-24-goi-gia-sieu-re-i2792170024.html")</f>
        <v>https://www.lazada.vn/products/combo-1t-mi-vang-24-goi-gia-sieu-re-i2792170024.html</v>
      </c>
      <c r="C6901" s="10" t="s">
        <v>6901</v>
      </c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>
      <c r="A6902" s="8">
        <v>11756.0</v>
      </c>
      <c r="B6902" s="9" t="str">
        <f>HYPERLINK("https://www.lazada.vn/products/bia-asahi-super-dry-2l-bia-nhat-ban-binh-2-lit-i2881598676.html", "https://www.lazada.vn/products/bia-asahi-super-dry-2l-bia-nhat-ban-binh-2-lit-i2881598676.html")</f>
        <v>https://www.lazada.vn/products/bia-asahi-super-dry-2l-bia-nhat-ban-binh-2-lit-i2881598676.html</v>
      </c>
      <c r="C6902" s="10" t="s">
        <v>6902</v>
      </c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>
      <c r="A6903" s="8">
        <v>11757.0</v>
      </c>
      <c r="B6903" s="9" t="str">
        <f>HYPERLINK("https://www.lazada.vn/products/mi-hao-hao-vat-khong-goi-gia-vi-655g-i2790041433.html", "https://www.lazada.vn/products/mi-hao-hao-vat-khong-goi-gia-vi-655g-i2790041433.html")</f>
        <v>https://www.lazada.vn/products/mi-hao-hao-vat-khong-goi-gia-vi-655g-i2790041433.html</v>
      </c>
      <c r="C6903" s="10" t="s">
        <v>6903</v>
      </c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>
      <c r="A6904" s="8">
        <v>11758.0</v>
      </c>
      <c r="B6904" s="9" t="str">
        <f>HYPERLINK("https://www.lazada.vn/products/combo-5-banh-dua-nuong-quang-nam-hieu-thai-binh-hop-230g-dac-san-viet-nam-lam-qua-banh-dua-nuong-gion-i2865110042.html", "https://www.lazada.vn/products/combo-5-banh-dua-nuong-quang-nam-hieu-thai-binh-hop-230g-dac-san-viet-nam-lam-qua-banh-dua-nuong-gion-i2865110042.html")</f>
        <v>https://www.lazada.vn/products/combo-5-banh-dua-nuong-quang-nam-hieu-thai-binh-hop-230g-dac-san-viet-nam-lam-qua-banh-dua-nuong-gion-i2865110042.html</v>
      </c>
      <c r="C6904" s="10" t="s">
        <v>6904</v>
      </c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>
      <c r="A6905" s="8">
        <v>11759.0</v>
      </c>
      <c r="B6905" s="9" t="str">
        <f>HYPERLINK("https://www.lazada.vn/products/whisky-chamvin-i2880824063.html", "https://www.lazada.vn/products/whisky-chamvin-i2880824063.html")</f>
        <v>https://www.lazada.vn/products/whisky-chamvin-i2880824063.html</v>
      </c>
      <c r="C6905" s="10" t="s">
        <v>6905</v>
      </c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>
      <c r="A6906" s="8">
        <v>11760.0</v>
      </c>
      <c r="B6906" s="9" t="str">
        <f>HYPERLINK("https://www.lazada.vn/products/banh-gau-nhan-kem-choco-bear-mini-nhieu-vi-i2608411424.html", "https://www.lazada.vn/products/banh-gau-nhan-kem-choco-bear-mini-nhieu-vi-i2608411424.html")</f>
        <v>https://www.lazada.vn/products/banh-gau-nhan-kem-choco-bear-mini-nhieu-vi-i2608411424.html</v>
      </c>
      <c r="C6906" s="10" t="s">
        <v>6906</v>
      </c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>
      <c r="A6907" s="8">
        <v>11761.0</v>
      </c>
      <c r="B6907" s="9" t="str">
        <f>HYPERLINK("https://www.lazada.vn/products/mi-koreno-jumbo-lau-kim-chi-si-1-thung-i2789062107.html", "https://www.lazada.vn/products/mi-koreno-jumbo-lau-kim-chi-si-1-thung-i2789062107.html")</f>
        <v>https://www.lazada.vn/products/mi-koreno-jumbo-lau-kim-chi-si-1-thung-i2789062107.html</v>
      </c>
      <c r="C6907" s="10" t="s">
        <v>6907</v>
      </c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>
      <c r="A6908" s="8">
        <v>11762.0</v>
      </c>
      <c r="B6908" s="9" t="str">
        <f>HYPERLINK("https://www.lazada.vn/products/combo-3-tui-thach-heatthy-an-cung-ba-tuyet-do-an-vat-viet-nam-i2549356695.html", "https://www.lazada.vn/products/combo-3-tui-thach-heatthy-an-cung-ba-tuyet-do-an-vat-viet-nam-i2549356695.html")</f>
        <v>https://www.lazada.vn/products/combo-3-tui-thach-heatthy-an-cung-ba-tuyet-do-an-vat-viet-nam-i2549356695.html</v>
      </c>
      <c r="C6908" s="10" t="s">
        <v>6908</v>
      </c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>
      <c r="A6909" s="8">
        <v>11763.0</v>
      </c>
      <c r="B6909" s="9" t="str">
        <f>HYPERLINK("https://www.lazada.vn/products/1-lon-bia-333-330mllon-date-luon-moi-i2880672513.html", "https://www.lazada.vn/products/1-lon-bia-333-330mllon-date-luon-moi-i2880672513.html")</f>
        <v>https://www.lazada.vn/products/1-lon-bia-333-330mllon-date-luon-moi-i2880672513.html</v>
      </c>
      <c r="C6909" s="10" t="s">
        <v>6909</v>
      </c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>
      <c r="A6910" s="8">
        <v>11764.0</v>
      </c>
      <c r="B6910" s="9" t="str">
        <f>HYPERLINK("https://www.lazada.vn/products/loc-5-goi-mi-koreno-jumbo-vi-lau-thai-chua-cay-100gr-i2788825389.html", "https://www.lazada.vn/products/loc-5-goi-mi-koreno-jumbo-vi-lau-thai-chua-cay-100gr-i2788825389.html")</f>
        <v>https://www.lazada.vn/products/loc-5-goi-mi-koreno-jumbo-vi-lau-thai-chua-cay-100gr-i2788825389.html</v>
      </c>
      <c r="C6910" s="10" t="s">
        <v>6910</v>
      </c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>
      <c r="A6911" s="8">
        <v>11765.0</v>
      </c>
      <c r="B6911" s="9" t="str">
        <f>HYPERLINK("https://www.lazada.vn/products/bo-co-vua-nam-cham-mini-gap-gon-i2534215885.html", "https://www.lazada.vn/products/bo-co-vua-nam-cham-mini-gap-gon-i2534215885.html")</f>
        <v>https://www.lazada.vn/products/bo-co-vua-nam-cham-mini-gap-gon-i2534215885.html</v>
      </c>
      <c r="C6911" s="10" t="s">
        <v>6911</v>
      </c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>
      <c r="A6912" s="8">
        <v>11766.0</v>
      </c>
      <c r="B6912" s="9" t="str">
        <f>HYPERLINK("https://www.lazada.vn/products/bia-tiger-330ml-trung-thuong-giat-nap-i2880038183.html", "https://www.lazada.vn/products/bia-tiger-330ml-trung-thuong-giat-nap-i2880038183.html")</f>
        <v>https://www.lazada.vn/products/bia-tiger-330ml-trung-thuong-giat-nap-i2880038183.html</v>
      </c>
      <c r="C6912" s="10" t="s">
        <v>6912</v>
      </c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>
      <c r="A6913" s="8">
        <v>11767.0</v>
      </c>
      <c r="B6913" s="9" t="str">
        <f>HYPERLINK("https://www.lazada.vn/products/chan-sua-bien-an-lien-bich-500g-khong-tinh-nuoc-i2786914645.html", "https://www.lazada.vn/products/chan-sua-bien-an-lien-bich-500g-khong-tinh-nuoc-i2786914645.html")</f>
        <v>https://www.lazada.vn/products/chan-sua-bien-an-lien-bich-500g-khong-tinh-nuoc-i2786914645.html</v>
      </c>
      <c r="C6913" s="10" t="s">
        <v>6913</v>
      </c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>
      <c r="A6914" s="8">
        <v>11768.0</v>
      </c>
      <c r="B6914" s="9" t="str">
        <f>HYPERLINK("https://www.lazada.vn/products/cookies-hanh-nhan-nguyen-cam-3-vi-choco-matcha-salty-cheese-hebekery-banh-an-vat-healthy-danh-cho-me-bau-by-demee-i2515425276.html", "https://www.lazada.vn/products/cookies-hanh-nhan-nguyen-cam-3-vi-choco-matcha-salty-cheese-hebekery-banh-an-vat-healthy-danh-cho-me-bau-by-demee-i2515425276.html")</f>
        <v>https://www.lazada.vn/products/cookies-hanh-nhan-nguyen-cam-3-vi-choco-matcha-salty-cheese-hebekery-banh-an-vat-healthy-danh-cho-me-bau-by-demee-i2515425276.html</v>
      </c>
      <c r="C6914" s="10" t="s">
        <v>6914</v>
      </c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>
      <c r="A6915" s="8">
        <v>11769.0</v>
      </c>
      <c r="B6915" s="9" t="str">
        <f>HYPERLINK("https://www.lazada.vn/products/bia-tiger-250ml-trung-thuong-giat-nap-i2879891807.html", "https://www.lazada.vn/products/bia-tiger-250ml-trung-thuong-giat-nap-i2879891807.html")</f>
        <v>https://www.lazada.vn/products/bia-tiger-250ml-trung-thuong-giat-nap-i2879891807.html</v>
      </c>
      <c r="C6915" s="10" t="s">
        <v>6915</v>
      </c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>
      <c r="A6916" s="8">
        <v>11770.0</v>
      </c>
      <c r="B6916" s="9" t="str">
        <f>HYPERLINK("https://www.lazada.vn/products/combo-10-goi-mi-cung-dinh-vi-ga-ham-suon-ham-tom-chua-cay-i2786580022.html", "https://www.lazada.vn/products/combo-10-goi-mi-cung-dinh-vi-ga-ham-suon-ham-tom-chua-cay-i2786580022.html")</f>
        <v>https://www.lazada.vn/products/combo-10-goi-mi-cung-dinh-vi-ga-ham-suon-ham-tom-chua-cay-i2786580022.html</v>
      </c>
      <c r="C6916" s="10" t="s">
        <v>6916</v>
      </c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>
      <c r="A6917" s="8">
        <v>11771.0</v>
      </c>
      <c r="B6917" s="9" t="str">
        <f>HYPERLINK("https://www.lazada.vn/products/banh-quy-sua-cosy-marrie-240g-10-goi-x-24g-i2483321034.html", "https://www.lazada.vn/products/banh-quy-sua-cosy-marrie-240g-10-goi-x-24g-i2483321034.html")</f>
        <v>https://www.lazada.vn/products/banh-quy-sua-cosy-marrie-240g-10-goi-x-24g-i2483321034.html</v>
      </c>
      <c r="C6917" s="10" t="s">
        <v>6917</v>
      </c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>
      <c r="A6918" s="8">
        <v>11772.0</v>
      </c>
      <c r="B6918" s="9" t="str">
        <f>HYPERLINK("https://www.lazada.vn/products/bia-carlsberg-danish-pilsner-330ml-khuyen-mai-1-cap-ly-carlsberg-cao-cap-i2879867804.html", "https://www.lazada.vn/products/bia-carlsberg-danish-pilsner-330ml-khuyen-mai-1-cap-ly-carlsberg-cao-cap-i2879867804.html")</f>
        <v>https://www.lazada.vn/products/bia-carlsberg-danish-pilsner-330ml-khuyen-mai-1-cap-ly-carlsberg-cao-cap-i2879867804.html</v>
      </c>
      <c r="C6918" s="10" t="s">
        <v>6918</v>
      </c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>
      <c r="A6919" s="8">
        <v>11773.0</v>
      </c>
      <c r="B6919" s="9" t="str">
        <f>HYPERLINK("https://www.lazada.vn/products/mi-thai-chay-wai-wai-thung-30-goi-i2784284141.html", "https://www.lazada.vn/products/mi-thai-chay-wai-wai-thung-30-goi-i2784284141.html")</f>
        <v>https://www.lazada.vn/products/mi-thai-chay-wai-wai-thung-30-goi-i2784284141.html</v>
      </c>
      <c r="C6919" s="10" t="s">
        <v>6919</v>
      </c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>
      <c r="A6920" s="8">
        <v>11774.0</v>
      </c>
      <c r="B6920" s="9" t="str">
        <f>HYPERLINK("https://www.lazada.vn/products/banh-quy-ritz-man-kep-pho-mai-118g-cay-i2483312057.html", "https://www.lazada.vn/products/banh-quy-ritz-man-kep-pho-mai-118g-cay-i2483312057.html")</f>
        <v>https://www.lazada.vn/products/banh-quy-ritz-man-kep-pho-mai-118g-cay-i2483312057.html</v>
      </c>
      <c r="C6920" s="10" t="s">
        <v>6920</v>
      </c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>
      <c r="A6921" s="8">
        <v>11775.0</v>
      </c>
      <c r="B6921" s="9" t="str">
        <f>HYPERLINK("https://www.lazada.vn/products/bia-tuborg-green-330ml-trung-thuong-_-giat-nap-i2879840826.html", "https://www.lazada.vn/products/bia-tuborg-green-330ml-trung-thuong-_-giat-nap-i2879840826.html")</f>
        <v>https://www.lazada.vn/products/bia-tuborg-green-330ml-trung-thuong-_-giat-nap-i2879840826.html</v>
      </c>
      <c r="C6921" s="10" t="s">
        <v>6921</v>
      </c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>
      <c r="A6922" s="8">
        <v>11776.0</v>
      </c>
      <c r="B6922" s="9" t="str">
        <f>HYPERLINK("https://www.lazada.vn/products/mi-kokomi-dai-90-tom-chua-cay-goi-thung-30-goi-x-90g-i2784275207.html", "https://www.lazada.vn/products/mi-kokomi-dai-90-tom-chua-cay-goi-thung-30-goi-x-90g-i2784275207.html")</f>
        <v>https://www.lazada.vn/products/mi-kokomi-dai-90-tom-chua-cay-goi-thung-30-goi-x-90g-i2784275207.html</v>
      </c>
      <c r="C6922" s="10" t="s">
        <v>6922</v>
      </c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>
      <c r="A6923" s="8">
        <v>11777.0</v>
      </c>
      <c r="B6923" s="9" t="str">
        <f>HYPERLINK("https://www.lazada.vn/products/banh-quy-oreo-vi-kem-lanh-viet-quat-1196g-i2483278281.html", "https://www.lazada.vn/products/banh-quy-oreo-vi-kem-lanh-viet-quat-1196g-i2483278281.html")</f>
        <v>https://www.lazada.vn/products/banh-quy-oreo-vi-kem-lanh-viet-quat-1196g-i2483278281.html</v>
      </c>
      <c r="C6923" s="10" t="s">
        <v>6923</v>
      </c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>
      <c r="A6924" s="8">
        <v>11778.0</v>
      </c>
      <c r="B6924" s="9" t="str">
        <f>HYPERLINK("https://www.lazada.vn/products/combo-3-can-2l-bia-asahi-super-dry-chinh-hang-nhat-ban-2lcan-i2877988627.html", "https://www.lazada.vn/products/combo-3-can-2l-bia-asahi-super-dry-chinh-hang-nhat-ban-2lcan-i2877988627.html")</f>
        <v>https://www.lazada.vn/products/combo-3-can-2l-bia-asahi-super-dry-chinh-hang-nhat-ban-2lcan-i2877988627.html</v>
      </c>
      <c r="C6924" s="10" t="s">
        <v>6924</v>
      </c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>
      <c r="A6925" s="8">
        <v>11779.0</v>
      </c>
      <c r="B6925" s="9" t="str">
        <f>HYPERLINK("https://www.lazada.vn/products/thung-30-goi-mi-3-mien-tom-chua-cay-65g-i2783324082.html", "https://www.lazada.vn/products/thung-30-goi-mi-3-mien-tom-chua-cay-65g-i2783324082.html")</f>
        <v>https://www.lazada.vn/products/thung-30-goi-mi-3-mien-tom-chua-cay-65g-i2783324082.html</v>
      </c>
      <c r="C6925" s="10" t="s">
        <v>6925</v>
      </c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>
      <c r="A6926" s="8">
        <v>11780.0</v>
      </c>
      <c r="B6926" s="9" t="str">
        <f>HYPERLINK("https://www.lazada.vn/products/banh-quy-oreo-vi-socola-1196g-i2483254440.html", "https://www.lazada.vn/products/banh-quy-oreo-vi-socola-1196g-i2483254440.html")</f>
        <v>https://www.lazada.vn/products/banh-quy-oreo-vi-socola-1196g-i2483254440.html</v>
      </c>
      <c r="C6926" s="10" t="s">
        <v>6926</v>
      </c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>
      <c r="A6927" s="8">
        <v>11781.0</v>
      </c>
      <c r="B6927" s="9" t="str">
        <f>HYPERLINK("https://www.lazada.vn/products/1-can-2l-bia-asahi-super-dry-chinh-hang-nhat-ban-i2877943606.html", "https://www.lazada.vn/products/1-can-2l-bia-asahi-super-dry-chinh-hang-nhat-ban-i2877943606.html")</f>
        <v>https://www.lazada.vn/products/1-can-2l-bia-asahi-super-dry-chinh-hang-nhat-ban-i2877943606.html</v>
      </c>
      <c r="C6927" s="10" t="s">
        <v>6927</v>
      </c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>
      <c r="A6928" s="8">
        <v>11782.0</v>
      </c>
      <c r="B6928" s="9" t="str">
        <f>HYPERLINK("https://www.lazada.vn/products/thung-30-goi-mi-gau-do-ga-soi-pho-63g-i2783259342.html", "https://www.lazada.vn/products/thung-30-goi-mi-gau-do-ga-soi-pho-63g-i2783259342.html")</f>
        <v>https://www.lazada.vn/products/thung-30-goi-mi-gau-do-ga-soi-pho-63g-i2783259342.html</v>
      </c>
      <c r="C6928" s="10" t="s">
        <v>6928</v>
      </c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>
      <c r="A6929" s="8">
        <v>11783.0</v>
      </c>
      <c r="B6929" s="9" t="str">
        <f>HYPERLINK("https://www.lazada.vn/products/banh-cosy-marrie-272g-goi-i2483198805.html", "https://www.lazada.vn/products/banh-cosy-marrie-272g-goi-i2483198805.html")</f>
        <v>https://www.lazada.vn/products/banh-cosy-marrie-272g-goi-i2483198805.html</v>
      </c>
      <c r="C6929" s="10" t="s">
        <v>6929</v>
      </c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>
      <c r="A6930" s="8">
        <v>11784.0</v>
      </c>
      <c r="B6930" s="9" t="str">
        <f>HYPERLINK("https://www.lazada.vn/products/thung-6-can-2l-bia-asahi-super-dry-chinh-hang-nhat-ban-2lcan-i2877918915.html", "https://www.lazada.vn/products/thung-6-can-2l-bia-asahi-super-dry-chinh-hang-nhat-ban-2lcan-i2877918915.html")</f>
        <v>https://www.lazada.vn/products/thung-6-can-2l-bia-asahi-super-dry-chinh-hang-nhat-ban-2lcan-i2877918915.html</v>
      </c>
      <c r="C6930" s="10" t="s">
        <v>6930</v>
      </c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>
      <c r="A6931" s="8">
        <v>11785.0</v>
      </c>
      <c r="B6931" s="9" t="str">
        <f>HYPERLINK("https://www.lazada.vn/products/loc-5-goi-mi-khoai-tay-omachi-xot-bo-hamsuon-ham-ngu-qua-80ggoi-i2775140083.html", "https://www.lazada.vn/products/loc-5-goi-mi-khoai-tay-omachi-xot-bo-hamsuon-ham-ngu-qua-80ggoi-i2775140083.html")</f>
        <v>https://www.lazada.vn/products/loc-5-goi-mi-khoai-tay-omachi-xot-bo-hamsuon-ham-ngu-qua-80ggoi-i2775140083.html</v>
      </c>
      <c r="C6931" s="10" t="s">
        <v>6931</v>
      </c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>
      <c r="A6932" s="8">
        <v>11786.0</v>
      </c>
      <c r="B6932" s="9" t="str">
        <f>HYPERLINK("https://www.lazada.vn/products/banh-quy-sua-cosy-marrie-528g-22-goi-x-24g-i2483181444.html", "https://www.lazada.vn/products/banh-quy-sua-cosy-marrie-528g-22-goi-x-24g-i2483181444.html")</f>
        <v>https://www.lazada.vn/products/banh-quy-sua-cosy-marrie-528g-22-goi-x-24g-i2483181444.html</v>
      </c>
      <c r="C6932" s="10" t="s">
        <v>6932</v>
      </c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>
      <c r="A6933" s="8">
        <v>11787.0</v>
      </c>
      <c r="B6933" s="9" t="str">
        <f>HYPERLINK("https://www.lazada.vn/products/bia-carlsberg-thung-24-lon-330ml-i2877744106.html", "https://www.lazada.vn/products/bia-carlsberg-thung-24-lon-330ml-i2877744106.html")</f>
        <v>https://www.lazada.vn/products/bia-carlsberg-thung-24-lon-330ml-i2877744106.html</v>
      </c>
      <c r="C6933" s="10" t="s">
        <v>6933</v>
      </c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>
      <c r="A6934" s="8">
        <v>11788.0</v>
      </c>
      <c r="B6934" s="9" t="str">
        <f>HYPERLINK("https://www.lazada.vn/products/kem-tui-giay-lu-banh-quy-bo-thap-cam-cong-thuc-phap-540g-i2483158534.html", "https://www.lazada.vn/products/kem-tui-giay-lu-banh-quy-bo-thap-cam-cong-thuc-phap-540g-i2483158534.html")</f>
        <v>https://www.lazada.vn/products/kem-tui-giay-lu-banh-quy-bo-thap-cam-cong-thuc-phap-540g-i2483158534.html</v>
      </c>
      <c r="C6934" s="10" t="s">
        <v>6934</v>
      </c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>
      <c r="A6935" s="8">
        <v>11789.0</v>
      </c>
      <c r="B6935" s="9" t="str">
        <f>HYPERLINK("https://www.lazada.vn/products/pho-de-nhat-65g-shop_japangood-i2772693004.html", "https://www.lazada.vn/products/pho-de-nhat-65g-shop_japangood-i2772693004.html")</f>
        <v>https://www.lazada.vn/products/pho-de-nhat-65g-shop_japangood-i2772693004.html</v>
      </c>
      <c r="C6935" s="10" t="s">
        <v>6935</v>
      </c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>
      <c r="A6936" s="8">
        <v>11790.0</v>
      </c>
      <c r="B6936" s="9" t="str">
        <f>HYPERLINK("https://www.lazada.vn/products/bia-blance-1664-thung-24-lon-330ml-date-thang-12025-i2877731088.html", "https://www.lazada.vn/products/bia-blance-1664-thung-24-lon-330ml-date-thang-12025-i2877731088.html")</f>
        <v>https://www.lazada.vn/products/bia-blance-1664-thung-24-lon-330ml-date-thang-12025-i2877731088.html</v>
      </c>
      <c r="C6936" s="10" t="s">
        <v>6936</v>
      </c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>
      <c r="A6937" s="8">
        <v>11791.0</v>
      </c>
      <c r="B6937" s="9" t="str">
        <f>HYPERLINK("https://www.lazada.vn/products/luong-kho-socola-fucuco-tui-26-vien-mini-tien-loi-tui-400g-hang-viet-nam-i2471609391.html", "https://www.lazada.vn/products/luong-kho-socola-fucuco-tui-26-vien-mini-tien-loi-tui-400g-hang-viet-nam-i2471609391.html")</f>
        <v>https://www.lazada.vn/products/luong-kho-socola-fucuco-tui-26-vien-mini-tien-loi-tui-400g-hang-viet-nam-i2471609391.html</v>
      </c>
      <c r="C6937" s="10" t="s">
        <v>6937</v>
      </c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>
      <c r="A6938" s="8">
        <v>11792.0</v>
      </c>
      <c r="B6938" s="9" t="str">
        <f>HYPERLINK("https://www.lazada.vn/products/le-6-lon-bia-nhap-lao-chinh-hang-i2867195447.html", "https://www.lazada.vn/products/le-6-lon-bia-nhap-lao-chinh-hang-i2867195447.html")</f>
        <v>https://www.lazada.vn/products/le-6-lon-bia-nhap-lao-chinh-hang-i2867195447.html</v>
      </c>
      <c r="C6938" s="10" t="s">
        <v>6938</v>
      </c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>
      <c r="A6939" s="8">
        <v>11793.0</v>
      </c>
      <c r="B6939" s="9" t="str">
        <f>HYPERLINK("https://www.lazada.vn/products/banh-que-pocky-kem-vi-nhan-doi-kem-chocolate-hop-39g-i2424909210.html", "https://www.lazada.vn/products/banh-que-pocky-kem-vi-nhan-doi-kem-chocolate-hop-39g-i2424909210.html")</f>
        <v>https://www.lazada.vn/products/banh-que-pocky-kem-vi-nhan-doi-kem-chocolate-hop-39g-i2424909210.html</v>
      </c>
      <c r="C6939" s="10" t="s">
        <v>6939</v>
      </c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>
      <c r="A6940" s="8">
        <v>11794.0</v>
      </c>
      <c r="B6940" s="9" t="str">
        <f>HYPERLINK("https://www.lazada.vn/products/vang-bich-chile-la-roca-135-hop-5l-i2864115803.html", "https://www.lazada.vn/products/vang-bich-chile-la-roca-135-hop-5l-i2864115803.html")</f>
        <v>https://www.lazada.vn/products/vang-bich-chile-la-roca-135-hop-5l-i2864115803.html</v>
      </c>
      <c r="C6940" s="10" t="s">
        <v>6940</v>
      </c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>
      <c r="A6941" s="8">
        <v>11795.0</v>
      </c>
      <c r="B6941" s="9" t="str">
        <f>HYPERLINK("https://www.lazada.vn/products/banh-quy-me-gion-goute-hop-1584g-i2424835885.html", "https://www.lazada.vn/products/banh-quy-me-gion-goute-hop-1584g-i2424835885.html")</f>
        <v>https://www.lazada.vn/products/banh-quy-me-gion-goute-hop-1584g-i2424835885.html</v>
      </c>
      <c r="C6941" s="10" t="s">
        <v>6941</v>
      </c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>
      <c r="A6942" s="8">
        <v>11796.0</v>
      </c>
      <c r="B6942" s="9" t="str">
        <f>HYPERLINK("https://www.lazada.vn/products/100g-cao-nhung-huou-i2662632777.html", "https://www.lazada.vn/products/100g-cao-nhung-huou-i2662632777.html")</f>
        <v>https://www.lazada.vn/products/100g-cao-nhung-huou-i2662632777.html</v>
      </c>
      <c r="C6942" s="10" t="s">
        <v>6942</v>
      </c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>
      <c r="A6943" s="8">
        <v>11797.0</v>
      </c>
      <c r="B6943" s="9" t="str">
        <f>HYPERLINK("https://www.lazada.vn/products/1kg-snack-bim-bim-dau-xanh-nuoc-dua-ngon-oi-la-ngon-i2358123332.html", "https://www.lazada.vn/products/1kg-snack-bim-bim-dau-xanh-nuoc-dua-ngon-oi-la-ngon-i2358123332.html")</f>
        <v>https://www.lazada.vn/products/1kg-snack-bim-bim-dau-xanh-nuoc-dua-ngon-oi-la-ngon-i2358123332.html</v>
      </c>
      <c r="C6943" s="10" t="s">
        <v>6943</v>
      </c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>
      <c r="A6944" s="8">
        <v>11798.0</v>
      </c>
      <c r="B6944" s="9" t="str">
        <f>HYPERLINK("https://www.lazada.vn/products/nhap-khau-my-date-2025-nguyen-lieu-pha-che-siro-hersheys-syrup-chocolate-136kg-i2476562850.html", "https://www.lazada.vn/products/nhap-khau-my-date-2025-nguyen-lieu-pha-che-siro-hersheys-syrup-chocolate-136kg-i2476562850.html")</f>
        <v>https://www.lazada.vn/products/nhap-khau-my-date-2025-nguyen-lieu-pha-che-siro-hersheys-syrup-chocolate-136kg-i2476562850.html</v>
      </c>
      <c r="C6944" s="10" t="s">
        <v>6944</v>
      </c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>
      <c r="A6945" s="8">
        <v>11799.0</v>
      </c>
      <c r="B6945" s="9" t="str">
        <f>HYPERLINK("https://www.lazada.vn/products/ruou-gao-goc-50-nha-nau-dung-ngam-ruou-chai-400-ml-i1864866523.html", "https://www.lazada.vn/products/ruou-gao-goc-50-nha-nau-dung-ngam-ruou-chai-400-ml-i1864866523.html")</f>
        <v>https://www.lazada.vn/products/ruou-gao-goc-50-nha-nau-dung-ngam-ruou-chai-400-ml-i1864866523.html</v>
      </c>
      <c r="C6945" s="10" t="s">
        <v>6945</v>
      </c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>
      <c r="A6946" s="8">
        <v>11800.0</v>
      </c>
      <c r="B6946" s="9" t="str">
        <f>HYPERLINK("https://www.lazada.vn/products/ca-phe-nguyen-chat-100-rang-moc-milano-coffee-loai-1-kg-i2672517041.html", "https://www.lazada.vn/products/ca-phe-nguyen-chat-100-rang-moc-milano-coffee-loai-1-kg-i2672517041.html")</f>
        <v>https://www.lazada.vn/products/ca-phe-nguyen-chat-100-rang-moc-milano-coffee-loai-1-kg-i2672517041.html</v>
      </c>
      <c r="C6946" s="10" t="s">
        <v>6946</v>
      </c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>
      <c r="A6947" s="8">
        <v>11801.0</v>
      </c>
      <c r="B6947" s="9" t="str">
        <f>HYPERLINK("https://www.lazada.vn/products/hong-tra-dai-loan-lam-tra-sua-goi-600gr-nuoc-tra-che-i2649360259.html", "https://www.lazada.vn/products/hong-tra-dai-loan-lam-tra-sua-goi-600gr-nuoc-tra-che-i2649360259.html")</f>
        <v>https://www.lazada.vn/products/hong-tra-dai-loan-lam-tra-sua-goi-600gr-nuoc-tra-che-i2649360259.html</v>
      </c>
      <c r="C6947" s="10" t="s">
        <v>6947</v>
      </c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>
      <c r="A6948" s="8">
        <v>11802.0</v>
      </c>
      <c r="B6948" s="9" t="str">
        <f>HYPERLINK("https://www.lazada.vn/products/750-ml-nuoc-cot-chanh-day-duong-phen-tiem-pho-nui-i2716284212.html", "https://www.lazada.vn/products/750-ml-nuoc-cot-chanh-day-duong-phen-tiem-pho-nui-i2716284212.html")</f>
        <v>https://www.lazada.vn/products/750-ml-nuoc-cot-chanh-day-duong-phen-tiem-pho-nui-i2716284212.html</v>
      </c>
      <c r="C6948" s="10" t="s">
        <v>6948</v>
      </c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>
      <c r="A6949" s="8">
        <v>11803.0</v>
      </c>
      <c r="B6949" s="9" t="str">
        <f>HYPERLINK("https://www.lazada.vn/products/vodka-men-suong-mu-500ml-mua-1-chai-tang-1-ly-thu-tinh-shop-thanh-vi-i2756918225.html", "https://www.lazada.vn/products/vodka-men-suong-mu-500ml-mua-1-chai-tang-1-ly-thu-tinh-shop-thanh-vi-i2756918225.html")</f>
        <v>https://www.lazada.vn/products/vodka-men-suong-mu-500ml-mua-1-chai-tang-1-ly-thu-tinh-shop-thanh-vi-i2756918225.html</v>
      </c>
      <c r="C6949" s="10" t="s">
        <v>6949</v>
      </c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>
      <c r="A6950" s="8">
        <v>11804.0</v>
      </c>
      <c r="B6950" s="9" t="str">
        <f>HYPERLINK("https://www.lazada.vn/products/sua-meiji-so-0-dang-thanh-noi-dia-nhat-danh-cho-be-0-12-thang-27g-x-24-thanh-ll181-i358724719.html", "https://www.lazada.vn/products/sua-meiji-so-0-dang-thanh-noi-dia-nhat-danh-cho-be-0-12-thang-27g-x-24-thanh-ll181-i358724719.html")</f>
        <v>https://www.lazada.vn/products/sua-meiji-so-0-dang-thanh-noi-dia-nhat-danh-cho-be-0-12-thang-27g-x-24-thanh-ll181-i358724719.html</v>
      </c>
      <c r="C6950" s="10" t="s">
        <v>6950</v>
      </c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>
      <c r="A6951" s="8">
        <v>11805.0</v>
      </c>
      <c r="B6951" s="9" t="str">
        <f>HYPERLINK("https://www.lazada.vn/products/combo-2-hop-socola-den-dang-nguyen-chat-khong-duong-100-dark-chocolate-mood-choco-i2896442404.html", "https://www.lazada.vn/products/combo-2-hop-socola-den-dang-nguyen-chat-khong-duong-100-dark-chocolate-mood-choco-i2896442404.html")</f>
        <v>https://www.lazada.vn/products/combo-2-hop-socola-den-dang-nguyen-chat-khong-duong-100-dark-chocolate-mood-choco-i2896442404.html</v>
      </c>
      <c r="C6951" s="10" t="s">
        <v>6951</v>
      </c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>
      <c r="A6952" s="8">
        <v>11806.0</v>
      </c>
      <c r="B6952" s="9" t="str">
        <f>HYPERLINK("https://www.lazada.vn/products/banh-trang-phong-sua-hoang-dung-la-dua-sau-rieng-thom-ngon-400g-banh-sua-phong-sieu-to-banh-phong-sua-ruvask-i2864497473.html", "https://www.lazada.vn/products/banh-trang-phong-sua-hoang-dung-la-dua-sau-rieng-thom-ngon-400g-banh-sua-phong-sieu-to-banh-phong-sua-ruvask-i2864497473.html")</f>
        <v>https://www.lazada.vn/products/banh-trang-phong-sua-hoang-dung-la-dua-sau-rieng-thom-ngon-400g-banh-sua-phong-sieu-to-banh-phong-sua-ruvask-i2864497473.html</v>
      </c>
      <c r="C6952" s="10" t="s">
        <v>6952</v>
      </c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>
      <c r="A6953" s="8">
        <v>11807.0</v>
      </c>
      <c r="B6953" s="9" t="str">
        <f>HYPERLINK("https://www.lazada.vn/products/mi-tho-cung-dinh-kool-spaghetti-kool-bbq-to-105g-i3016408940.html", "https://www.lazada.vn/products/mi-tho-cung-dinh-kool-spaghetti-kool-bbq-to-105g-i3016408940.html")</f>
        <v>https://www.lazada.vn/products/mi-tho-cung-dinh-kool-spaghetti-kool-bbq-to-105g-i3016408940.html</v>
      </c>
      <c r="C6953" s="10" t="s">
        <v>6953</v>
      </c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>
      <c r="A6954" s="8">
        <v>11808.0</v>
      </c>
      <c r="B6954" s="9" t="str">
        <f>HYPERLINK("https://www.lazada.vn/products/24-lon-nuoc-tang-luc-redbull-thai-lan-250ml-i2297976582.html", "https://www.lazada.vn/products/24-lon-nuoc-tang-luc-redbull-thai-lan-250ml-i2297976582.html")</f>
        <v>https://www.lazada.vn/products/24-lon-nuoc-tang-luc-redbull-thai-lan-250ml-i2297976582.html</v>
      </c>
      <c r="C6954" s="10" t="s">
        <v>6954</v>
      </c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>
      <c r="A6955" s="8">
        <v>11809.0</v>
      </c>
      <c r="B6955" s="9" t="str">
        <f>HYPERLINK("https://www.lazada.vn/products/thach-zaizai-duc-hanh-goi-320gr-i2161011488.html", "https://www.lazada.vn/products/thach-zaizai-duc-hanh-goi-320gr-i2161011488.html")</f>
        <v>https://www.lazada.vn/products/thach-zaizai-duc-hanh-goi-320gr-i2161011488.html</v>
      </c>
      <c r="C6955" s="10" t="s">
        <v>6955</v>
      </c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>
      <c r="A6956" s="8">
        <v>11810.0</v>
      </c>
      <c r="B6956" s="9" t="str">
        <f>HYPERLINK("https://www.lazada.vn/products/carrot-top-dried-rabbit-guinea-pig-health-vitamins-supplement-pet-food-small-pet-dry-carrot-top-rabbit-guinea-pig-treats-i3015763658.html", "https://www.lazada.vn/products/carrot-top-dried-rabbit-guinea-pig-health-vitamins-supplement-pet-food-small-pet-dry-carrot-top-rabbit-guinea-pig-treats-i3015763658.html")</f>
        <v>https://www.lazada.vn/products/carrot-top-dried-rabbit-guinea-pig-health-vitamins-supplement-pet-food-small-pet-dry-carrot-top-rabbit-guinea-pig-treats-i3015763658.html</v>
      </c>
      <c r="C6956" s="10" t="s">
        <v>6956</v>
      </c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>
      <c r="A6957" s="8">
        <v>11811.0</v>
      </c>
      <c r="B6957" s="9" t="str">
        <f>HYPERLINK("https://www.lazada.vn/products/250gr-khoai-lang-say-mat-deo-i2678198062.html", "https://www.lazada.vn/products/250gr-khoai-lang-say-mat-deo-i2678198062.html")</f>
        <v>https://www.lazada.vn/products/250gr-khoai-lang-say-mat-deo-i2678198062.html</v>
      </c>
      <c r="C6957" s="10" t="s">
        <v>6957</v>
      </c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>
      <c r="A6958" s="8">
        <v>11812.0</v>
      </c>
      <c r="B6958" s="9" t="str">
        <f>HYPERLINK("https://www.lazada.vn/products/hat-trai-cay-kho-dong-lanh-dried-lychee-100g-hat-trai-cay-dong-lanh-hat-trai-cay-kho-hat-trai-cay-hat-trai-cay-tuoi-dried-lychee-i2923896091.html", "https://www.lazada.vn/products/hat-trai-cay-kho-dong-lanh-dried-lychee-100g-hat-trai-cay-dong-lanh-hat-trai-cay-kho-hat-trai-cay-hat-trai-cay-tuoi-dried-lychee-i2923896091.html")</f>
        <v>https://www.lazada.vn/products/hat-trai-cay-kho-dong-lanh-dried-lychee-100g-hat-trai-cay-dong-lanh-hat-trai-cay-kho-hat-trai-cay-hat-trai-cay-tuoi-dried-lychee-i2923896091.html</v>
      </c>
      <c r="C6958" s="10" t="s">
        <v>6958</v>
      </c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>
      <c r="A6959" s="8">
        <v>11813.0</v>
      </c>
      <c r="B6959" s="9" t="str">
        <f>HYPERLINK("https://www.lazada.vn/products/ruou-vang-nhap-khau-y-leonardo-i2531359312.html", "https://www.lazada.vn/products/ruou-vang-nhap-khau-y-leonardo-i2531359312.html")</f>
        <v>https://www.lazada.vn/products/ruou-vang-nhap-khau-y-leonardo-i2531359312.html</v>
      </c>
      <c r="C6959" s="10" t="s">
        <v>6959</v>
      </c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>
      <c r="A6960" s="8">
        <v>11814.0</v>
      </c>
      <c r="B6960" s="9" t="str">
        <f>HYPERLINK("https://www.lazada.vn/products/2025-nam-moi-cotton-co-tron-tay-ngan-t-ao-thun-beer-festival-pattern-print-men_s-comfy-chic-t_yyth-thoi-trang-han-quoc-gian-di-le-hoi-mua-xuan-giang-sinh-i2863682086.html", "https://www.lazada.vn/products/2025-nam-moi-cotton-co-tron-tay-ngan-t-ao-thun-beer-festival-pattern-print-men_s-comfy-chic-t_yyth-thoi-trang-han-quoc-gian-di-le-hoi-mua-xuan-giang-sinh-i2863682086.html")</f>
        <v>https://www.lazada.vn/products/2025-nam-moi-cotton-co-tron-tay-ngan-t-ao-thun-beer-festival-pattern-print-men_s-comfy-chic-t_yyth-thoi-trang-han-quoc-gian-di-le-hoi-mua-xuan-giang-sinh-i2863682086.html</v>
      </c>
      <c r="C6960" s="10" t="s">
        <v>6960</v>
      </c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>
      <c r="A6961" s="8">
        <v>11815.0</v>
      </c>
      <c r="B6961" s="9" t="str">
        <f>HYPERLINK("https://www.lazada.vn/products/banh-tipo-cookies-butter-75g-i2417170414.html", "https://www.lazada.vn/products/banh-tipo-cookies-butter-75g-i2417170414.html")</f>
        <v>https://www.lazada.vn/products/banh-tipo-cookies-butter-75g-i2417170414.html</v>
      </c>
      <c r="C6961" s="10" t="s">
        <v>6961</v>
      </c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>
      <c r="A6962" s="8">
        <v>11816.0</v>
      </c>
      <c r="B6962" s="9" t="str">
        <f>HYPERLINK("https://www.lazada.vn/products/ruou-vang-do-m9-i2530391175.html", "https://www.lazada.vn/products/ruou-vang-do-m9-i2530391175.html")</f>
        <v>https://www.lazada.vn/products/ruou-vang-do-m9-i2530391175.html</v>
      </c>
      <c r="C6962" s="10" t="s">
        <v>6962</v>
      </c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>
      <c r="A6963" s="8">
        <v>11817.0</v>
      </c>
      <c r="B6963" s="9" t="str">
        <f>HYPERLINK("https://www.lazada.vn/products/banh-ca-marine-boy-orion-vi-ga-bbq-35ghop-i2841675062.html", "https://www.lazada.vn/products/banh-ca-marine-boy-orion-vi-ga-bbq-35ghop-i2841675062.html")</f>
        <v>https://www.lazada.vn/products/banh-ca-marine-boy-orion-vi-ga-bbq-35ghop-i2841675062.html</v>
      </c>
      <c r="C6963" s="10" t="s">
        <v>6963</v>
      </c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>
      <c r="A6964" s="8">
        <v>11818.0</v>
      </c>
      <c r="B6964" s="9" t="str">
        <f>HYPERLINK("https://www.lazada.vn/products/art-exhibition-dried-cranberries-100g-snacks-baking-materials-candy-snowflake-crackers-fruit-dry-ingredients-cranberry-biscuits-i2923743520.html", "https://www.lazada.vn/products/art-exhibition-dried-cranberries-100g-snacks-baking-materials-candy-snowflake-crackers-fruit-dry-ingredients-cranberry-biscuits-i2923743520.html")</f>
        <v>https://www.lazada.vn/products/art-exhibition-dried-cranberries-100g-snacks-baking-materials-candy-snowflake-crackers-fruit-dry-ingredients-cranberry-biscuits-i2923743520.html</v>
      </c>
      <c r="C6964" s="10" t="s">
        <v>6964</v>
      </c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>
      <c r="A6965" s="8">
        <v>11819.0</v>
      </c>
      <c r="B6965" s="9" t="str">
        <f>HYPERLINK("https://www.lazada.vn/products/thach-kem-da-trai-cay-480gr-giao-ngau-nhien-mau-i2153393672.html", "https://www.lazada.vn/products/thach-kem-da-trai-cay-480gr-giao-ngau-nhien-mau-i2153393672.html")</f>
        <v>https://www.lazada.vn/products/thach-kem-da-trai-cay-480gr-giao-ngau-nhien-mau-i2153393672.html</v>
      </c>
      <c r="C6965" s="10" t="s">
        <v>6965</v>
      </c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>
      <c r="A6966" s="8">
        <v>11820.0</v>
      </c>
      <c r="B6966" s="9" t="str">
        <f>HYPERLINK("https://www.lazada.vn/products/2025-nam-moi-cotton-co-tron-tay-ngan-t-ao-thun-it_s-the-most-wonderful-time-for-a-beer-sant-thoi-trang-han-quoc-gian-di-le-hoi-mua-xuan-giang-sinh-i2863544184.html", "https://www.lazada.vn/products/2025-nam-moi-cotton-co-tron-tay-ngan-t-ao-thun-it_s-the-most-wonderful-time-for-a-beer-sant-thoi-trang-han-quoc-gian-di-le-hoi-mua-xuan-giang-sinh-i2863544184.html")</f>
        <v>https://www.lazada.vn/products/2025-nam-moi-cotton-co-tron-tay-ngan-t-ao-thun-it_s-the-most-wonderful-time-for-a-beer-sant-thoi-trang-han-quoc-gian-di-le-hoi-mua-xuan-giang-sinh-i2863544184.html</v>
      </c>
      <c r="C6966" s="10" t="s">
        <v>6966</v>
      </c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>
      <c r="A6967" s="8">
        <v>11821.0</v>
      </c>
      <c r="B6967" s="9" t="str">
        <f>HYPERLINK("https://www.lazada.vn/products/snack-dried-fruit-fresh-dried-candy-crisp-dried-starch-crisp-dried-goods-dried-fruit-dried-milk-block-mixed-dried-food-snack-i2923630754.html", "https://www.lazada.vn/products/snack-dried-fruit-fresh-dried-candy-crisp-dried-starch-crisp-dried-goods-dried-fruit-dried-milk-block-mixed-dried-food-snack-i2923630754.html")</f>
        <v>https://www.lazada.vn/products/snack-dried-fruit-fresh-dried-candy-crisp-dried-starch-crisp-dried-goods-dried-fruit-dried-milk-block-mixed-dried-food-snack-i2923630754.html</v>
      </c>
      <c r="C6967" s="10" t="s">
        <v>6967</v>
      </c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>
      <c r="A6968" s="8">
        <v>11822.0</v>
      </c>
      <c r="B6968" s="9" t="str">
        <f>HYPERLINK("https://www.lazada.vn/products/banh-tipo-trung-115g-i2415053067.html", "https://www.lazada.vn/products/banh-tipo-trung-115g-i2415053067.html")</f>
        <v>https://www.lazada.vn/products/banh-tipo-trung-115g-i2415053067.html</v>
      </c>
      <c r="C6968" s="10" t="s">
        <v>6968</v>
      </c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>
      <c r="A6969" s="8">
        <v>11823.0</v>
      </c>
      <c r="B6969" s="9" t="str">
        <f>HYPERLINK("https://www.lazada.vn/products/mitsumame-thach-trai-cay-dau-do-nhat-ban-hop-130g-i2148642598.html", "https://www.lazada.vn/products/mitsumame-thach-trai-cay-dau-do-nhat-ban-hop-130g-i2148642598.html")</f>
        <v>https://www.lazada.vn/products/mitsumame-thach-trai-cay-dau-do-nhat-ban-hop-130g-i2148642598.html</v>
      </c>
      <c r="C6969" s="10" t="s">
        <v>6969</v>
      </c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>
      <c r="A6970" s="8">
        <v>11824.0</v>
      </c>
      <c r="B6970" s="9" t="str">
        <f>HYPERLINK("https://www.lazada.vn/products/do-an-nhe-nhang-dried-strawberry-snowflake-candy-100g-snack-giai-tri-sweets-dried-fruit-mut-trai-cay-say-kho-i2923621986.html", "https://www.lazada.vn/products/do-an-nhe-nhang-dried-strawberry-snowflake-candy-100g-snack-giai-tri-sweets-dried-fruit-mut-trai-cay-say-kho-i2923621986.html")</f>
        <v>https://www.lazada.vn/products/do-an-nhe-nhang-dried-strawberry-snowflake-candy-100g-snack-giai-tri-sweets-dried-fruit-mut-trai-cay-say-kho-i2923621986.html</v>
      </c>
      <c r="C6970" s="10" t="s">
        <v>6970</v>
      </c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>
      <c r="A6971" s="8">
        <v>11825.0</v>
      </c>
      <c r="B6971" s="9" t="str">
        <f>HYPERLINK("https://www.lazada.vn/products/banh-gao-one-one-gold-vi-tao-bien-bach-tuoc-nuong-goi-104g-i2408712395.html", "https://www.lazada.vn/products/banh-gao-one-one-gold-vi-tao-bien-bach-tuoc-nuong-goi-104g-i2408712395.html")</f>
        <v>https://www.lazada.vn/products/banh-gao-one-one-gold-vi-tao-bien-bach-tuoc-nuong-goi-104g-i2408712395.html</v>
      </c>
      <c r="C6971" s="10" t="s">
        <v>6971</v>
      </c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>
      <c r="A6972" s="8">
        <v>11826.0</v>
      </c>
      <c r="B6972" s="9" t="str">
        <f>HYPERLINK("https://www.lazada.vn/products/thach-cao-quy-linh-sunity-cac-vi-thom-ngon-i2134178789.html", "https://www.lazada.vn/products/thach-cao-quy-linh-sunity-cac-vi-thom-ngon-i2134178789.html")</f>
        <v>https://www.lazada.vn/products/thach-cao-quy-linh-sunity-cac-vi-thom-ngon-i2134178789.html</v>
      </c>
      <c r="C6972" s="10" t="s">
        <v>6972</v>
      </c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>
      <c r="A6973" s="8">
        <v>11827.0</v>
      </c>
      <c r="B6973" s="9" t="str">
        <f>HYPERLINK("https://www.lazada.vn/products/sugared-dried-fruit-deep-field-one-bin-dry-fruits-strawberries-sweet-and-sour-crispy-dried-nuts-supermarket-snacks-103g-i2923618820.html", "https://www.lazada.vn/products/sugared-dried-fruit-deep-field-one-bin-dry-fruits-strawberries-sweet-and-sour-crispy-dried-nuts-supermarket-snacks-103g-i2923618820.html")</f>
        <v>https://www.lazada.vn/products/sugared-dried-fruit-deep-field-one-bin-dry-fruits-strawberries-sweet-and-sour-crispy-dried-nuts-supermarket-snacks-103g-i2923618820.html</v>
      </c>
      <c r="C6973" s="10" t="s">
        <v>6973</v>
      </c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>
      <c r="A6974" s="8">
        <v>11828.0</v>
      </c>
      <c r="B6974" s="9" t="str">
        <f>HYPERLINK("https://www.lazada.vn/products/banh-gao-nhat-ichi-vi-shouyu-mat-ong-goi-100g-i2408623928.html", "https://www.lazada.vn/products/banh-gao-nhat-ichi-vi-shouyu-mat-ong-goi-100g-i2408623928.html")</f>
        <v>https://www.lazada.vn/products/banh-gao-nhat-ichi-vi-shouyu-mat-ong-goi-100g-i2408623928.html</v>
      </c>
      <c r="C6974" s="10" t="s">
        <v>6974</v>
      </c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>
      <c r="A6975" s="8">
        <v>11829.0</v>
      </c>
      <c r="B6975" s="9" t="str">
        <f>HYPERLINK("https://www.lazada.vn/products/thach-thuy-tinh-hat-no-cu-nang-hop-900g-dedu-nam-phat-i2130986587.html", "https://www.lazada.vn/products/thach-thuy-tinh-hat-no-cu-nang-hop-900g-dedu-nam-phat-i2130986587.html")</f>
        <v>https://www.lazada.vn/products/thach-thuy-tinh-hat-no-cu-nang-hop-900g-dedu-nam-phat-i2130986587.html</v>
      </c>
      <c r="C6975" s="10" t="s">
        <v>6975</v>
      </c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>
      <c r="A6976" s="8">
        <v>11830.0</v>
      </c>
      <c r="B6976" s="9" t="str">
        <f>HYPERLINK("https://www.lazada.vn/products/dau-xanh-dong-kho-min-mang-250g-baking-dessert-shop-tra-sua-tui-dung-snack-dried-fruit-snack-dried-fig-snack-dried-fruit-i2923603748.html", "https://www.lazada.vn/products/dau-xanh-dong-kho-min-mang-250g-baking-dessert-shop-tra-sua-tui-dung-snack-dried-fruit-snack-dried-fig-snack-dried-fruit-i2923603748.html")</f>
        <v>https://www.lazada.vn/products/dau-xanh-dong-kho-min-mang-250g-baking-dessert-shop-tra-sua-tui-dung-snack-dried-fruit-snack-dried-fig-snack-dried-fruit-i2923603748.html</v>
      </c>
      <c r="C6976" s="10" t="s">
        <v>6976</v>
      </c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>
      <c r="A6977" s="8">
        <v>11831.0</v>
      </c>
      <c r="B6977" s="9" t="str">
        <f>HYPERLINK("https://www.lazada.vn/products/banh-quy-ca-man-bo-sua-truyen-thong-hu-450g-an-vat-sieu-re-i2377500795.html", "https://www.lazada.vn/products/banh-quy-ca-man-bo-sua-truyen-thong-hu-450g-an-vat-sieu-re-i2377500795.html")</f>
        <v>https://www.lazada.vn/products/banh-quy-ca-man-bo-sua-truyen-thong-hu-450g-an-vat-sieu-re-i2377500795.html</v>
      </c>
      <c r="C6977" s="10" t="s">
        <v>6977</v>
      </c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>
      <c r="A6978" s="8">
        <v>11832.0</v>
      </c>
      <c r="B6978" s="9" t="str">
        <f>HYPERLINK("https://www.lazada.vn/products/combo-1000ml-nuoc-chot-chanh-day-duong-phen-600gram-tac-gung-mat-ong-tiem-pho-nui-i2716130789.html", "https://www.lazada.vn/products/combo-1000ml-nuoc-chot-chanh-day-duong-phen-600gram-tac-gung-mat-ong-tiem-pho-nui-i2716130789.html")</f>
        <v>https://www.lazada.vn/products/combo-1000ml-nuoc-chot-chanh-day-duong-phen-600gram-tac-gung-mat-ong-tiem-pho-nui-i2716130789.html</v>
      </c>
      <c r="C6978" s="10" t="s">
        <v>6978</v>
      </c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>
      <c r="A6979" s="8">
        <v>11833.0</v>
      </c>
      <c r="B6979" s="9" t="str">
        <f>HYPERLINK("https://www.lazada.vn/products/vodka-men-bi-300ml-mua-1-chai-tang-1-ly-thu-tinh-shop-thanh-vi-i2756912245.html", "https://www.lazada.vn/products/vodka-men-bi-300ml-mua-1-chai-tang-1-ly-thu-tinh-shop-thanh-vi-i2756912245.html")</f>
        <v>https://www.lazada.vn/products/vodka-men-bi-300ml-mua-1-chai-tang-1-ly-thu-tinh-shop-thanh-vi-i2756912245.html</v>
      </c>
      <c r="C6979" s="10" t="s">
        <v>6979</v>
      </c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>
      <c r="A6980" s="8">
        <v>11834.0</v>
      </c>
      <c r="B6980" s="9" t="str">
        <f>HYPERLINK("https://www.lazada.vn/products/hat-trai-cay-banh-quy-hanh-nhan-dua-eo-gion-an-nhe-dong-goi-rieng-thuc-pham-giai-tri-banh-quy-nam-moi-trung-quoc-i2863635961.html", "https://www.lazada.vn/products/hat-trai-cay-banh-quy-hanh-nhan-dua-eo-gion-an-nhe-dong-goi-rieng-thuc-pham-giai-tri-banh-quy-nam-moi-trung-quoc-i2863635961.html")</f>
        <v>https://www.lazada.vn/products/hat-trai-cay-banh-quy-hanh-nhan-dua-eo-gion-an-nhe-dong-goi-rieng-thuc-pham-giai-tri-banh-quy-nam-moi-trung-quoc-i2863635961.html</v>
      </c>
      <c r="C6980" s="10" t="s">
        <v>6980</v>
      </c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>
      <c r="A6981" s="8">
        <v>11835.0</v>
      </c>
      <c r="B6981" s="9" t="str">
        <f>HYPERLINK("https://www.lazada.vn/products/jolly-pet-products-jolly-rabbit-food-nutrogain-rabbit-feed-5kg-nutritious-anti-parasite-pet-rabbit-food-dry-grass-i3015761652.html", "https://www.lazada.vn/products/jolly-pet-products-jolly-rabbit-food-nutrogain-rabbit-feed-5kg-nutritious-anti-parasite-pet-rabbit-food-dry-grass-i3015761652.html")</f>
        <v>https://www.lazada.vn/products/jolly-pet-products-jolly-rabbit-food-nutrogain-rabbit-feed-5kg-nutritious-anti-parasite-pet-rabbit-food-dry-grass-i3015761652.html</v>
      </c>
      <c r="C6981" s="10" t="s">
        <v>6981</v>
      </c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>
      <c r="A6982" s="8">
        <v>11836.0</v>
      </c>
      <c r="B6982" s="9" t="str">
        <f>HYPERLINK("https://www.lazada.vn/products/500gr-banh-trang-pho-mai-socola-sua-milo-thom-ngon-banh-trang-chuan-tay-ninh-i2357975858.html", "https://www.lazada.vn/products/500gr-banh-trang-pho-mai-socola-sua-milo-thom-ngon-banh-trang-chuan-tay-ninh-i2357975858.html")</f>
        <v>https://www.lazada.vn/products/500gr-banh-trang-pho-mai-socola-sua-milo-thom-ngon-banh-trang-chuan-tay-ninh-i2357975858.html</v>
      </c>
      <c r="C6982" s="10" t="s">
        <v>6982</v>
      </c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>
      <c r="A6983" s="8">
        <v>11837.0</v>
      </c>
      <c r="B6983" s="9" t="str">
        <f>HYPERLINK("https://www.lazada.vn/products/combo-2-hop-dao-ngam-hy-lap-golden-peach-820ghop-ll181-i358720694.html", "https://www.lazada.vn/products/combo-2-hop-dao-ngam-hy-lap-golden-peach-820ghop-ll181-i358720694.html")</f>
        <v>https://www.lazada.vn/products/combo-2-hop-dao-ngam-hy-lap-golden-peach-820ghop-ll181-i358720694.html</v>
      </c>
      <c r="C6983" s="10" t="s">
        <v>6983</v>
      </c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>
      <c r="A6984" s="8">
        <v>11838.0</v>
      </c>
      <c r="B6984" s="9" t="str">
        <f>HYPERLINK("https://www.lazada.vn/products/500gr-khoai-tay-trung-muoi-i2678146139.html", "https://www.lazada.vn/products/500gr-khoai-tay-trung-muoi-i2678146139.html")</f>
        <v>https://www.lazada.vn/products/500gr-khoai-tay-trung-muoi-i2678146139.html</v>
      </c>
      <c r="C6984" s="10" t="s">
        <v>6984</v>
      </c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>
      <c r="A6985" s="8">
        <v>11839.0</v>
      </c>
      <c r="B6985" s="9" t="str">
        <f>HYPERLINK("https://www.lazada.vn/products/6-lon-nuoc-tang-luc-redbull-thai-lan-250ml-i2297790888.html", "https://www.lazada.vn/products/6-lon-nuoc-tang-luc-redbull-thai-lan-250ml-i2297790888.html")</f>
        <v>https://www.lazada.vn/products/6-lon-nuoc-tang-luc-redbull-thai-lan-250ml-i2297790888.html</v>
      </c>
      <c r="C6985" s="10" t="s">
        <v>6985</v>
      </c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>
      <c r="A6986" s="8">
        <v>11840.0</v>
      </c>
      <c r="B6986" s="9" t="str">
        <f>HYPERLINK("https://www.lazada.vn/products/nui-safoco-rau-cu-hinh-ngoi-sao-nui-no-nui-so-nui-tomchu-c-nui-xoan-cac-loai-i3015413683.html", "https://www.lazada.vn/products/nui-safoco-rau-cu-hinh-ngoi-sao-nui-no-nui-so-nui-tomchu-c-nui-xoan-cac-loai-i3015413683.html")</f>
        <v>https://www.lazada.vn/products/nui-safoco-rau-cu-hinh-ngoi-sao-nui-no-nui-so-nui-tomchu-c-nui-xoan-cac-loai-i3015413683.html</v>
      </c>
      <c r="C6986" s="10" t="s">
        <v>6986</v>
      </c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>
      <c r="A6987" s="8">
        <v>11841.0</v>
      </c>
      <c r="B6987" s="9" t="str">
        <f>HYPERLINK("https://www.lazada.vn/products/siro-chang-thai-chai-1l-i2476369733.html", "https://www.lazada.vn/products/siro-chang-thai-chai-1l-i2476369733.html")</f>
        <v>https://www.lazada.vn/products/siro-chang-thai-chai-1l-i2476369733.html</v>
      </c>
      <c r="C6987" s="10" t="s">
        <v>6987</v>
      </c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>
      <c r="A6988" s="8">
        <v>11842.0</v>
      </c>
      <c r="B6988" s="9" t="str">
        <f>HYPERLINK("https://www.lazada.vn/products/qua-tang-xu-dua-trai-tron-tho-len-men-tu-nhien-thom-ngot-ngon-i1783116087.html", "https://www.lazada.vn/products/qua-tang-xu-dua-trai-tron-tho-len-men-tu-nhien-thom-ngot-ngon-i1783116087.html")</f>
        <v>https://www.lazada.vn/products/qua-tang-xu-dua-trai-tron-tho-len-men-tu-nhien-thom-ngot-ngon-i1783116087.html</v>
      </c>
      <c r="C6988" s="10" t="s">
        <v>6988</v>
      </c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>
      <c r="A6989" s="8">
        <v>11843.0</v>
      </c>
      <c r="B6989" s="9" t="str">
        <f>HYPERLINK("https://www.lazada.vn/products/socola-den-dang-nguyen-chat-khong-duong-100-keo-so-co-la-thanh-an-kieng-hop-24-goi-mood-choco-i2896357543.html", "https://www.lazada.vn/products/socola-den-dang-nguyen-chat-khong-duong-100-keo-so-co-la-thanh-an-kieng-hop-24-goi-mood-choco-i2896357543.html")</f>
        <v>https://www.lazada.vn/products/socola-den-dang-nguyen-chat-khong-duong-100-keo-so-co-la-thanh-an-kieng-hop-24-goi-mood-choco-i2896357543.html</v>
      </c>
      <c r="C6989" s="10" t="s">
        <v>6989</v>
      </c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>
      <c r="A6990" s="8">
        <v>11844.0</v>
      </c>
      <c r="B6990" s="9" t="str">
        <f>HYPERLINK("https://www.lazada.vn/products/ca-phe-sau-rieng-rockcafe-tui-30-goi-x-20-g-rock-cafe-vi-sau-rieng-mau-moi-white-coffee-ruvask-i2671302852.html", "https://www.lazada.vn/products/ca-phe-sau-rieng-rockcafe-tui-30-goi-x-20-g-rock-cafe-vi-sau-rieng-mau-moi-white-coffee-ruvask-i2671302852.html")</f>
        <v>https://www.lazada.vn/products/ca-phe-sau-rieng-rockcafe-tui-30-goi-x-20-g-rock-cafe-vi-sau-rieng-mau-moi-white-coffee-ruvask-i2671302852.html</v>
      </c>
      <c r="C6990" s="10" t="s">
        <v>6990</v>
      </c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>
      <c r="A6991" s="8">
        <v>11845.0</v>
      </c>
      <c r="B6991" s="9" t="str">
        <f>HYPERLINK("https://www.lazada.vn/products/bot-gao-lut-do-nguyen-chat-rang-thom-sieu-ngon-hu-500gr-giam-can-nhanh-i2661320614.html", "https://www.lazada.vn/products/bot-gao-lut-do-nguyen-chat-rang-thom-sieu-ngon-hu-500gr-giam-can-nhanh-i2661320614.html")</f>
        <v>https://www.lazada.vn/products/bot-gao-lut-do-nguyen-chat-rang-thom-sieu-ngon-hu-500gr-giam-can-nhanh-i2661320614.html</v>
      </c>
      <c r="C6991" s="10" t="s">
        <v>6991</v>
      </c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>
      <c r="A6992" s="8">
        <v>11846.0</v>
      </c>
      <c r="B6992" s="9" t="str">
        <f>HYPERLINK("https://www.lazada.vn/products/2025-nam-moi-cotton-co-tron-tay-ngan-t-ao-thun-beer-festival-pattern-print-men_s-comfy-chic-t_yyth-thoi-trang-han-quoc-gian-di-le-hoi-mua-xuan-giang-sinh-i2863261032.html", "https://www.lazada.vn/products/2025-nam-moi-cotton-co-tron-tay-ngan-t-ao-thun-beer-festival-pattern-print-men_s-comfy-chic-t_yyth-thoi-trang-han-quoc-gian-di-le-hoi-mua-xuan-giang-sinh-i2863261032.html")</f>
        <v>https://www.lazada.vn/products/2025-nam-moi-cotton-co-tron-tay-ngan-t-ao-thun-beer-festival-pattern-print-men_s-comfy-chic-t_yyth-thoi-trang-han-quoc-gian-di-le-hoi-mua-xuan-giang-sinh-i2863261032.html</v>
      </c>
      <c r="C6992" s="10" t="s">
        <v>6992</v>
      </c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>
      <c r="A6993" s="8">
        <v>11847.0</v>
      </c>
      <c r="B6993" s="9" t="str">
        <f>HYPERLINK("https://www.lazada.vn/products/thach-trai-cay-thach-thuy-tinh-falu-can-38kg-topping-cho-tra-sua-che-tra-hoa-qua-bach-hoa-nguyen-lieu-i2127295910.html", "https://www.lazada.vn/products/thach-trai-cay-thach-thuy-tinh-falu-can-38kg-topping-cho-tra-sua-che-tra-hoa-qua-bach-hoa-nguyen-lieu-i2127295910.html")</f>
        <v>https://www.lazada.vn/products/thach-trai-cay-thach-thuy-tinh-falu-can-38kg-topping-cho-tra-sua-che-tra-hoa-qua-bach-hoa-nguyen-lieu-i2127295910.html</v>
      </c>
      <c r="C6993" s="10" t="s">
        <v>6993</v>
      </c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>
      <c r="A6994" s="8">
        <v>11848.0</v>
      </c>
      <c r="B6994" s="9" t="str">
        <f>HYPERLINK("https://www.lazada.vn/products/ruou-vang-nhap-khau-y-janus-i2530382256.html", "https://www.lazada.vn/products/ruou-vang-nhap-khau-y-janus-i2530382256.html")</f>
        <v>https://www.lazada.vn/products/ruou-vang-nhap-khau-y-janus-i2530382256.html</v>
      </c>
      <c r="C6994" s="10" t="s">
        <v>6994</v>
      </c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>
      <c r="A6995" s="8">
        <v>11849.0</v>
      </c>
      <c r="B6995" s="9" t="str">
        <f>HYPERLINK("https://www.lazada.vn/products/banh-trung-thu-mochi-trung-ruoc-noi-dia-trung-500g-sieu-ngon-i2836445224.html", "https://www.lazada.vn/products/banh-trung-thu-mochi-trung-ruoc-noi-dia-trung-500g-sieu-ngon-i2836445224.html")</f>
        <v>https://www.lazada.vn/products/banh-trung-thu-mochi-trung-ruoc-noi-dia-trung-500g-sieu-ngon-i2836445224.html</v>
      </c>
      <c r="C6995" s="10" t="s">
        <v>6995</v>
      </c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>
      <c r="A6996" s="8">
        <v>11850.0</v>
      </c>
      <c r="B6996" s="9" t="str">
        <f>HYPERLINK("https://www.lazada.vn/products/chinh-hang-combo-3-bo-dau-phong-min-va-hat-400g-dan-d-pak-i2033684271.html", "https://www.lazada.vn/products/chinh-hang-combo-3-bo-dau-phong-min-va-hat-400g-dan-d-pak-i2033684271.html")</f>
        <v>https://www.lazada.vn/products/chinh-hang-combo-3-bo-dau-phong-min-va-hat-400g-dan-d-pak-i2033684271.html</v>
      </c>
      <c r="C6996" s="10" t="s">
        <v>6996</v>
      </c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>
      <c r="A6997" s="8">
        <v>11851.0</v>
      </c>
      <c r="B6997" s="9" t="str">
        <f>HYPERLINK("https://www.lazada.vn/products/banh-trung-sua-mem-belgi-trang-an-banh-bo-sua-trang-an-i2616854914.html", "https://www.lazada.vn/products/banh-trung-sua-mem-belgi-trang-an-banh-bo-sua-trang-an-i2616854914.html")</f>
        <v>https://www.lazada.vn/products/banh-trung-sua-mem-belgi-trang-an-banh-bo-sua-trang-an-i2616854914.html</v>
      </c>
      <c r="C6997" s="10" t="s">
        <v>6997</v>
      </c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>
      <c r="A6998" s="8">
        <v>11852.0</v>
      </c>
      <c r="B6998" s="9" t="str">
        <f>HYPERLINK("https://www.lazada.vn/products/banh-trung-thu-khoai-mon-mochi-trung-muoi-cha-bong-sieu-i2826036392.html", "https://www.lazada.vn/products/banh-trung-thu-khoai-mon-mochi-trung-muoi-cha-bong-sieu-i2826036392.html")</f>
        <v>https://www.lazada.vn/products/banh-trung-thu-khoai-mon-mochi-trung-muoi-cha-bong-sieu-i2826036392.html</v>
      </c>
      <c r="C6998" s="10" t="s">
        <v>6998</v>
      </c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>
      <c r="A6999" s="8">
        <v>11853.0</v>
      </c>
      <c r="B6999" s="9" t="str">
        <f>HYPERLINK("https://www.lazada.vn/products/ruou-vang-do-sol-de-chile-gran-reserva-i2530277265.html", "https://www.lazada.vn/products/ruou-vang-do-sol-de-chile-gran-reserva-i2530277265.html")</f>
        <v>https://www.lazada.vn/products/ruou-vang-do-sol-de-chile-gran-reserva-i2530277265.html</v>
      </c>
      <c r="C6999" s="10" t="s">
        <v>6999</v>
      </c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>
      <c r="A7000" s="8">
        <v>11854.0</v>
      </c>
      <c r="B7000" s="9" t="str">
        <f>HYPERLINK("https://www.lazada.vn/products/timothy-hay-dried-grass-500g-rabbit-food-guinea-pig-main-food-cat-dried-timothy-hay-new-2024-pet-supplies-cute-pets-i3015751527.html", "https://www.lazada.vn/products/timothy-hay-dried-grass-500g-rabbit-food-guinea-pig-main-food-cat-dried-timothy-hay-new-2024-pet-supplies-cute-pets-i3015751527.html")</f>
        <v>https://www.lazada.vn/products/timothy-hay-dried-grass-500g-rabbit-food-guinea-pig-main-food-cat-dried-timothy-hay-new-2024-pet-supplies-cute-pets-i3015751527.html</v>
      </c>
      <c r="C7000" s="10" t="s">
        <v>7000</v>
      </c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>
      <c r="A7001" s="8">
        <v>11855.0</v>
      </c>
      <c r="B7001" s="9" t="str">
        <f>HYPERLINK("https://www.lazada.vn/products/combo-2-hop-bot-gao-lut-nalee-moi-hop-500gr-tang-them-1-ly-thuy-tinh-ho-phach-5-goi-tra-duong-nhan-the-cao-thuoc-day-muong-giam-can-loi-sua-cho-me-sau-sinh-cho-con-bu-i2660715529.html", "https://www.lazada.vn/products/combo-2-hop-bot-gao-lut-nalee-moi-hop-500gr-tang-them-1-ly-thuy-tinh-ho-phach-5-goi-tra-duong-nhan-the-cao-thuoc-day-muong-giam-can-loi-sua-cho-me-sau-sinh-cho-con-bu-i2660715529.html")</f>
        <v>https://www.lazada.vn/products/combo-2-hop-bot-gao-lut-nalee-moi-hop-500gr-tang-them-1-ly-thuy-tinh-ho-phach-5-goi-tra-duong-nhan-the-cao-thuoc-day-muong-giam-can-loi-sua-cho-me-sau-sinh-cho-con-bu-i2660715529.html</v>
      </c>
      <c r="C7001" s="10" t="s">
        <v>7001</v>
      </c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>
      <c r="A7002" s="8">
        <v>11856.0</v>
      </c>
      <c r="B7002" s="9" t="str">
        <f>HYPERLINK("https://www.lazada.vn/products/kwv-3-750ml-i1757187443.html", "https://www.lazada.vn/products/kwv-3-750ml-i1757187443.html")</f>
        <v>https://www.lazada.vn/products/kwv-3-750ml-i1757187443.html</v>
      </c>
      <c r="C7002" s="10" t="s">
        <v>7002</v>
      </c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>
      <c r="A7003" s="8">
        <v>11857.0</v>
      </c>
      <c r="B7003" s="9" t="str">
        <f>HYPERLINK("https://www.lazada.vn/products/combo-mix-8-loai-23-goi-snack-cay-cay-tang-20-goi-thach-dua-do-an-vat-ba-tuyet-dua-hau-do-i2354743060.html", "https://www.lazada.vn/products/combo-mix-8-loai-23-goi-snack-cay-cay-tang-20-goi-thach-dua-do-an-vat-ba-tuyet-dua-hau-do-i2354743060.html")</f>
        <v>https://www.lazada.vn/products/combo-mix-8-loai-23-goi-snack-cay-cay-tang-20-goi-thach-dua-do-an-vat-ba-tuyet-dua-hau-do-i2354743060.html</v>
      </c>
      <c r="C7003" s="10" t="s">
        <v>7003</v>
      </c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>
      <c r="A7004" s="8">
        <v>11858.0</v>
      </c>
      <c r="B7004" s="9" t="str">
        <f>HYPERLINK("https://www.lazada.vn/products/siro-harker-xanh-la-ear-nose-throat-i2476138838.html", "https://www.lazada.vn/products/siro-harker-xanh-la-ear-nose-throat-i2476138838.html")</f>
        <v>https://www.lazada.vn/products/siro-harker-xanh-la-ear-nose-throat-i2476138838.html</v>
      </c>
      <c r="C7004" s="10" t="s">
        <v>7004</v>
      </c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>
      <c r="A7005" s="8">
        <v>11859.0</v>
      </c>
      <c r="B7005" s="9" t="str">
        <f>HYPERLINK("https://www.lazada.vn/products/bran-super-fresh-lock-main-course-dry-freeze-cat-food-all-price-series-no-grain-raw-bone-meat-freeze-dry-180g-pet-supplies-i3015725627.html", "https://www.lazada.vn/products/bran-super-fresh-lock-main-course-dry-freeze-cat-food-all-price-series-no-grain-raw-bone-meat-freeze-dry-180g-pet-supplies-i3015725627.html")</f>
        <v>https://www.lazada.vn/products/bran-super-fresh-lock-main-course-dry-freeze-cat-food-all-price-series-no-grain-raw-bone-meat-freeze-dry-180g-pet-supplies-i3015725627.html</v>
      </c>
      <c r="C7005" s="10" t="s">
        <v>7005</v>
      </c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>
      <c r="A7006" s="8">
        <v>11860.0</v>
      </c>
      <c r="B7006" s="9" t="str">
        <f>HYPERLINK("https://www.lazada.vn/products/le-bia-chimay-do-chai-330ml-7-do-i1746964153.html", "https://www.lazada.vn/products/le-bia-chimay-do-chai-330ml-7-do-i1746964153.html")</f>
        <v>https://www.lazada.vn/products/le-bia-chimay-do-chai-330ml-7-do-i1746964153.html</v>
      </c>
      <c r="C7006" s="10" t="s">
        <v>7006</v>
      </c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>
      <c r="A7007" s="8">
        <v>11861.0</v>
      </c>
      <c r="B7007" s="9" t="str">
        <f>HYPERLINK("https://www.lazada.vn/products/qua-tang-socola-den-dang-nguyen-chat-khong-duong-chocolate-an-kieng-thanh-goi-le-mood-choco-i2896233757.html", "https://www.lazada.vn/products/qua-tang-socola-den-dang-nguyen-chat-khong-duong-chocolate-an-kieng-thanh-goi-le-mood-choco-i2896233757.html")</f>
        <v>https://www.lazada.vn/products/qua-tang-socola-den-dang-nguyen-chat-khong-duong-chocolate-an-kieng-thanh-goi-le-mood-choco-i2896233757.html</v>
      </c>
      <c r="C7007" s="10" t="s">
        <v>7007</v>
      </c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>
      <c r="A7008" s="8">
        <v>11862.0</v>
      </c>
      <c r="B7008" s="9" t="str">
        <f>HYPERLINK("https://www.lazada.vn/products/loc-8ly-nuoc-tang-luc-huong-dau-rong-do-ly-220ml-i2273328839.html", "https://www.lazada.vn/products/loc-8ly-nuoc-tang-luc-huong-dau-rong-do-ly-220ml-i2273328839.html")</f>
        <v>https://www.lazada.vn/products/loc-8ly-nuoc-tang-luc-huong-dau-rong-do-ly-220ml-i2273328839.html</v>
      </c>
      <c r="C7008" s="10" t="s">
        <v>7008</v>
      </c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>
      <c r="A7009" s="8">
        <v>11863.0</v>
      </c>
      <c r="B7009" s="9" t="str">
        <f>HYPERLINK("https://www.lazada.vn/products/king-coffee-hoa-tan-den-hop-30-g-15-goi-x-2-g-i2669299488.html", "https://www.lazada.vn/products/king-coffee-hoa-tan-den-hop-30-g-15-goi-x-2-g-i2669299488.html")</f>
        <v>https://www.lazada.vn/products/king-coffee-hoa-tan-den-hop-30-g-15-goi-x-2-g-i2669299488.html</v>
      </c>
      <c r="C7009" s="10" t="s">
        <v>7009</v>
      </c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>
      <c r="A7010" s="8">
        <v>11864.0</v>
      </c>
      <c r="B7010" s="9" t="str">
        <f>HYPERLINK("https://www.lazada.vn/products/panna-cotta-set-nguyen-lieu-lam-500ml-do-an-vat-tet-mut-tet-i2117348416.html", "https://www.lazada.vn/products/panna-cotta-set-nguyen-lieu-lam-500ml-do-an-vat-tet-mut-tet-i2117348416.html")</f>
        <v>https://www.lazada.vn/products/panna-cotta-set-nguyen-lieu-lam-500ml-do-an-vat-tet-mut-tet-i2117348416.html</v>
      </c>
      <c r="C7010" s="10" t="s">
        <v>7010</v>
      </c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>
      <c r="A7011" s="8">
        <v>11865.0</v>
      </c>
      <c r="B7011" s="9" t="str">
        <f>HYPERLINK("https://www.lazada.vn/products/1-lon-bia-hoi-ha-noi-500ml-mot-net-van-hoa-ha-noi-i2861661439.html", "https://www.lazada.vn/products/1-lon-bia-hoi-ha-noi-500ml-mot-net-van-hoa-ha-noi-i2861661439.html")</f>
        <v>https://www.lazada.vn/products/1-lon-bia-hoi-ha-noi-500ml-mot-net-van-hoa-ha-noi-i2861661439.html</v>
      </c>
      <c r="C7011" s="10" t="s">
        <v>7011</v>
      </c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>
      <c r="A7012" s="8">
        <v>11866.0</v>
      </c>
      <c r="B7012" s="9" t="str">
        <f>HYPERLINK("https://www.lazada.vn/products/banh-quy-tatawa-combo-3-tui-mix-3-vi-nhap-khau-chinh-thuc-tu-malaysia-i2325511806.html", "https://www.lazada.vn/products/banh-quy-tatawa-combo-3-tui-mix-3-vi-nhap-khau-chinh-thuc-tu-malaysia-i2325511806.html")</f>
        <v>https://www.lazada.vn/products/banh-quy-tatawa-combo-3-tui-mix-3-vi-nhap-khau-chinh-thuc-tu-malaysia-i2325511806.html</v>
      </c>
      <c r="C7012" s="10" t="s">
        <v>7012</v>
      </c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>
      <c r="A7013" s="8">
        <v>11867.0</v>
      </c>
      <c r="B7013" s="9" t="str">
        <f>HYPERLINK("https://www.lazada.vn/products/lunch-meat-dried-freeze-cat-food-for-adult-kittens-full-nutrition-salmon-chicken-flavor-longnuo-cat-snacks-150g-pet-supplies-i3015688782.html", "https://www.lazada.vn/products/lunch-meat-dried-freeze-cat-food-for-adult-kittens-full-nutrition-salmon-chicken-flavor-longnuo-cat-snacks-150g-pet-supplies-i3015688782.html")</f>
        <v>https://www.lazada.vn/products/lunch-meat-dried-freeze-cat-food-for-adult-kittens-full-nutrition-salmon-chicken-flavor-longnuo-cat-snacks-150g-pet-supplies-i3015688782.html</v>
      </c>
      <c r="C7013" s="10" t="s">
        <v>7013</v>
      </c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>
      <c r="A7014" s="8">
        <v>11868.0</v>
      </c>
      <c r="B7014" s="9" t="str">
        <f>HYPERLINK("https://www.lazada.vn/products/combo-4-hu-mam-chua-ca-com-dac-san-tay-ninh-i2030233065.html", "https://www.lazada.vn/products/combo-4-hu-mam-chua-ca-com-dac-san-tay-ninh-i2030233065.html")</f>
        <v>https://www.lazada.vn/products/combo-4-hu-mam-chua-ca-com-dac-san-tay-ninh-i2030233065.html</v>
      </c>
      <c r="C7014" s="10" t="s">
        <v>7014</v>
      </c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>
      <c r="A7015" s="8">
        <v>11869.0</v>
      </c>
      <c r="B7015" s="9" t="str">
        <f>HYPERLINK("https://www.lazada.vn/products/banh-bao-nguyen-cam-nhan-bo-pho-mai-healthy-set-4-cai-i2616343276.html", "https://www.lazada.vn/products/banh-bao-nguyen-cam-nhan-bo-pho-mai-healthy-set-4-cai-i2616343276.html")</f>
        <v>https://www.lazada.vn/products/banh-bao-nguyen-cam-nhan-bo-pho-mai-healthy-set-4-cai-i2616343276.html</v>
      </c>
      <c r="C7015" s="10" t="s">
        <v>7015</v>
      </c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>
      <c r="A7016" s="8">
        <v>11870.0</v>
      </c>
      <c r="B7016" s="9" t="str">
        <f>HYPERLINK("https://www.lazada.vn/products/mi-ly-lau-thai-koreno-65g-i3015308406.html", "https://www.lazada.vn/products/mi-ly-lau-thai-koreno-65g-i3015308406.html")</f>
        <v>https://www.lazada.vn/products/mi-ly-lau-thai-koreno-65g-i3015308406.html</v>
      </c>
      <c r="C7016" s="10" t="s">
        <v>7016</v>
      </c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>
      <c r="A7017" s="8">
        <v>11871.0</v>
      </c>
      <c r="B7017" s="9" t="str">
        <f>HYPERLINK("https://www.lazada.vn/products/ruou-vang-do-santa-loreto-premium-cabernet-sauvignon-i2530181576.html", "https://www.lazada.vn/products/ruou-vang-do-santa-loreto-premium-cabernet-sauvignon-i2530181576.html")</f>
        <v>https://www.lazada.vn/products/ruou-vang-do-santa-loreto-premium-cabernet-sauvignon-i2530181576.html</v>
      </c>
      <c r="C7017" s="10" t="s">
        <v>7017</v>
      </c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>
      <c r="A7018" s="8">
        <v>11872.0</v>
      </c>
      <c r="B7018" s="9" t="str">
        <f>HYPERLINK("https://www.lazada.vn/products/banh-trang-sa-te-bo-sieu-nghien-dac-san-tay-ninh-i2353648687.html", "https://www.lazada.vn/products/banh-trang-sa-te-bo-sieu-nghien-dac-san-tay-ninh-i2353648687.html")</f>
        <v>https://www.lazada.vn/products/banh-trang-sa-te-bo-sieu-nghien-dac-san-tay-ninh-i2353648687.html</v>
      </c>
      <c r="C7018" s="10" t="s">
        <v>7018</v>
      </c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>
      <c r="A7019" s="8">
        <v>11873.0</v>
      </c>
      <c r="B7019" s="9" t="str">
        <f>HYPERLINK("https://www.lazada.vn/products/siro-bap-han-quoc-i2476138644.html", "https://www.lazada.vn/products/siro-bap-han-quoc-i2476138644.html")</f>
        <v>https://www.lazada.vn/products/siro-bap-han-quoc-i2476138644.html</v>
      </c>
      <c r="C7019" s="10" t="s">
        <v>7019</v>
      </c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>
      <c r="A7020" s="8">
        <v>11874.0</v>
      </c>
      <c r="B7020" s="9" t="str">
        <f>HYPERLINK("https://www.lazada.vn/products/bot-kem-trung-vang-nhan-tieng-viet-1kg-i2659515118.html", "https://www.lazada.vn/products/bot-kem-trung-vang-nhan-tieng-viet-1kg-i2659515118.html")</f>
        <v>https://www.lazada.vn/products/bot-kem-trung-vang-nhan-tieng-viet-1kg-i2659515118.html</v>
      </c>
      <c r="C7020" s="10" t="s">
        <v>7020</v>
      </c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>
      <c r="A7021" s="8">
        <v>11875.0</v>
      </c>
      <c r="B7021" s="9" t="str">
        <f>HYPERLINK("https://www.lazada.vn/products/vodka-men-bi-500ml-mua-1-chai-tang-1-ly-thu-tinh-shop-thanh-vi-9-i2756839535.html", "https://www.lazada.vn/products/vodka-men-bi-500ml-mua-1-chai-tang-1-ly-thu-tinh-shop-thanh-vi-9-i2756839535.html")</f>
        <v>https://www.lazada.vn/products/vodka-men-bi-500ml-mua-1-chai-tang-1-ly-thu-tinh-shop-thanh-vi-9-i2756839535.html</v>
      </c>
      <c r="C7021" s="10" t="s">
        <v>7021</v>
      </c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>
      <c r="A7022" s="8">
        <v>11876.0</v>
      </c>
      <c r="B7022" s="9" t="str">
        <f>HYPERLINK("https://www.lazada.vn/products/nuoc-uong-loi-khuan-vi-sua-chua-chanh-kirin-imuse-280ml-i2715288302.html", "https://www.lazada.vn/products/nuoc-uong-loi-khuan-vi-sua-chua-chanh-kirin-imuse-280ml-i2715288302.html")</f>
        <v>https://www.lazada.vn/products/nuoc-uong-loi-khuan-vi-sua-chua-chanh-kirin-imuse-280ml-i2715288302.html</v>
      </c>
      <c r="C7022" s="10" t="s">
        <v>7022</v>
      </c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>
      <c r="A7023" s="8">
        <v>11877.0</v>
      </c>
      <c r="B7023" s="9" t="str">
        <f>HYPERLINK("https://www.lazada.vn/products/banh-quy-xoan-pretzel-vi-bo-mat-ong-darda-han-quoc-50g-i2863421349.html", "https://www.lazada.vn/products/banh-quy-xoan-pretzel-vi-bo-mat-ong-darda-han-quoc-50g-i2863421349.html")</f>
        <v>https://www.lazada.vn/products/banh-quy-xoan-pretzel-vi-bo-mat-ong-darda-han-quoc-50g-i2863421349.html</v>
      </c>
      <c r="C7023" s="10" t="s">
        <v>7023</v>
      </c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>
      <c r="A7024" s="8">
        <v>11878.0</v>
      </c>
      <c r="B7024" s="9" t="str">
        <f>HYPERLINK("https://www.lazada.vn/products/xoai-say-deo-gia-si-250g500g-sieu-ngon-do-an-vat-i2908206490.html", "https://www.lazada.vn/products/xoai-say-deo-gia-si-250g500g-sieu-ngon-do-an-vat-i2908206490.html")</f>
        <v>https://www.lazada.vn/products/xoai-say-deo-gia-si-250g500g-sieu-ngon-do-an-vat-i2908206490.html</v>
      </c>
      <c r="C7024" s="10" t="s">
        <v>7024</v>
      </c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>
      <c r="A7025" s="8">
        <v>11879.0</v>
      </c>
      <c r="B7025" s="9" t="str">
        <f>HYPERLINK("https://www.lazada.vn/products/combo-5-hu-dau-phong-toi-ot-dau-phong-da-ca-dau-ha-lan-say-dau-nanh-say-dau-ha-lan-say-toi-ot-ll181-i358720692.html", "https://www.lazada.vn/products/combo-5-hu-dau-phong-toi-ot-dau-phong-da-ca-dau-ha-lan-say-dau-nanh-say-dau-ha-lan-say-toi-ot-ll181-i358720692.html")</f>
        <v>https://www.lazada.vn/products/combo-5-hu-dau-phong-toi-ot-dau-phong-da-ca-dau-ha-lan-say-dau-nanh-say-dau-ha-lan-say-toi-ot-ll181-i358720692.html</v>
      </c>
      <c r="C7025" s="10" t="s">
        <v>7025</v>
      </c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>
      <c r="A7026" s="8">
        <v>11880.0</v>
      </c>
      <c r="B7026" s="9" t="str">
        <f>HYPERLINK("https://www.lazada.vn/products/1kg-khoai-tay-pho-mai-que-gion-ngon-dam-vi-do-an-vat-tuoi-tho-i2677744815.html", "https://www.lazada.vn/products/1kg-khoai-tay-pho-mai-que-gion-ngon-dam-vi-do-an-vat-tuoi-tho-i2677744815.html")</f>
        <v>https://www.lazada.vn/products/1kg-khoai-tay-pho-mai-que-gion-ngon-dam-vi-do-an-vat-tuoi-tho-i2677744815.html</v>
      </c>
      <c r="C7026" s="10" t="s">
        <v>7026</v>
      </c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>
      <c r="A7027" s="8">
        <v>11881.0</v>
      </c>
      <c r="B7027" s="9" t="str">
        <f>HYPERLINK("https://www.lazada.vn/products/1-chai-bia-chimay-xanh-9-do-bi-chai-330ml-i1746821893.html", "https://www.lazada.vn/products/1-chai-bia-chimay-xanh-9-do-bi-chai-330ml-i1746821893.html")</f>
        <v>https://www.lazada.vn/products/1-chai-bia-chimay-xanh-9-do-bi-chai-330ml-i1746821893.html</v>
      </c>
      <c r="C7027" s="10" t="s">
        <v>7027</v>
      </c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>
      <c r="A7028" s="8">
        <v>11882.0</v>
      </c>
      <c r="B7028" s="9" t="str">
        <f>HYPERLINK("https://www.lazada.vn/products/socola-huong-vi-matcha-sua-dau-nguyen-chat-thom-ngon-bo-duong-hop-120-gram-i2896121976.html", "https://www.lazada.vn/products/socola-huong-vi-matcha-sua-dau-nguyen-chat-thom-ngon-bo-duong-hop-120-gram-i2896121976.html")</f>
        <v>https://www.lazada.vn/products/socola-huong-vi-matcha-sua-dau-nguyen-chat-thom-ngon-bo-duong-hop-120-gram-i2896121976.html</v>
      </c>
      <c r="C7028" s="10" t="s">
        <v>7028</v>
      </c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>
      <c r="A7029" s="8">
        <v>11883.0</v>
      </c>
      <c r="B7029" s="9" t="str">
        <f>HYPERLINK("https://www.lazada.vn/products/combo-1-thung-24-chai-revive-va-1-thung-24-aquafina-500mlchai-i2269366549.html", "https://www.lazada.vn/products/combo-1-thung-24-chai-revive-va-1-thung-24-aquafina-500mlchai-i2269366549.html")</f>
        <v>https://www.lazada.vn/products/combo-1-thung-24-chai-revive-va-1-thung-24-aquafina-500mlchai-i2269366549.html</v>
      </c>
      <c r="C7029" s="10" t="s">
        <v>7029</v>
      </c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>
      <c r="A7030" s="8">
        <v>11884.0</v>
      </c>
      <c r="B7030" s="9" t="str">
        <f>HYPERLINK("https://www.lazada.vn/products/ca-phe-sua-tni-king-coffee-3-trong-1-_-448g-i2669241619.html", "https://www.lazada.vn/products/ca-phe-sua-tni-king-coffee-3-trong-1-_-448g-i2669241619.html")</f>
        <v>https://www.lazada.vn/products/ca-phe-sua-tni-king-coffee-3-trong-1-_-448g-i2669241619.html</v>
      </c>
      <c r="C7030" s="10" t="s">
        <v>7030</v>
      </c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>
      <c r="A7031" s="8">
        <v>11885.0</v>
      </c>
      <c r="B7031" s="9" t="str">
        <f>HYPERLINK("https://www.lazada.vn/products/thung-24-lon-bia-hoi-ha-noi-500mllon-i2861524764.html", "https://www.lazada.vn/products/thung-24-lon-bia-hoi-ha-noi-500mllon-i2861524764.html")</f>
        <v>https://www.lazada.vn/products/thung-24-lon-bia-hoi-ha-noi-500mllon-i2861524764.html</v>
      </c>
      <c r="C7031" s="10" t="s">
        <v>7031</v>
      </c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>
      <c r="A7032" s="8">
        <v>11886.0</v>
      </c>
      <c r="B7032" s="9" t="str">
        <f>HYPERLINK("https://www.lazada.vn/products/panna-cotta-set-nguyen-lieu-lam-500ml-tet-mut-tet-i2112981563.html", "https://www.lazada.vn/products/panna-cotta-set-nguyen-lieu-lam-500ml-tet-mut-tet-i2112981563.html")</f>
        <v>https://www.lazada.vn/products/panna-cotta-set-nguyen-lieu-lam-500ml-tet-mut-tet-i2112981563.html</v>
      </c>
      <c r="C7032" s="10" t="s">
        <v>7032</v>
      </c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>
      <c r="A7033" s="8">
        <v>11887.0</v>
      </c>
      <c r="B7033" s="9" t="str">
        <f>HYPERLINK("https://www.lazada.vn/products/nuoc-soda-han-quoc-vi-sua-lotte-milkis-15l-i2267863818.html", "https://www.lazada.vn/products/nuoc-soda-han-quoc-vi-sua-lotte-milkis-15l-i2267863818.html")</f>
        <v>https://www.lazada.vn/products/nuoc-soda-han-quoc-vi-sua-lotte-milkis-15l-i2267863818.html</v>
      </c>
      <c r="C7033" s="10" t="s">
        <v>7033</v>
      </c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>
      <c r="A7034" s="8">
        <v>11888.0</v>
      </c>
      <c r="B7034" s="9" t="str">
        <f>HYPERLINK("https://www.lazada.vn/products/kem-merino-sau-rieng-socola-i2316630048.html", "https://www.lazada.vn/products/kem-merino-sau-rieng-socola-i2316630048.html")</f>
        <v>https://www.lazada.vn/products/kem-merino-sau-rieng-socola-i2316630048.html</v>
      </c>
      <c r="C7034" s="10" t="s">
        <v>7034</v>
      </c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>
      <c r="A7035" s="8">
        <v>11889.0</v>
      </c>
      <c r="B7035" s="9" t="str">
        <f>HYPERLINK("https://www.lazada.vn/products/nhan-tuoi-ngam-nuoc-duong-dong-lon-wenatur-565g-i1783473524.html", "https://www.lazada.vn/products/nhan-tuoi-ngam-nuoc-duong-dong-lon-wenatur-565g-i1783473524.html")</f>
        <v>https://www.lazada.vn/products/nhan-tuoi-ngam-nuoc-duong-dong-lon-wenatur-565g-i1783473524.html</v>
      </c>
      <c r="C7035" s="10" t="s">
        <v>7035</v>
      </c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>
      <c r="A7036" s="8">
        <v>11890.0</v>
      </c>
      <c r="B7036" s="9" t="str">
        <f>HYPERLINK("https://www.lazada.vn/products/timothy-hay-dried-rabbit-food-pig-guinea-pig-pasture-dry-grass-weight-1kg-new-arrival-pet-supplies-for-other-pets-i3015671815.html", "https://www.lazada.vn/products/timothy-hay-dried-rabbit-food-pig-guinea-pig-pasture-dry-grass-weight-1kg-new-arrival-pet-supplies-for-other-pets-i3015671815.html")</f>
        <v>https://www.lazada.vn/products/timothy-hay-dried-rabbit-food-pig-guinea-pig-pasture-dry-grass-weight-1kg-new-arrival-pet-supplies-for-other-pets-i3015671815.html</v>
      </c>
      <c r="C7036" s="10" t="s">
        <v>7036</v>
      </c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>
      <c r="A7037" s="8">
        <v>11891.0</v>
      </c>
      <c r="B7037" s="9" t="str">
        <f>HYPERLINK("https://www.lazada.vn/products/banh-gao-lut-tim-dau-tam-it-ngot-an-kieng-healthy-nhap-khau-trung-quoc-28grgoi-i2614116083.html", "https://www.lazada.vn/products/banh-gao-lut-tim-dau-tam-it-ngot-an-kieng-healthy-nhap-khau-trung-quoc-28grgoi-i2614116083.html")</f>
        <v>https://www.lazada.vn/products/banh-gao-lut-tim-dau-tam-it-ngot-an-kieng-healthy-nhap-khau-trung-quoc-28grgoi-i2614116083.html</v>
      </c>
      <c r="C7037" s="10" t="s">
        <v>7037</v>
      </c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>
      <c r="A7038" s="8">
        <v>11892.0</v>
      </c>
      <c r="B7038" s="9" t="str">
        <f>HYPERLINK("https://www.lazada.vn/products/nuoc-ngot-7-up-vi-chanh-330ml-i2259639594.html", "https://www.lazada.vn/products/nuoc-ngot-7-up-vi-chanh-330ml-i2259639594.html")</f>
        <v>https://www.lazada.vn/products/nuoc-ngot-7-up-vi-chanh-330ml-i2259639594.html</v>
      </c>
      <c r="C7038" s="10" t="s">
        <v>7038</v>
      </c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>
      <c r="A7039" s="8">
        <v>11893.0</v>
      </c>
      <c r="B7039" s="9" t="str">
        <f>HYPERLINK("https://www.lazada.vn/products/mi-ly-lau-thai-chua-cay-koreno-65g-i3015213728.html", "https://www.lazada.vn/products/mi-ly-lau-thai-chua-cay-koreno-65g-i3015213728.html")</f>
        <v>https://www.lazada.vn/products/mi-ly-lau-thai-chua-cay-koreno-65g-i3015213728.html</v>
      </c>
      <c r="C7039" s="10" t="s">
        <v>7039</v>
      </c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>
      <c r="A7040" s="8">
        <v>11894.0</v>
      </c>
      <c r="B7040" s="9" t="str">
        <f>HYPERLINK("https://www.lazada.vn/products/ruou-vang-louis-martine-bordeaux-i2530070297.html", "https://www.lazada.vn/products/ruou-vang-louis-martine-bordeaux-i2530070297.html")</f>
        <v>https://www.lazada.vn/products/ruou-vang-louis-martine-bordeaux-i2530070297.html</v>
      </c>
      <c r="C7040" s="10" t="s">
        <v>7040</v>
      </c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>
      <c r="A7041" s="8">
        <v>11895.0</v>
      </c>
      <c r="B7041" s="9" t="str">
        <f>HYPERLINK("https://www.lazada.vn/products/tran-chau-gion-sea-jelly-3q-i2476137706.html", "https://www.lazada.vn/products/tran-chau-gion-sea-jelly-3q-i2476137706.html")</f>
        <v>https://www.lazada.vn/products/tran-chau-gion-sea-jelly-3q-i2476137706.html</v>
      </c>
      <c r="C7041" s="10" t="s">
        <v>7041</v>
      </c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>
      <c r="A7042" s="8">
        <v>11896.0</v>
      </c>
      <c r="B7042" s="9" t="str">
        <f>HYPERLINK("https://www.lazada.vn/products/banh-trang-deo-hanh-ot-cay-i2345602605.html", "https://www.lazada.vn/products/banh-trang-deo-hanh-ot-cay-i2345602605.html")</f>
        <v>https://www.lazada.vn/products/banh-trang-deo-hanh-ot-cay-i2345602605.html</v>
      </c>
      <c r="C7042" s="10" t="s">
        <v>7042</v>
      </c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>
      <c r="A7043" s="8">
        <v>11897.0</v>
      </c>
      <c r="B7043" s="9" t="str">
        <f>HYPERLINK("https://www.lazada.vn/products/bot-milo-nguyen-chat-goi-1kg-nestle-pc77-i2659304971.html", "https://www.lazada.vn/products/bot-milo-nguyen-chat-goi-1kg-nestle-pc77-i2659304971.html")</f>
        <v>https://www.lazada.vn/products/bot-milo-nguyen-chat-goi-1kg-nestle-pc77-i2659304971.html</v>
      </c>
      <c r="C7043" s="10" t="s">
        <v>7043</v>
      </c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>
      <c r="A7044" s="8">
        <v>11898.0</v>
      </c>
      <c r="B7044" s="9" t="str">
        <f>HYPERLINK("https://www.lazada.vn/products/kaiserin-black-date-moi-100-i1742113464.html", "https://www.lazada.vn/products/kaiserin-black-date-moi-100-i1742113464.html")</f>
        <v>https://www.lazada.vn/products/kaiserin-black-date-moi-100-i1742113464.html</v>
      </c>
      <c r="C7044" s="10" t="s">
        <v>7044</v>
      </c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>
      <c r="A7045" s="8">
        <v>11899.0</v>
      </c>
      <c r="B7045" s="9" t="str">
        <f>HYPERLINK("https://www.lazada.vn/products/combo-10-tui-nuoc-trai-cay-oishi-mix-du-vi-180ml-i2714928311.html", "https://www.lazada.vn/products/combo-10-tui-nuoc-trai-cay-oishi-mix-du-vi-180ml-i2714928311.html")</f>
        <v>https://www.lazada.vn/products/combo-10-tui-nuoc-trai-cay-oishi-mix-du-vi-180ml-i2714928311.html</v>
      </c>
      <c r="C7045" s="10" t="s">
        <v>7045</v>
      </c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>
      <c r="A7046" s="8">
        <v>11900.0</v>
      </c>
      <c r="B7046" s="9" t="str">
        <f>HYPERLINK("https://www.lazada.vn/products/sua-meiji-so-9-noi-dia-nhat-danh-cho-tre-tu-1-3-tuoi-800gr-ll181-i358714754.html", "https://www.lazada.vn/products/sua-meiji-so-9-noi-dia-nhat-danh-cho-tre-tu-1-3-tuoi-800gr-ll181-i358714754.html")</f>
        <v>https://www.lazada.vn/products/sua-meiji-so-9-noi-dia-nhat-danh-cho-tre-tu-1-3-tuoi-800gr-ll181-i358714754.html</v>
      </c>
      <c r="C7046" s="10" t="s">
        <v>7046</v>
      </c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>
      <c r="A7047" s="8">
        <v>11901.0</v>
      </c>
      <c r="B7047" s="9" t="str">
        <f>HYPERLINK("https://www.lazada.vn/products/combo-2-hop-socola-den-dang-nguyen-chat-khong-duong-100-dark-chocolate-an-kieng-120-gram-i2896081987.html", "https://www.lazada.vn/products/combo-2-hop-socola-den-dang-nguyen-chat-khong-duong-100-dark-chocolate-an-kieng-120-gram-i2896081987.html")</f>
        <v>https://www.lazada.vn/products/combo-2-hop-socola-den-dang-nguyen-chat-khong-duong-100-dark-chocolate-an-kieng-120-gram-i2896081987.html</v>
      </c>
      <c r="C7047" s="10" t="s">
        <v>7047</v>
      </c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>
      <c r="A7048" s="8">
        <v>11902.0</v>
      </c>
      <c r="B7048" s="9" t="str">
        <f>HYPERLINK("https://www.lazada.vn/products/vodka-ha-noi-300ml-295-mua-1-chai-tang-1-ly-thu-tinh-shop-thanh-vi-9-i2756728821.html", "https://www.lazada.vn/products/vodka-ha-noi-300ml-295-mua-1-chai-tang-1-ly-thu-tinh-shop-thanh-vi-9-i2756728821.html")</f>
        <v>https://www.lazada.vn/products/vodka-ha-noi-300ml-295-mua-1-chai-tang-1-ly-thu-tinh-shop-thanh-vi-9-i2756728821.html</v>
      </c>
      <c r="C7048" s="10" t="s">
        <v>7048</v>
      </c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>
      <c r="A7049" s="8">
        <v>11903.0</v>
      </c>
      <c r="B7049" s="9" t="str">
        <f>HYPERLINK("https://www.lazada.vn/products/banh-quy-xoan-pretzel-vi-hanh-kem-chua-darda-50g-i2863419422.html", "https://www.lazada.vn/products/banh-quy-xoan-pretzel-vi-hanh-kem-chua-darda-50g-i2863419422.html")</f>
        <v>https://www.lazada.vn/products/banh-quy-xoan-pretzel-vi-hanh-kem-chua-darda-50g-i2863419422.html</v>
      </c>
      <c r="C7049" s="10" t="s">
        <v>7049</v>
      </c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>
      <c r="A7050" s="8">
        <v>11904.0</v>
      </c>
      <c r="B7050" s="9" t="str">
        <f>HYPERLINK("https://www.lazada.vn/products/bimbim-khong-lo-one-bite-vi-ca-chua-vi-tom-hum-168g-live1-i2677742110.html", "https://www.lazada.vn/products/bimbim-khong-lo-one-bite-vi-ca-chua-vi-tom-hum-168g-live1-i2677742110.html")</f>
        <v>https://www.lazada.vn/products/bimbim-khong-lo-one-bite-vi-ca-chua-vi-tom-hum-168g-live1-i2677742110.html</v>
      </c>
      <c r="C7050" s="10" t="s">
        <v>7050</v>
      </c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>
      <c r="A7051" s="8">
        <v>11905.0</v>
      </c>
      <c r="B7051" s="9" t="str">
        <f>HYPERLINK("https://www.lazada.vn/products/khuyen-mai-an-vat-300g-r-xoai-say-deo-nha-trang-i2908200229.html", "https://www.lazada.vn/products/khuyen-mai-an-vat-300g-r-xoai-say-deo-nha-trang-i2908200229.html")</f>
        <v>https://www.lazada.vn/products/khuyen-mai-an-vat-300g-r-xoai-say-deo-nha-trang-i2908200229.html</v>
      </c>
      <c r="C7051" s="10" t="s">
        <v>7051</v>
      </c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>
      <c r="A7052" s="8">
        <v>11906.0</v>
      </c>
      <c r="B7052" s="9" t="str">
        <f>HYPERLINK("https://www.lazada.vn/products/ca-phe-sau-rieng-durian-rockcafe-tui-30-goi-x-20g-i2669110947.html", "https://www.lazada.vn/products/ca-phe-sau-rieng-durian-rockcafe-tui-30-goi-x-20g-i2669110947.html")</f>
        <v>https://www.lazada.vn/products/ca-phe-sau-rieng-durian-rockcafe-tui-30-goi-x-20g-i2669110947.html</v>
      </c>
      <c r="C7052" s="10" t="s">
        <v>7052</v>
      </c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>
      <c r="A7053" s="8">
        <v>11907.0</v>
      </c>
      <c r="B7053" s="9" t="str">
        <f>HYPERLINK("https://www.lazada.vn/products/thung-50-chai-bo-huc-nuoc-tang-luc-redbull-150ml-chai-thuy-tinh-noi-dia-thai-lan-giup-tinh-tao-nang-luong-lam-viec-i2257565973.html", "https://www.lazada.vn/products/thung-50-chai-bo-huc-nuoc-tang-luc-redbull-150ml-chai-thuy-tinh-noi-dia-thai-lan-giup-tinh-tao-nang-luong-lam-viec-i2257565973.html")</f>
        <v>https://www.lazada.vn/products/thung-50-chai-bo-huc-nuoc-tang-luc-redbull-150ml-chai-thuy-tinh-noi-dia-thai-lan-giup-tinh-tao-nang-luong-lam-viec-i2257565973.html</v>
      </c>
      <c r="C7053" s="10" t="s">
        <v>7053</v>
      </c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>
      <c r="A7054" s="8">
        <v>11908.0</v>
      </c>
      <c r="B7054" s="9" t="str">
        <f>HYPERLINK("https://www.lazada.vn/products/300g-r-xoai-say-deo-nha-trang-sieu-ngon-do-an-vat-i2908186358.html", "https://www.lazada.vn/products/300g-r-xoai-say-deo-nha-trang-sieu-ngon-do-an-vat-i2908186358.html")</f>
        <v>https://www.lazada.vn/products/300g-r-xoai-say-deo-nha-trang-sieu-ngon-do-an-vat-i2908186358.html</v>
      </c>
      <c r="C7054" s="10" t="s">
        <v>7054</v>
      </c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>
      <c r="A7055" s="8">
        <v>11909.0</v>
      </c>
      <c r="B7055" s="9" t="str">
        <f>HYPERLINK("https://www.lazada.vn/products/combo-2-thung-24-lon-bia-tiger-crystal-coolpack-250mllon-i2861458056.html", "https://www.lazada.vn/products/combo-2-thung-24-lon-bia-tiger-crystal-coolpack-250mllon-i2861458056.html")</f>
        <v>https://www.lazada.vn/products/combo-2-thung-24-lon-bia-tiger-crystal-coolpack-250mllon-i2861458056.html</v>
      </c>
      <c r="C7055" s="10" t="s">
        <v>7055</v>
      </c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>
      <c r="A7056" s="8">
        <v>11910.0</v>
      </c>
      <c r="B7056" s="9" t="str">
        <f>HYPERLINK("https://www.lazada.vn/products/tet-500g-keo-deo-trai-cay-gau-misa-thom-ngon-duc-hanh-banh-keo-tet-an-vat-ngon-i2112975004.html", "https://www.lazada.vn/products/tet-500g-keo-deo-trai-cay-gau-misa-thom-ngon-duc-hanh-banh-keo-tet-an-vat-ngon-i2112975004.html")</f>
        <v>https://www.lazada.vn/products/tet-500g-keo-deo-trai-cay-gau-misa-thom-ngon-duc-hanh-banh-keo-tet-an-vat-ngon-i2112975004.html</v>
      </c>
      <c r="C7056" s="10" t="s">
        <v>7056</v>
      </c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>
      <c r="A7057" s="8">
        <v>11911.0</v>
      </c>
      <c r="B7057" s="9" t="str">
        <f>HYPERLINK("https://www.lazada.vn/products/banh-snack-bap-pho-mai-doritos-nacho-cheese-i2274129344.html", "https://www.lazada.vn/products/banh-snack-bap-pho-mai-doritos-nacho-cheese-i2274129344.html")</f>
        <v>https://www.lazada.vn/products/banh-snack-bap-pho-mai-doritos-nacho-cheese-i2274129344.html</v>
      </c>
      <c r="C7057" s="10" t="s">
        <v>7057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>
      <c r="A7058" s="8">
        <v>11912.0</v>
      </c>
      <c r="B7058" s="9" t="str">
        <f>HYPERLINK("https://www.lazada.vn/products/hat-dieu-vo-lua-be-rang-muoi-con-it-vo-chay-man-deu-dung-duoc-dac-san-binh-phuoc-tu-suong-i1780775729.html", "https://www.lazada.vn/products/hat-dieu-vo-lua-be-rang-muoi-con-it-vo-chay-man-deu-dung-duoc-dac-san-binh-phuoc-tu-suong-i1780775729.html")</f>
        <v>https://www.lazada.vn/products/hat-dieu-vo-lua-be-rang-muoi-con-it-vo-chay-man-deu-dung-duoc-dac-san-binh-phuoc-tu-suong-i1780775729.html</v>
      </c>
      <c r="C7058" s="10" t="s">
        <v>7058</v>
      </c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>
      <c r="A7059" s="8">
        <v>11913.0</v>
      </c>
      <c r="B7059" s="9" t="str">
        <f>HYPERLINK("https://www.lazada.vn/products/carrot-top-dried-rabbit-food-dry-grass-leaves-for-rabbits-and-chinchillas-healthy-pet-treats-bumei-pet-brand-cat-food-i3015601898.html", "https://www.lazada.vn/products/carrot-top-dried-rabbit-food-dry-grass-leaves-for-rabbits-and-chinchillas-healthy-pet-treats-bumei-pet-brand-cat-food-i3015601898.html")</f>
        <v>https://www.lazada.vn/products/carrot-top-dried-rabbit-food-dry-grass-leaves-for-rabbits-and-chinchillas-healthy-pet-treats-bumei-pet-brand-cat-food-i3015601898.html</v>
      </c>
      <c r="C7059" s="10" t="s">
        <v>7059</v>
      </c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>
      <c r="A7060" s="8">
        <v>11914.0</v>
      </c>
      <c r="B7060" s="9" t="str">
        <f>HYPERLINK("https://www.lazada.vn/products/banh-bao-nhan-com-dua-ha-noi-set-5-cai-i2614104136.html", "https://www.lazada.vn/products/banh-bao-nhan-com-dua-ha-noi-set-5-cai-i2614104136.html")</f>
        <v>https://www.lazada.vn/products/banh-bao-nhan-com-dua-ha-noi-set-5-cai-i2614104136.html</v>
      </c>
      <c r="C7060" s="10" t="s">
        <v>7060</v>
      </c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>
      <c r="A7061" s="8">
        <v>11915.0</v>
      </c>
      <c r="B7061" s="9" t="str">
        <f>HYPERLINK("https://www.lazada.vn/products/lon-nuoc-ngot-pepsi-cola-320ml-i2259619537.html", "https://www.lazada.vn/products/lon-nuoc-ngot-pepsi-cola-320ml-i2259619537.html")</f>
        <v>https://www.lazada.vn/products/lon-nuoc-ngot-pepsi-cola-320ml-i2259619537.html</v>
      </c>
      <c r="C7061" s="10" t="s">
        <v>7061</v>
      </c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>
      <c r="A7062" s="8">
        <v>11916.0</v>
      </c>
      <c r="B7062" s="9" t="str">
        <f>HYPERLINK("https://www.lazada.vn/products/banh-pia-dua-non_mon_dau-8-trung-muoi-mo-hanh-hop-550g-i2772853924.html", "https://www.lazada.vn/products/banh-pia-dua-non_mon_dau-8-trung-muoi-mo-hanh-hop-550g-i2772853924.html")</f>
        <v>https://www.lazada.vn/products/banh-pia-dua-non_mon_dau-8-trung-muoi-mo-hanh-hop-550g-i2772853924.html</v>
      </c>
      <c r="C7062" s="10" t="s">
        <v>7062</v>
      </c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>
      <c r="A7063" s="8">
        <v>11917.0</v>
      </c>
      <c r="B7063" s="9" t="str">
        <f>HYPERLINK("https://www.lazada.vn/products/ly-lau-cam-tay-omachi-vi-lau-ngheu-nam-rong-bien-tomyum-hai-san-tron-pho-mai-i3014676724.html", "https://www.lazada.vn/products/ly-lau-cam-tay-omachi-vi-lau-ngheu-nam-rong-bien-tomyum-hai-san-tron-pho-mai-i3014676724.html")</f>
        <v>https://www.lazada.vn/products/ly-lau-cam-tay-omachi-vi-lau-ngheu-nam-rong-bien-tomyum-hai-san-tron-pho-mai-i3014676724.html</v>
      </c>
      <c r="C7063" s="10" t="s">
        <v>7063</v>
      </c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>
      <c r="A7064" s="8">
        <v>11918.0</v>
      </c>
      <c r="B7064" s="9" t="str">
        <f>HYPERLINK("https://www.lazada.vn/products/ruou-vang-bich-chateau-de-cazac-i2529874171.html", "https://www.lazada.vn/products/ruou-vang-bich-chateau-de-cazac-i2529874171.html")</f>
        <v>https://www.lazada.vn/products/ruou-vang-bich-chateau-de-cazac-i2529874171.html</v>
      </c>
      <c r="C7064" s="10" t="s">
        <v>7064</v>
      </c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>
      <c r="A7065" s="8">
        <v>11919.0</v>
      </c>
      <c r="B7065" s="9" t="str">
        <f>HYPERLINK("https://www.lazada.vn/products/siro-chang-thai-chai-1l-i2475270164.html", "https://www.lazada.vn/products/siro-chang-thai-chai-1l-i2475270164.html")</f>
        <v>https://www.lazada.vn/products/siro-chang-thai-chai-1l-i2475270164.html</v>
      </c>
      <c r="C7065" s="10" t="s">
        <v>7065</v>
      </c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>
      <c r="A7066" s="8">
        <v>11920.0</v>
      </c>
      <c r="B7066" s="9" t="str">
        <f>HYPERLINK("https://www.lazada.vn/products/banh-tai-heo-me-350g-i2344685438.html", "https://www.lazada.vn/products/banh-tai-heo-me-350g-i2344685438.html")</f>
        <v>https://www.lazada.vn/products/banh-tai-heo-me-350g-i2344685438.html</v>
      </c>
      <c r="C7066" s="10" t="s">
        <v>7066</v>
      </c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>
      <c r="A7067" s="8">
        <v>11921.0</v>
      </c>
      <c r="B7067" s="9" t="str">
        <f>HYPERLINK("https://www.lazada.vn/products/kaiserin-black-sieu-giam-gia-mua-tet-i1697410862.html", "https://www.lazada.vn/products/kaiserin-black-sieu-giam-gia-mua-tet-i1697410862.html")</f>
        <v>https://www.lazada.vn/products/kaiserin-black-sieu-giam-gia-mua-tet-i1697410862.html</v>
      </c>
      <c r="C7067" s="10" t="s">
        <v>7067</v>
      </c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>
      <c r="A7068" s="8">
        <v>11922.0</v>
      </c>
      <c r="B7068" s="9" t="str">
        <f>HYPERLINK("https://www.lazada.vn/products/1-thung-bia-den-leffe-24-chai-330ml-bi-i1694506216.html", "https://www.lazada.vn/products/1-thung-bia-den-leffe-24-chai-330ml-bi-i1694506216.html")</f>
        <v>https://www.lazada.vn/products/1-thung-bia-den-leffe-24-chai-330ml-bi-i1694506216.html</v>
      </c>
      <c r="C7068" s="10" t="s">
        <v>7068</v>
      </c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>
      <c r="A7069" s="8">
        <v>11923.0</v>
      </c>
      <c r="B7069" s="9" t="str">
        <f>HYPERLINK("https://www.lazada.vn/products/thung-12-hop-nuoc-dua-xiem-sen-cocoxim-330ml-i2714926292.html", "https://www.lazada.vn/products/thung-12-hop-nuoc-dua-xiem-sen-cocoxim-330ml-i2714926292.html")</f>
        <v>https://www.lazada.vn/products/thung-12-hop-nuoc-dua-xiem-sen-cocoxim-330ml-i2714926292.html</v>
      </c>
      <c r="C7069" s="10" t="s">
        <v>7069</v>
      </c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>
      <c r="A7070" s="8">
        <v>11924.0</v>
      </c>
      <c r="B7070" s="9" t="str">
        <f>HYPERLINK("https://www.lazada.vn/products/1kg-banh-gau-nhan-kem-thien-hong-ll181-i358712760.html", "https://www.lazada.vn/products/1kg-banh-gau-nhan-kem-thien-hong-ll181-i358712760.html")</f>
        <v>https://www.lazada.vn/products/1kg-banh-gau-nhan-kem-thien-hong-ll181-i358712760.html</v>
      </c>
      <c r="C7070" s="10" t="s">
        <v>7070</v>
      </c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>
      <c r="A7071" s="8">
        <v>11925.0</v>
      </c>
      <c r="B7071" s="9" t="str">
        <f>HYPERLINK("https://www.lazada.vn/products/vodka-ha-noi-750ml-395-mua-1-chai-tang-1-ly-thu-tinh-shop-thanh-vi-9-i2756666791.html", "https://www.lazada.vn/products/vodka-ha-noi-750ml-395-mua-1-chai-tang-1-ly-thu-tinh-shop-thanh-vi-9-i2756666791.html")</f>
        <v>https://www.lazada.vn/products/vodka-ha-noi-750ml-395-mua-1-chai-tang-1-ly-thu-tinh-shop-thanh-vi-9-i2756666791.html</v>
      </c>
      <c r="C7071" s="10" t="s">
        <v>7071</v>
      </c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>
      <c r="A7072" s="8">
        <v>11926.0</v>
      </c>
      <c r="B7072" s="9" t="str">
        <f>HYPERLINK("https://www.lazada.vn/products/nuoc-uong-trai-cay-thach-hut-kt-cac-vi-tui-100ml-20-tui-i2714871216.html", "https://www.lazada.vn/products/nuoc-uong-trai-cay-thach-hut-kt-cac-vi-tui-100ml-20-tui-i2714871216.html")</f>
        <v>https://www.lazada.vn/products/nuoc-uong-trai-cay-thach-hut-kt-cac-vi-tui-100ml-20-tui-i2714871216.html</v>
      </c>
      <c r="C7072" s="10" t="s">
        <v>7072</v>
      </c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>
      <c r="A7073" s="8">
        <v>11927.0</v>
      </c>
      <c r="B7073" s="9" t="str">
        <f>HYPERLINK("https://www.lazada.vn/products/tui-44-vien-giat-xa-mau-xanh-noi-dia-nhat-ban-ll181-i358712759.html", "https://www.lazada.vn/products/tui-44-vien-giat-xa-mau-xanh-noi-dia-nhat-ban-ll181-i358712759.html")</f>
        <v>https://www.lazada.vn/products/tui-44-vien-giat-xa-mau-xanh-noi-dia-nhat-ban-ll181-i358712759.html</v>
      </c>
      <c r="C7073" s="10" t="s">
        <v>7073</v>
      </c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>
      <c r="A7074" s="8">
        <v>11928.0</v>
      </c>
      <c r="B7074" s="9" t="str">
        <f>HYPERLINK("https://www.lazada.vn/products/2-goi-banh-quy-xoan-pretzel-han-quoc-darda-50ggoi-i2863331449.html", "https://www.lazada.vn/products/2-goi-banh-quy-xoan-pretzel-han-quoc-darda-50ggoi-i2863331449.html")</f>
        <v>https://www.lazada.vn/products/2-goi-banh-quy-xoan-pretzel-han-quoc-darda-50ggoi-i2863331449.html</v>
      </c>
      <c r="C7074" s="10" t="s">
        <v>7074</v>
      </c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>
      <c r="A7075" s="8">
        <v>11929.0</v>
      </c>
      <c r="B7075" s="9" t="str">
        <f>HYPERLINK("https://www.lazada.vn/products/vodka-men-nhan-sam-korea-baby-ginseng-27-500ml-i2737289700.html", "https://www.lazada.vn/products/vodka-men-nhan-sam-korea-baby-ginseng-27-500ml-i2737289700.html")</f>
        <v>https://www.lazada.vn/products/vodka-men-nhan-sam-korea-baby-ginseng-27-500ml-i2737289700.html</v>
      </c>
      <c r="C7075" s="10" t="s">
        <v>7075</v>
      </c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>
      <c r="A7076" s="8">
        <v>11930.0</v>
      </c>
      <c r="B7076" s="9" t="str">
        <f>HYPERLINK("https://www.lazada.vn/products/xo-nhua-vien-nui-keo-socola-tuoi-fasimiyu-nhan-lava-trai-cay-tan-chay-hinh-nui-phu-sy-an-vat-cuc-ngon-hop-108g-i2896066348.html", "https://www.lazada.vn/products/xo-nhua-vien-nui-keo-socola-tuoi-fasimiyu-nhan-lava-trai-cay-tan-chay-hinh-nui-phu-sy-an-vat-cuc-ngon-hop-108g-i2896066348.html")</f>
        <v>https://www.lazada.vn/products/xo-nhua-vien-nui-keo-socola-tuoi-fasimiyu-nhan-lava-trai-cay-tan-chay-hinh-nui-phu-sy-an-vat-cuc-ngon-hop-108g-i2896066348.html</v>
      </c>
      <c r="C7076" s="10" t="s">
        <v>7076</v>
      </c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>
      <c r="A7077" s="8">
        <v>11931.0</v>
      </c>
      <c r="B7077" s="9" t="str">
        <f>HYPERLINK("https://www.lazada.vn/products/ca-phe-rang-xay-nam-phat-coffee-huong-vi-dam-da-thom-ngon-500gr-ca-phe-nam-phat-i2668861452.html", "https://www.lazada.vn/products/ca-phe-rang-xay-nam-phat-coffee-huong-vi-dam-da-thom-ngon-500gr-ca-phe-nam-phat-i2668861452.html")</f>
        <v>https://www.lazada.vn/products/ca-phe-rang-xay-nam-phat-coffee-huong-vi-dam-da-thom-ngon-500gr-ca-phe-nam-phat-i2668861452.html</v>
      </c>
      <c r="C7077" s="10" t="s">
        <v>7077</v>
      </c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>
      <c r="A7078" s="8">
        <v>11932.0</v>
      </c>
      <c r="B7078" s="9" t="str">
        <f>HYPERLINK("https://www.lazada.vn/products/khuyen-mai-xoai-say-deo-muoi-ot-250gr-hang-dac-biet-deo-thom-an-vat-i2908180496.html", "https://www.lazada.vn/products/khuyen-mai-xoai-say-deo-muoi-ot-250gr-hang-dac-biet-deo-thom-an-vat-i2908180496.html")</f>
        <v>https://www.lazada.vn/products/khuyen-mai-xoai-say-deo-muoi-ot-250gr-hang-dac-biet-deo-thom-an-vat-i2908180496.html</v>
      </c>
      <c r="C7078" s="10" t="s">
        <v>7078</v>
      </c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>
      <c r="A7079" s="8">
        <v>11933.0</v>
      </c>
      <c r="B7079" s="9" t="str">
        <f>HYPERLINK("https://www.lazada.vn/products/500-g-bim-bim-tam-dau-ha-lando-an-vat-tuoi-tho-do-an-vat-cong-truong-dac-san-ba-mien-vi-cay-nhe-thom-ngon-i2676925215.html", "https://www.lazada.vn/products/500-g-bim-bim-tam-dau-ha-lando-an-vat-tuoi-tho-do-an-vat-cong-truong-dac-san-ba-mien-vi-cay-nhe-thom-ngon-i2676925215.html")</f>
        <v>https://www.lazada.vn/products/500-g-bim-bim-tam-dau-ha-lando-an-vat-tuoi-tho-do-an-vat-cong-truong-dac-san-ba-mien-vi-cay-nhe-thom-ngon-i2676925215.html</v>
      </c>
      <c r="C7079" s="10" t="s">
        <v>7079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>
      <c r="A7080" s="8">
        <v>11934.0</v>
      </c>
      <c r="B7080" s="9" t="str">
        <f>HYPERLINK("https://www.lazada.vn/products/combo-2-thung-24-chai-nuoc-tang-luc-sting-dau-330mlchai-i2245945138.html", "https://www.lazada.vn/products/combo-2-thung-24-chai-nuoc-tang-luc-sting-dau-330mlchai-i2245945138.html")</f>
        <v>https://www.lazada.vn/products/combo-2-thung-24-chai-nuoc-tang-luc-sting-dau-330mlchai-i2245945138.html</v>
      </c>
      <c r="C7080" s="10" t="s">
        <v>7080</v>
      </c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>
      <c r="A7081" s="8">
        <v>11935.0</v>
      </c>
      <c r="B7081" s="9" t="str">
        <f>HYPERLINK("https://www.lazada.vn/products/combo-2-thung-24-lon-nuoc-tang-luc-sting-dau-320mllon-i2245922081.html", "https://www.lazada.vn/products/combo-2-thung-24-lon-nuoc-tang-luc-sting-dau-320mllon-i2245922081.html")</f>
        <v>https://www.lazada.vn/products/combo-2-thung-24-lon-nuoc-tang-luc-sting-dau-320mllon-i2245922081.html</v>
      </c>
      <c r="C7081" s="10" t="s">
        <v>7081</v>
      </c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>
      <c r="A7082" s="8">
        <v>11936.0</v>
      </c>
      <c r="B7082" s="9" t="str">
        <f>HYPERLINK("https://www.lazada.vn/products/combo-2-thung-24-lon-bia-tiger-coolpack-250ml-i2861394287.html", "https://www.lazada.vn/products/combo-2-thung-24-lon-bia-tiger-coolpack-250ml-i2861394287.html")</f>
        <v>https://www.lazada.vn/products/combo-2-thung-24-lon-bia-tiger-coolpack-250ml-i2861394287.html</v>
      </c>
      <c r="C7082" s="10" t="s">
        <v>7082</v>
      </c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>
      <c r="A7083" s="8">
        <v>11937.0</v>
      </c>
      <c r="B7083" s="9" t="str">
        <f>HYPERLINK("https://www.lazada.vn/products/set-nguyen-lieu-panna-cotta-tu-chon-1000ml-an-vat-tet-i2112973695.html", "https://www.lazada.vn/products/set-nguyen-lieu-panna-cotta-tu-chon-1000ml-an-vat-tet-i2112973695.html")</f>
        <v>https://www.lazada.vn/products/set-nguyen-lieu-panna-cotta-tu-chon-1000ml-an-vat-tet-i2112973695.html</v>
      </c>
      <c r="C7083" s="10" t="s">
        <v>7083</v>
      </c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>
      <c r="A7084" s="8">
        <v>11938.0</v>
      </c>
      <c r="B7084" s="9" t="str">
        <f>HYPERLINK("https://www.lazada.vn/products/220g-ot-xay-ngam-duong-dac-biet-cay-ngon-i1780003266.html", "https://www.lazada.vn/products/220g-ot-xay-ngam-duong-dac-biet-cay-ngon-i1780003266.html")</f>
        <v>https://www.lazada.vn/products/220g-ot-xay-ngam-duong-dac-biet-cay-ngon-i1780003266.html</v>
      </c>
      <c r="C7084" s="10" t="s">
        <v>7084</v>
      </c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>
      <c r="A7085" s="8">
        <v>11939.0</v>
      </c>
      <c r="B7085" s="9" t="str">
        <f>HYPERLINK("https://www.lazada.vn/products/royal-canin-mother-babycat-1kg-tui-chia-i3014642289.html", "https://www.lazada.vn/products/royal-canin-mother-babycat-1kg-tui-chia-i3014642289.html")</f>
        <v>https://www.lazada.vn/products/royal-canin-mother-babycat-1kg-tui-chia-i3014642289.html</v>
      </c>
      <c r="C7085" s="10" t="s">
        <v>7085</v>
      </c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>
      <c r="A7086" s="8">
        <v>11940.0</v>
      </c>
      <c r="B7086" s="9" t="str">
        <f>HYPERLINK("https://www.lazada.vn/products/sieu-tiet-kiem-2-bich-banh-mi-tuoi-size-lon-80gram-dac-ruot-10-banh-khach-mua-ve-tru-ngan-mat-tu-lanh-dung-dan-rat-tien-loi-i2612975896.html", "https://www.lazada.vn/products/sieu-tiet-kiem-2-bich-banh-mi-tuoi-size-lon-80gram-dac-ruot-10-banh-khach-mua-ve-tru-ngan-mat-tu-lanh-dung-dan-rat-tien-loi-i2612975896.html")</f>
        <v>https://www.lazada.vn/products/sieu-tiet-kiem-2-bich-banh-mi-tuoi-size-lon-80gram-dac-ruot-10-banh-khach-mua-ve-tru-ngan-mat-tu-lanh-dung-dan-rat-tien-loi-i2612975896.html</v>
      </c>
      <c r="C7086" s="10" t="s">
        <v>7086</v>
      </c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>
      <c r="A7087" s="8">
        <v>11941.0</v>
      </c>
      <c r="B7087" s="9" t="str">
        <f>HYPERLINK("https://www.lazada.vn/products/nuoc-ngot-coca-cola-320ml-i2256119659.html", "https://www.lazada.vn/products/nuoc-ngot-coca-cola-320ml-i2256119659.html")</f>
        <v>https://www.lazada.vn/products/nuoc-ngot-coca-cola-320ml-i2256119659.html</v>
      </c>
      <c r="C7087" s="10" t="s">
        <v>7087</v>
      </c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>
      <c r="A7088" s="8">
        <v>11942.0</v>
      </c>
      <c r="B7088" s="9" t="str">
        <f>HYPERLINK("https://www.lazada.vn/products/ly-le-mi-ly-vifon-60g-tomyumtom-chua-caylau-thai-tom-boga-i3014625919.html", "https://www.lazada.vn/products/ly-le-mi-ly-vifon-60g-tomyumtom-chua-caylau-thai-tom-boga-i3014625919.html")</f>
        <v>https://www.lazada.vn/products/ly-le-mi-ly-vifon-60g-tomyumtom-chua-caylau-thai-tom-boga-i3014625919.html</v>
      </c>
      <c r="C7088" s="10" t="s">
        <v>7088</v>
      </c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>
      <c r="A7089" s="8">
        <v>11943.0</v>
      </c>
      <c r="B7089" s="9" t="str">
        <f>HYPERLINK("https://www.lazada.vn/products/ruou-vang-bich-janus-5l-i2529837272.html", "https://www.lazada.vn/products/ruou-vang-bich-janus-5l-i2529837272.html")</f>
        <v>https://www.lazada.vn/products/ruou-vang-bich-janus-5l-i2529837272.html</v>
      </c>
      <c r="C7089" s="10" t="s">
        <v>7089</v>
      </c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>
      <c r="A7090" s="8">
        <v>11944.0</v>
      </c>
      <c r="B7090" s="9" t="str">
        <f>HYPERLINK("https://www.lazada.vn/products/sirosyrup-osterberg-dao-peach-750ml-i2473733002.html", "https://www.lazada.vn/products/sirosyrup-osterberg-dao-peach-750ml-i2473733002.html")</f>
        <v>https://www.lazada.vn/products/sirosyrup-osterberg-dao-peach-750ml-i2473733002.html</v>
      </c>
      <c r="C7090" s="10" t="s">
        <v>7090</v>
      </c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>
      <c r="A7091" s="8">
        <v>11945.0</v>
      </c>
      <c r="B7091" s="9" t="str">
        <f>HYPERLINK("https://www.lazada.vn/products/banh-trang-deo-tom-tron-tep-chua-ca-i2342658019.html", "https://www.lazada.vn/products/banh-trang-deo-tom-tron-tep-chua-ca-i2342658019.html")</f>
        <v>https://www.lazada.vn/products/banh-trang-deo-tom-tron-tep-chua-ca-i2342658019.html</v>
      </c>
      <c r="C7091" s="10" t="s">
        <v>7091</v>
      </c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>
      <c r="A7092" s="8">
        <v>11946.0</v>
      </c>
      <c r="B7092" s="9" t="str">
        <f>HYPERLINK("https://www.lazada.vn/products/thung-bia-asahi-super-dry-24lon-x-350ml-du-nhat-ban-i1676003154.html", "https://www.lazada.vn/products/thung-bia-asahi-super-dry-24lon-x-350ml-du-nhat-ban-i1676003154.html")</f>
        <v>https://www.lazada.vn/products/thung-bia-asahi-super-dry-24lon-x-350ml-du-nhat-ban-i1676003154.html</v>
      </c>
      <c r="C7092" s="10" t="s">
        <v>7092</v>
      </c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>
      <c r="A7093" s="8">
        <v>11947.0</v>
      </c>
      <c r="B7093" s="9" t="str">
        <f>HYPERLINK("https://www.lazada.vn/products/viva-vodka-special-300ml-i2630951294.html", "https://www.lazada.vn/products/viva-vodka-special-300ml-i2630951294.html")</f>
        <v>https://www.lazada.vn/products/viva-vodka-special-300ml-i2630951294.html</v>
      </c>
      <c r="C7093" s="10" t="s">
        <v>7093</v>
      </c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>
      <c r="A7094" s="8">
        <v>11948.0</v>
      </c>
      <c r="B7094" s="9" t="str">
        <f>HYPERLINK("https://www.lazada.vn/products/ruou-trai-nhau-dat-lan-vy-1000ml-i2714772003.html", "https://www.lazada.vn/products/ruou-trai-nhau-dat-lan-vy-1000ml-i2714772003.html")</f>
        <v>https://www.lazada.vn/products/ruou-trai-nhau-dat-lan-vy-1000ml-i2714772003.html</v>
      </c>
      <c r="C7094" s="10" t="s">
        <v>7094</v>
      </c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>
      <c r="A7095" s="8">
        <v>11949.0</v>
      </c>
      <c r="B7095" s="9" t="str">
        <f>HYPERLINK("https://www.lazada.vn/products/combo-3-hop-mut-dao-178g-cherry-188g-viet-quat-188g-nhap-khau-hongkong-ll181-i358712750.html", "https://www.lazada.vn/products/combo-3-hop-mut-dao-178g-cherry-188g-viet-quat-188g-nhap-khau-hongkong-ll181-i358712750.html")</f>
        <v>https://www.lazada.vn/products/combo-3-hop-mut-dao-178g-cherry-188g-viet-quat-188g-nhap-khau-hongkong-ll181-i358712750.html</v>
      </c>
      <c r="C7095" s="10" t="s">
        <v>7095</v>
      </c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>
      <c r="A7096" s="8">
        <v>11950.0</v>
      </c>
      <c r="B7096" s="9" t="str">
        <f>HYPERLINK("https://www.lazada.vn/products/1kg-cafe-nam-phat-buon-ma-thuot-uong-la-me-i2668772809.html", "https://www.lazada.vn/products/1kg-cafe-nam-phat-buon-ma-thuot-uong-la-me-i2668772809.html")</f>
        <v>https://www.lazada.vn/products/1kg-cafe-nam-phat-buon-ma-thuot-uong-la-me-i2668772809.html</v>
      </c>
      <c r="C7096" s="10" t="s">
        <v>7096</v>
      </c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>
      <c r="A7097" s="8">
        <v>11951.0</v>
      </c>
      <c r="B7097" s="9" t="str">
        <f>HYPERLINK("https://www.lazada.vn/products/kho-muc-can-tam-gia-vi-nguyen-con-500g-ll181-i358710785.html", "https://www.lazada.vn/products/kho-muc-can-tam-gia-vi-nguyen-con-500g-ll181-i358710785.html")</f>
        <v>https://www.lazada.vn/products/kho-muc-can-tam-gia-vi-nguyen-con-500g-ll181-i358710785.html</v>
      </c>
      <c r="C7097" s="10" t="s">
        <v>7097</v>
      </c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>
      <c r="A7098" s="8">
        <v>11952.0</v>
      </c>
      <c r="B7098" s="9" t="str">
        <f>HYPERLINK("https://www.lazada.vn/products/socola-hang-du-muc-chinh-goc-san-live-hop-408g-i2895405326.html", "https://www.lazada.vn/products/socola-hang-du-muc-chinh-goc-san-live-hop-408g-i2895405326.html")</f>
        <v>https://www.lazada.vn/products/socola-hang-du-muc-chinh-goc-san-live-hop-408g-i2895405326.html</v>
      </c>
      <c r="C7098" s="10" t="s">
        <v>7098</v>
      </c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>
      <c r="A7099" s="8">
        <v>11953.0</v>
      </c>
      <c r="B7099" s="9" t="str">
        <f>HYPERLINK("https://www.lazada.vn/products/500-g-bim-bim-khoai-tay-bim-bim-que-snack-ngo-sen-do-an-vat-tuoi-tho-do-an-vat-cong-truong-hot-nhat-i2676923241.html", "https://www.lazada.vn/products/500-g-bim-bim-khoai-tay-bim-bim-que-snack-ngo-sen-do-an-vat-tuoi-tho-do-an-vat-cong-truong-hot-nhat-i2676923241.html")</f>
        <v>https://www.lazada.vn/products/500-g-bim-bim-khoai-tay-bim-bim-que-snack-ngo-sen-do-an-vat-tuoi-tho-do-an-vat-cong-truong-hot-nhat-i2676923241.html</v>
      </c>
      <c r="C7099" s="10" t="s">
        <v>7099</v>
      </c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>
      <c r="A7100" s="8">
        <v>11954.0</v>
      </c>
      <c r="B7100" s="9" t="str">
        <f>HYPERLINK("https://www.lazada.vn/products/to-le-mi-to-omachi-bo-ham-tom-chua-cay-suon-ham-ngu-qua-i3013255035.html", "https://www.lazada.vn/products/to-le-mi-to-omachi-bo-ham-tom-chua-cay-suon-ham-ngu-qua-i3013255035.html")</f>
        <v>https://www.lazada.vn/products/to-le-mi-to-omachi-bo-ham-tom-chua-cay-suon-ham-ngu-qua-i3013255035.html</v>
      </c>
      <c r="C7100" s="10" t="s">
        <v>7100</v>
      </c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>
      <c r="A7101" s="8">
        <v>11955.0</v>
      </c>
      <c r="B7101" s="9" t="str">
        <f>HYPERLINK("https://www.lazada.vn/products/100gr-xoai-say-deo-sieu-ngon-an-vat-bach-hoa-online-uy-tin-i2908129795.html", "https://www.lazada.vn/products/100gr-xoai-say-deo-sieu-ngon-an-vat-bach-hoa-online-uy-tin-i2908129795.html")</f>
        <v>https://www.lazada.vn/products/100gr-xoai-say-deo-sieu-ngon-an-vat-bach-hoa-online-uy-tin-i2908129795.html</v>
      </c>
      <c r="C7101" s="10" t="s">
        <v>7101</v>
      </c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>
      <c r="A7102" s="8">
        <v>11956.0</v>
      </c>
      <c r="B7102" s="9" t="str">
        <f>HYPERLINK("https://www.lazada.vn/products/banh-sua-1kg-banh-sua-vi-matcha-2-tui-i2862835125.html", "https://www.lazada.vn/products/banh-sua-1kg-banh-sua-vi-matcha-2-tui-i2862835125.html")</f>
        <v>https://www.lazada.vn/products/banh-sua-1kg-banh-sua-vi-matcha-2-tui-i2862835125.html</v>
      </c>
      <c r="C7102" s="10" t="s">
        <v>7102</v>
      </c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>
      <c r="A7103" s="8">
        <v>11957.0</v>
      </c>
      <c r="B7103" s="9" t="str">
        <f>HYPERLINK("https://www.lazada.vn/products/nuoc-khoang-chanh-muoi-tien-hai-thung-24-chai-i2238476676.html", "https://www.lazada.vn/products/nuoc-khoang-chanh-muoi-tien-hai-thung-24-chai-i2238476676.html")</f>
        <v>https://www.lazada.vn/products/nuoc-khoang-chanh-muoi-tien-hai-thung-24-chai-i2238476676.html</v>
      </c>
      <c r="C7103" s="10" t="s">
        <v>7103</v>
      </c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>
      <c r="A7104" s="8">
        <v>11958.0</v>
      </c>
      <c r="B7104" s="9" t="str">
        <f>HYPERLINK("https://www.lazada.vn/products/mix-10-vi-mut-rong-sun-an-kieng-an-vat-it-ngot-tot-suc-khoe-phu-hop-tre-nho-giam-can-an-kieng-kl-tuy-chon-i2112939823.html", "https://www.lazada.vn/products/mix-10-vi-mut-rong-sun-an-kieng-an-vat-it-ngot-tot-suc-khoe-phu-hop-tre-nho-giam-can-an-kieng-kl-tuy-chon-i2112939823.html")</f>
        <v>https://www.lazada.vn/products/mix-10-vi-mut-rong-sun-an-kieng-an-vat-it-ngot-tot-suc-khoe-phu-hop-tre-nho-giam-can-an-kieng-kl-tuy-chon-i2112939823.html</v>
      </c>
      <c r="C7104" s="10" t="s">
        <v>7104</v>
      </c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>
      <c r="A7105" s="8">
        <v>11959.0</v>
      </c>
      <c r="B7105" s="9" t="str">
        <f>HYPERLINK("https://www.lazada.vn/products/2kg-hat-cho-meo-lon-reflex-adult-chicken-rice-2kg-i3014602471.html", "https://www.lazada.vn/products/2kg-hat-cho-meo-lon-reflex-adult-chicken-rice-2kg-i3014602471.html")</f>
        <v>https://www.lazada.vn/products/2kg-hat-cho-meo-lon-reflex-adult-chicken-rice-2kg-i3014602471.html</v>
      </c>
      <c r="C7105" s="10" t="s">
        <v>7105</v>
      </c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>
      <c r="A7106" s="8">
        <v>11960.0</v>
      </c>
      <c r="B7106" s="9" t="str">
        <f>HYPERLINK("https://www.lazada.vn/products/xoai-mieng-dong-hopxoai-tuoi-ngam-nuoc-duong-cat-long-hop-425g-lam-sinh-to-thom-ngon-i1778647628.html", "https://www.lazada.vn/products/xoai-mieng-dong-hopxoai-tuoi-ngam-nuoc-duong-cat-long-hop-425g-lam-sinh-to-thom-ngon-i1778647628.html")</f>
        <v>https://www.lazada.vn/products/xoai-mieng-dong-hopxoai-tuoi-ngam-nuoc-duong-cat-long-hop-425g-lam-sinh-to-thom-ngon-i1778647628.html</v>
      </c>
      <c r="C7106" s="10" t="s">
        <v>7106</v>
      </c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>
      <c r="A7107" s="8">
        <v>11961.0</v>
      </c>
      <c r="B7107" s="9" t="str">
        <f>HYPERLINK("https://www.lazada.vn/products/gia-dung-thu-banh-my-dia-ngan-lop-sieu-ngon-tien-loi-90gcai-i2607776205.html", "https://www.lazada.vn/products/gia-dung-thu-banh-my-dia-ngan-lop-sieu-ngon-tien-loi-90gcai-i2607776205.html")</f>
        <v>https://www.lazada.vn/products/gia-dung-thu-banh-my-dia-ngan-lop-sieu-ngon-tien-loi-90gcai-i2607776205.html</v>
      </c>
      <c r="C7107" s="10" t="s">
        <v>7107</v>
      </c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>
      <c r="A7108" s="8">
        <v>11962.0</v>
      </c>
      <c r="B7108" s="9" t="str">
        <f>HYPERLINK("https://www.lazada.vn/products/ruou-vang-do-santa-loreto-cabernet-sauvignon-i2529826053.html", "https://www.lazada.vn/products/ruou-vang-do-santa-loreto-cabernet-sauvignon-i2529826053.html")</f>
        <v>https://www.lazada.vn/products/ruou-vang-do-santa-loreto-cabernet-sauvignon-i2529826053.html</v>
      </c>
      <c r="C7108" s="10" t="s">
        <v>7108</v>
      </c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>
      <c r="A7109" s="8">
        <v>11963.0</v>
      </c>
      <c r="B7109" s="9" t="str">
        <f>HYPERLINK("https://www.lazada.vn/products/nuoc-ngot-soda-khong-duong-genki-forest-330ml-thung-24-lon-dao-ly-trinh-15-i2252982080.html", "https://www.lazada.vn/products/nuoc-ngot-soda-khong-duong-genki-forest-330ml-thung-24-lon-dao-ly-trinh-15-i2252982080.html")</f>
        <v>https://www.lazada.vn/products/nuoc-ngot-soda-khong-duong-genki-forest-330ml-thung-24-lon-dao-ly-trinh-15-i2252982080.html</v>
      </c>
      <c r="C7109" s="10" t="s">
        <v>7109</v>
      </c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>
      <c r="A7110" s="8">
        <v>11964.0</v>
      </c>
      <c r="B7110" s="9" t="str">
        <f>HYPERLINK("https://www.lazada.vn/products/bich-banh-trang-ria-deo-phoi-suong-chat-sot-muoi-sieu-cay-quyen-tay-ninh-i2342657353.html", "https://www.lazada.vn/products/bich-banh-trang-ria-deo-phoi-suong-chat-sot-muoi-sieu-cay-quyen-tay-ninh-i2342657353.html")</f>
        <v>https://www.lazada.vn/products/bich-banh-trang-ria-deo-phoi-suong-chat-sot-muoi-sieu-cay-quyen-tay-ninh-i2342657353.html</v>
      </c>
      <c r="C7110" s="10" t="s">
        <v>7110</v>
      </c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>
      <c r="A7111" s="8">
        <v>11965.0</v>
      </c>
      <c r="B7111" s="9" t="str">
        <f>HYPERLINK("https://www.lazada.vn/products/sirosyrup-davinci-nhieu-vi-750ml-i2473693082.html", "https://www.lazada.vn/products/sirosyrup-davinci-nhieu-vi-750ml-i2473693082.html")</f>
        <v>https://www.lazada.vn/products/sirosyrup-davinci-nhieu-vi-750ml-i2473693082.html</v>
      </c>
      <c r="C7111" s="10" t="s">
        <v>7111</v>
      </c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>
      <c r="A7112" s="8">
        <v>11966.0</v>
      </c>
      <c r="B7112" s="9" t="str">
        <f>HYPERLINK("https://www.lazada.vn/products/bot-ca-cao-nguyen-chat-khong-duong-caravelle-tui-300g-34054-i2655889173.html", "https://www.lazada.vn/products/bot-ca-cao-nguyen-chat-khong-duong-caravelle-tui-300g-34054-i2655889173.html")</f>
        <v>https://www.lazada.vn/products/bot-ca-cao-nguyen-chat-khong-duong-caravelle-tui-300g-34054-i2655889173.html</v>
      </c>
      <c r="C7112" s="10" t="s">
        <v>7112</v>
      </c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>
      <c r="A7113" s="8">
        <v>11967.0</v>
      </c>
      <c r="B7113" s="9" t="str">
        <f>HYPERLINK("https://www.lazada.vn/products/set-6-lon-bia-asahi-super-dry-350ml-du-nhat-ban-i1675949445.html", "https://www.lazada.vn/products/set-6-lon-bia-asahi-super-dry-350ml-du-nhat-ban-i1675949445.html")</f>
        <v>https://www.lazada.vn/products/set-6-lon-bia-asahi-super-dry-350ml-du-nhat-ban-i1675949445.html</v>
      </c>
      <c r="C7113" s="10" t="s">
        <v>7113</v>
      </c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>
      <c r="A7114" s="8">
        <v>11968.0</v>
      </c>
      <c r="B7114" s="9" t="str">
        <f>HYPERLINK("https://www.lazada.vn/products/seagrams-vodka-500ml-i2630909193.html", "https://www.lazada.vn/products/seagrams-vodka-500ml-i2630909193.html")</f>
        <v>https://www.lazada.vn/products/seagrams-vodka-500ml-i2630909193.html</v>
      </c>
      <c r="C7114" s="10" t="s">
        <v>7114</v>
      </c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>
      <c r="A7115" s="8">
        <v>11969.0</v>
      </c>
      <c r="B7115" s="9" t="str">
        <f>HYPERLINK("https://www.lazada.vn/products/banh-cuon-vi-me-den-joongma-go-han-quoc-365g-ll181-i358708753.html", "https://www.lazada.vn/products/banh-cuon-vi-me-den-joongma-go-han-quoc-365g-ll181-i358708753.html")</f>
        <v>https://www.lazada.vn/products/banh-cuon-vi-me-den-joongma-go-han-quoc-365g-ll181-i358708753.html</v>
      </c>
      <c r="C7115" s="10" t="s">
        <v>7115</v>
      </c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>
      <c r="A7116" s="8">
        <v>11970.0</v>
      </c>
      <c r="B7116" s="9" t="str">
        <f>HYPERLINK("https://www.lazada.vn/products/ruou-trai-nhau-dat-lan-vy-2000ml-i2714742067.html", "https://www.lazada.vn/products/ruou-trai-nhau-dat-lan-vy-2000ml-i2714742067.html")</f>
        <v>https://www.lazada.vn/products/ruou-trai-nhau-dat-lan-vy-2000ml-i2714742067.html</v>
      </c>
      <c r="C7116" s="10" t="s">
        <v>7116</v>
      </c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>
      <c r="A7117" s="8">
        <v>11971.0</v>
      </c>
      <c r="B7117" s="9" t="str">
        <f>HYPERLINK("https://www.lazada.vn/products/ca-phe-viet-den-da-cua-nest-ca-phe-35-goi-i2668649005.html", "https://www.lazada.vn/products/ca-phe-viet-den-da-cua-nest-ca-phe-35-goi-i2668649005.html")</f>
        <v>https://www.lazada.vn/products/ca-phe-viet-den-da-cua-nest-ca-phe-35-goi-i2668649005.html</v>
      </c>
      <c r="C7117" s="10" t="s">
        <v>7117</v>
      </c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>
      <c r="A7118" s="8">
        <v>11972.0</v>
      </c>
      <c r="B7118" s="9" t="str">
        <f>HYPERLINK("https://www.lazada.vn/products/socola-ferrero-rocher-cua-duc-hang-sieu-thi-i2894578221.html", "https://www.lazada.vn/products/socola-ferrero-rocher-cua-duc-hang-sieu-thi-i2894578221.html")</f>
        <v>https://www.lazada.vn/products/socola-ferrero-rocher-cua-duc-hang-sieu-thi-i2894578221.html</v>
      </c>
      <c r="C7118" s="10" t="s">
        <v>7118</v>
      </c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>
      <c r="A7119" s="8">
        <v>11973.0</v>
      </c>
      <c r="B7119" s="9" t="str">
        <f>HYPERLINK("https://www.lazada.vn/products/viva-vodka-special-750ml-i2630852975.html", "https://www.lazada.vn/products/viva-vodka-special-750ml-i2630852975.html")</f>
        <v>https://www.lazada.vn/products/viva-vodka-special-750ml-i2630852975.html</v>
      </c>
      <c r="C7119" s="10" t="s">
        <v>7119</v>
      </c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>
      <c r="A7120" s="8">
        <v>11974.0</v>
      </c>
      <c r="B7120" s="9" t="str">
        <f>HYPERLINK("https://www.lazada.vn/products/500-g-bim-bim-hat-sen-nui-sen-chien-gion-cay-hap-dan-do-an-vat-tuoi-tho-do-an-vat-cong-truong-hot-nhat-i2676900199.html", "https://www.lazada.vn/products/500-g-bim-bim-hat-sen-nui-sen-chien-gion-cay-hap-dan-do-an-vat-tuoi-tho-do-an-vat-cong-truong-hot-nhat-i2676900199.html")</f>
        <v>https://www.lazada.vn/products/500-g-bim-bim-hat-sen-nui-sen-chien-gion-cay-hap-dan-do-an-vat-tuoi-tho-do-an-vat-cong-truong-hot-nhat-i2676900199.html</v>
      </c>
      <c r="C7120" s="10" t="s">
        <v>7120</v>
      </c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>
      <c r="A7121" s="8">
        <v>11975.0</v>
      </c>
      <c r="B7121" s="9" t="str">
        <f>HYPERLINK("https://www.lazada.vn/products/xoai-say-deo-gia-si-250g500g-sieu-ngon-do-an-vat-i2908087953.html", "https://www.lazada.vn/products/xoai-say-deo-gia-si-250g500g-sieu-ngon-do-an-vat-i2908087953.html")</f>
        <v>https://www.lazada.vn/products/xoai-say-deo-gia-si-250g500g-sieu-ngon-do-an-vat-i2908087953.html</v>
      </c>
      <c r="C7121" s="10" t="s">
        <v>7121</v>
      </c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>
      <c r="A7122" s="8">
        <v>11976.0</v>
      </c>
      <c r="B7122" s="9" t="str">
        <f>HYPERLINK("https://www.lazada.vn/products/to-le-to-nho-mien-suon-heo-hu-tieu-nam-vang-pho-bo-i3013249082.html", "https://www.lazada.vn/products/to-le-to-nho-mien-suon-heo-hu-tieu-nam-vang-pho-bo-i3013249082.html")</f>
        <v>https://www.lazada.vn/products/to-le-to-nho-mien-suon-heo-hu-tieu-nam-vang-pho-bo-i3013249082.html</v>
      </c>
      <c r="C7122" s="10" t="s">
        <v>7122</v>
      </c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>
      <c r="A7123" s="8">
        <v>11977.0</v>
      </c>
      <c r="B7123" s="9" t="str">
        <f>HYPERLINK("https://www.lazada.vn/products/combo-3-banh-dinh-duong-vicosap-lam-tu-dua-sap-khong-chien-qua-dau-an-vat-healthy-cho-be-i2861513224.html", "https://www.lazada.vn/products/combo-3-banh-dinh-duong-vicosap-lam-tu-dua-sap-khong-chien-qua-dau-an-vat-healthy-cho-be-i2861513224.html")</f>
        <v>https://www.lazada.vn/products/combo-3-banh-dinh-duong-vicosap-lam-tu-dua-sap-khong-chien-qua-dau-an-vat-healthy-cho-be-i2861513224.html</v>
      </c>
      <c r="C7123" s="10" t="s">
        <v>7123</v>
      </c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>
      <c r="A7124" s="8">
        <v>11978.0</v>
      </c>
      <c r="B7124" s="9" t="str">
        <f>HYPERLINK("https://www.lazada.vn/products/set-nguyen-lieu-panna-cotta-tu-chon-500ml-an-vat-tet-i2112822705.html", "https://www.lazada.vn/products/set-nguyen-lieu-panna-cotta-tu-chon-500ml-an-vat-tet-i2112822705.html")</f>
        <v>https://www.lazada.vn/products/set-nguyen-lieu-panna-cotta-tu-chon-500ml-an-vat-tet-i2112822705.html</v>
      </c>
      <c r="C7124" s="10" t="s">
        <v>7124</v>
      </c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>
      <c r="A7125" s="8">
        <v>11979.0</v>
      </c>
      <c r="B7125" s="9" t="str">
        <f>HYPERLINK("https://www.lazada.vn/products/nuoc-tang-luc-k5-sam-ngoc-linh-loc-6-lon-vi-nguyen-ban-250mllon-i2227021064.html", "https://www.lazada.vn/products/nuoc-tang-luc-k5-sam-ngoc-linh-loc-6-lon-vi-nguyen-ban-250mllon-i2227021064.html")</f>
        <v>https://www.lazada.vn/products/nuoc-tang-luc-k5-sam-ngoc-linh-loc-6-lon-vi-nguyen-ban-250mllon-i2227021064.html</v>
      </c>
      <c r="C7125" s="10" t="s">
        <v>7125</v>
      </c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>
      <c r="A7126" s="8">
        <v>11980.0</v>
      </c>
      <c r="B7126" s="9" t="str">
        <f>HYPERLINK("https://www.lazada.vn/products/hu-1-kg-thach-dua-thai-lan-thom-ngon-do-an-vat-i1777477158.html", "https://www.lazada.vn/products/hu-1-kg-thach-dua-thai-lan-thom-ngon-do-an-vat-i1777477158.html")</f>
        <v>https://www.lazada.vn/products/hu-1-kg-thach-dua-thai-lan-thom-ngon-do-an-vat-i1777477158.html</v>
      </c>
      <c r="C7126" s="10" t="s">
        <v>7126</v>
      </c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>
      <c r="A7127" s="8">
        <v>11981.0</v>
      </c>
      <c r="B7127" s="9" t="str">
        <f>HYPERLINK("https://www.lazada.vn/products/royal-canin-mother-babycat-4kg-i3014497471.html", "https://www.lazada.vn/products/royal-canin-mother-babycat-4kg-i3014497471.html")</f>
        <v>https://www.lazada.vn/products/royal-canin-mother-babycat-4kg-i3014497471.html</v>
      </c>
      <c r="C7127" s="10" t="s">
        <v>7127</v>
      </c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>
      <c r="A7128" s="8">
        <v>11982.0</v>
      </c>
      <c r="B7128" s="9" t="str">
        <f>HYPERLINK("https://www.lazada.vn/products/thung-2kg-banh-mix-dai-loan-loai-1-i2606340473.html", "https://www.lazada.vn/products/thung-2kg-banh-mix-dai-loan-loai-1-i2606340473.html")</f>
        <v>https://www.lazada.vn/products/thung-2kg-banh-mix-dai-loan-loai-1-i2606340473.html</v>
      </c>
      <c r="C7128" s="10" t="s">
        <v>7128</v>
      </c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>
      <c r="A7129" s="8">
        <v>11983.0</v>
      </c>
      <c r="B7129" s="9" t="str">
        <f>HYPERLINK("https://www.lazada.vn/products/sieu-ngon-1-thungkeo-deo-xoai-top-fruit-goi-320g-24-goi-i2907971888.html", "https://www.lazada.vn/products/sieu-ngon-1-thungkeo-deo-xoai-top-fruit-goi-320g-24-goi-i2907971888.html")</f>
        <v>https://www.lazada.vn/products/sieu-ngon-1-thungkeo-deo-xoai-top-fruit-goi-320g-24-goi-i2907971888.html</v>
      </c>
      <c r="C7129" s="10" t="s">
        <v>7129</v>
      </c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>
      <c r="A7130" s="8">
        <v>11984.0</v>
      </c>
      <c r="B7130" s="9" t="str">
        <f>HYPERLINK("https://www.lazada.vn/products/nui-say-bo-bao-ngon-i2666359192.html", "https://www.lazada.vn/products/nui-say-bo-bao-ngon-i2666359192.html")</f>
        <v>https://www.lazada.vn/products/nui-say-bo-bao-ngon-i2666359192.html</v>
      </c>
      <c r="C7130" s="10" t="s">
        <v>7130</v>
      </c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>
      <c r="A7131" s="8">
        <v>11985.0</v>
      </c>
      <c r="B7131" s="9" t="str">
        <f>HYPERLINK("https://www.lazada.vn/products/nuoc-ngot-soda-khong-duong-genki-forest-330ml-thung-24-lon-nho-ly-trinh-15-i2252977198.html", "https://www.lazada.vn/products/nuoc-ngot-soda-khong-duong-genki-forest-330ml-thung-24-lon-nho-ly-trinh-15-i2252977198.html")</f>
        <v>https://www.lazada.vn/products/nuoc-ngot-soda-khong-duong-genki-forest-330ml-thung-24-lon-nho-ly-trinh-15-i2252977198.html</v>
      </c>
      <c r="C7131" s="10" t="s">
        <v>7131</v>
      </c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>
      <c r="A7132" s="8">
        <v>11986.0</v>
      </c>
      <c r="B7132" s="9" t="str">
        <f>HYPERLINK("https://www.lazada.vn/products/ruou-vang-trong-louis-martine-3l-i2529816308.html", "https://www.lazada.vn/products/ruou-vang-trong-louis-martine-3l-i2529816308.html")</f>
        <v>https://www.lazada.vn/products/ruou-vang-trong-louis-martine-3l-i2529816308.html</v>
      </c>
      <c r="C7132" s="10" t="s">
        <v>7132</v>
      </c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>
      <c r="A7133" s="8">
        <v>11987.0</v>
      </c>
      <c r="B7133" s="9" t="str">
        <f>HYPERLINK("https://www.lazada.vn/products/combo-banh-trang-phoi-suong-cuon-muoi-tep-hanh-phi-bo-beo-top-mo-mam-toi-sot-tac-ot-rim-i2342653343.html", "https://www.lazada.vn/products/combo-banh-trang-phoi-suong-cuon-muoi-tep-hanh-phi-bo-beo-top-mo-mam-toi-sot-tac-ot-rim-i2342653343.html")</f>
        <v>https://www.lazada.vn/products/combo-banh-trang-phoi-suong-cuon-muoi-tep-hanh-phi-bo-beo-top-mo-mam-toi-sot-tac-ot-rim-i2342653343.html</v>
      </c>
      <c r="C7133" s="10" t="s">
        <v>7133</v>
      </c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>
      <c r="A7134" s="8">
        <v>11988.0</v>
      </c>
      <c r="B7134" s="9" t="str">
        <f>HYPERLINK("https://www.lazada.vn/products/tran-chau-den-gia-uy-ca-phe-2kg-i2473691107.html", "https://www.lazada.vn/products/tran-chau-den-gia-uy-ca-phe-2kg-i2473691107.html")</f>
        <v>https://www.lazada.vn/products/tran-chau-den-gia-uy-ca-phe-2kg-i2473691107.html</v>
      </c>
      <c r="C7134" s="10" t="s">
        <v>7134</v>
      </c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>
      <c r="A7135" s="8">
        <v>11989.0</v>
      </c>
      <c r="B7135" s="9" t="str">
        <f>HYPERLINK("https://www.lazada.vn/products/bot-cot-dua-nguyen-chat-100-i2654908552.html", "https://www.lazada.vn/products/bot-cot-dua-nguyen-chat-100-i2654908552.html")</f>
        <v>https://www.lazada.vn/products/bot-cot-dua-nguyen-chat-100-i2654908552.html</v>
      </c>
      <c r="C7135" s="10" t="s">
        <v>7135</v>
      </c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>
      <c r="A7136" s="8">
        <v>11990.0</v>
      </c>
      <c r="B7136" s="9" t="str">
        <f>HYPERLINK("https://www.lazada.vn/products/bom-bia-supper-dry-asahi-can-2-lit-du-hang-noi-dia-nhat-100-i1675856717.html", "https://www.lazada.vn/products/bom-bia-supper-dry-asahi-can-2-lit-du-hang-noi-dia-nhat-100-i1675856717.html")</f>
        <v>https://www.lazada.vn/products/bom-bia-supper-dry-asahi-can-2-lit-du-hang-noi-dia-nhat-100-i1675856717.html</v>
      </c>
      <c r="C7136" s="10" t="s">
        <v>7136</v>
      </c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>
      <c r="A7137" s="8">
        <v>11991.0</v>
      </c>
      <c r="B7137" s="9" t="str">
        <f>HYPERLINK("https://www.lazada.vn/products/combo-5-goi-ngu-coc-gao-luc-huyet-rong-400g-tang-kem-yen-mach-150g-i1540271783.html", "https://www.lazada.vn/products/combo-5-goi-ngu-coc-gao-luc-huyet-rong-400g-tang-kem-yen-mach-150g-i1540271783.html")</f>
        <v>https://www.lazada.vn/products/combo-5-goi-ngu-coc-gao-luc-huyet-rong-400g-tang-kem-yen-mach-150g-i1540271783.html</v>
      </c>
      <c r="C7137" s="10" t="s">
        <v>7137</v>
      </c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>
      <c r="A7138" s="8">
        <v>11992.0</v>
      </c>
      <c r="B7138" s="9" t="str">
        <f>HYPERLINK("https://www.lazada.vn/products/sot-uop-thit-bo-bbq-han-quoc-beksul-290g-ll181-i358706751.html", "https://www.lazada.vn/products/sot-uop-thit-bo-bbq-han-quoc-beksul-290g-ll181-i358706751.html")</f>
        <v>https://www.lazada.vn/products/sot-uop-thit-bo-bbq-han-quoc-beksul-290g-ll181-i358706751.html</v>
      </c>
      <c r="C7138" s="10" t="s">
        <v>7138</v>
      </c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>
      <c r="A7139" s="8">
        <v>11993.0</v>
      </c>
      <c r="B7139" s="9" t="str">
        <f>HYPERLINK("https://www.lazada.vn/products/600-gram-tac-gung-mat-ong-tiem-pho-nui-i2714722204.html", "https://www.lazada.vn/products/600-gram-tac-gung-mat-ong-tiem-pho-nui-i2714722204.html")</f>
        <v>https://www.lazada.vn/products/600-gram-tac-gung-mat-ong-tiem-pho-nui-i2714722204.html</v>
      </c>
      <c r="C7139" s="10" t="s">
        <v>7139</v>
      </c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>
      <c r="A7140" s="8">
        <v>11994.0</v>
      </c>
      <c r="B7140" s="9" t="str">
        <f>HYPERLINK("https://www.lazada.vn/products/tang-phin-ca-phe-culi-hat-rang-moc-nguyen-chat-sang-450g-cafe-hat-pha-phin-pha-may-xay-san-chinh-hang-ban-me-gold-rexsun-i2666856356.html", "https://www.lazada.vn/products/tang-phin-ca-phe-culi-hat-rang-moc-nguyen-chat-sang-450g-cafe-hat-pha-phin-pha-may-xay-san-chinh-hang-ban-me-gold-rexsun-i2666856356.html")</f>
        <v>https://www.lazada.vn/products/tang-phin-ca-phe-culi-hat-rang-moc-nguyen-chat-sang-450g-cafe-hat-pha-phin-pha-may-xay-san-chinh-hang-ban-me-gold-rexsun-i2666856356.html</v>
      </c>
      <c r="C7140" s="10" t="s">
        <v>7140</v>
      </c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>
      <c r="A7141" s="8">
        <v>11995.0</v>
      </c>
      <c r="B7141" s="9" t="str">
        <f>HYPERLINK("https://www.lazada.vn/products/sua-meiji-so-9-dang-thanh-noi-dia-nhat-danh-cho-be-1-3-tuoi-28g-x-24-thanh-ll181-i358704871.html", "https://www.lazada.vn/products/sua-meiji-so-9-dang-thanh-noi-dia-nhat-danh-cho-be-1-3-tuoi-28g-x-24-thanh-ll181-i358704871.html")</f>
        <v>https://www.lazada.vn/products/sua-meiji-so-9-dang-thanh-noi-dia-nhat-danh-cho-be-1-3-tuoi-28g-x-24-thanh-ll181-i358704871.html</v>
      </c>
      <c r="C7141" s="10" t="s">
        <v>7141</v>
      </c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>
      <c r="A7142" s="8">
        <v>11996.0</v>
      </c>
      <c r="B7142" s="9" t="str">
        <f>HYPERLINK("https://www.lazada.vn/products/nuoc-soda-trai-cay-genki-forest-sparkling-co-ga-khong-duong-khong-calo-khong-chat-beo-330lon0ml-i2714707821.html", "https://www.lazada.vn/products/nuoc-soda-trai-cay-genki-forest-sparkling-co-ga-khong-duong-khong-calo-khong-chat-beo-330lon0ml-i2714707821.html")</f>
        <v>https://www.lazada.vn/products/nuoc-soda-trai-cay-genki-forest-sparkling-co-ga-khong-duong-khong-calo-khong-chat-beo-330lon0ml-i2714707821.html</v>
      </c>
      <c r="C7142" s="10" t="s">
        <v>7142</v>
      </c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>
      <c r="A7143" s="8">
        <v>11997.0</v>
      </c>
      <c r="B7143" s="9" t="str">
        <f>HYPERLINK("https://www.lazada.vn/products/socola-vintz-kem-hop-thiec-cao-160g-malaysia-hop-thiec-cao-cap-thich-hop-dung-de-goi-gio-qua-tet-socola-nhap-khau-mot-tac-pham-nghe-thuat-i2893898417.html", "https://www.lazada.vn/products/socola-vintz-kem-hop-thiec-cao-160g-malaysia-hop-thiec-cao-cap-thich-hop-dung-de-goi-gio-qua-tet-socola-nhap-khau-mot-tac-pham-nghe-thuat-i2893898417.html")</f>
        <v>https://www.lazada.vn/products/socola-vintz-kem-hop-thiec-cao-160g-malaysia-hop-thiec-cao-cap-thich-hop-dung-de-goi-gio-qua-tet-socola-nhap-khau-mot-tac-pham-nghe-thuat-i2893898417.html</v>
      </c>
      <c r="C7143" s="10" t="s">
        <v>7143</v>
      </c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>
      <c r="A7144" s="8">
        <v>11998.0</v>
      </c>
      <c r="B7144" s="9" t="str">
        <f>HYPERLINK("https://www.lazada.vn/products/tang-1-hu-mut-30gr-nuoc-cot-man-lafresh-da-lat-650ml-i2714707106.html", "https://www.lazada.vn/products/tang-1-hu-mut-30gr-nuoc-cot-man-lafresh-da-lat-650ml-i2714707106.html")</f>
        <v>https://www.lazada.vn/products/tang-1-hu-mut-30gr-nuoc-cot-man-lafresh-da-lat-650ml-i2714707106.html</v>
      </c>
      <c r="C7144" s="10" t="s">
        <v>7144</v>
      </c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>
      <c r="A7145" s="8">
        <v>11999.0</v>
      </c>
      <c r="B7145" s="9" t="str">
        <f>HYPERLINK("https://www.lazada.vn/products/ca-phe-hoa-tan-kopiko-macchiato-3-trong-1-tui-lon-20-goi-x-24-g-cafe-kopiko-chinh-hang-thai-lan-coffee-sua-ruvask-i2665512000.html", "https://www.lazada.vn/products/ca-phe-hoa-tan-kopiko-macchiato-3-trong-1-tui-lon-20-goi-x-24-g-cafe-kopiko-chinh-hang-thai-lan-coffee-sua-ruvask-i2665512000.html")</f>
        <v>https://www.lazada.vn/products/ca-phe-hoa-tan-kopiko-macchiato-3-trong-1-tui-lon-20-goi-x-24-g-cafe-kopiko-chinh-hang-thai-lan-coffee-sua-ruvask-i2665512000.html</v>
      </c>
      <c r="C7145" s="10" t="s">
        <v>7145</v>
      </c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>
      <c r="A7146" s="8">
        <v>12000.0</v>
      </c>
      <c r="B7146" s="9" t="str">
        <f>HYPERLINK("https://www.lazada.vn/products/set-2-thanh-ca-trich-ep-trung-nissi-nhat-ban-am-thuc-sashimi-i1777396112.html", "https://www.lazada.vn/products/set-2-thanh-ca-trich-ep-trung-nissi-nhat-ban-am-thuc-sashimi-i1777396112.html")</f>
        <v>https://www.lazada.vn/products/set-2-thanh-ca-trich-ep-trung-nissi-nhat-ban-am-thuc-sashimi-i1777396112.html</v>
      </c>
      <c r="C7146" s="10" t="s">
        <v>7146</v>
      </c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>
      <c r="A7147" s="8">
        <v>12001.0</v>
      </c>
      <c r="B7147" s="9" t="str">
        <f>HYPERLINK("https://www.lazada.vn/products/lo-sup-lo-dried-freeze-chicken-breast-cat-snacks-nutritional-supplement-for-kittens-weight-gain-500g-luos-cat-treats-i3014475740.html", "https://www.lazada.vn/products/lo-sup-lo-dried-freeze-chicken-breast-cat-snacks-nutritional-supplement-for-kittens-weight-gain-500g-luos-cat-treats-i3014475740.html")</f>
        <v>https://www.lazada.vn/products/lo-sup-lo-dried-freeze-chicken-breast-cat-snacks-nutritional-supplement-for-kittens-weight-gain-500g-luos-cat-treats-i3014475740.html</v>
      </c>
      <c r="C7147" s="10" t="s">
        <v>7147</v>
      </c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>
      <c r="A7148" s="8">
        <v>12002.0</v>
      </c>
      <c r="B7148" s="9" t="str">
        <f>HYPERLINK("https://www.lazada.vn/products/ngon-kho-cuong-combo-5goi-banh-mi-tuoi-cha-bong-xot-singapore-kido-55grgoi-i2605433400.html", "https://www.lazada.vn/products/ngon-kho-cuong-combo-5goi-banh-mi-tuoi-cha-bong-xot-singapore-kido-55grgoi-i2605433400.html")</f>
        <v>https://www.lazada.vn/products/ngon-kho-cuong-combo-5goi-banh-mi-tuoi-cha-bong-xot-singapore-kido-55grgoi-i2605433400.html</v>
      </c>
      <c r="C7148" s="10" t="s">
        <v>7148</v>
      </c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>
      <c r="A7149" s="8">
        <v>12003.0</v>
      </c>
      <c r="B7149" s="9" t="str">
        <f>HYPERLINK("https://www.lazada.vn/products/sua-bap-canxi-viet-dai-600g-i1536912133.html", "https://www.lazada.vn/products/sua-bap-canxi-viet-dai-600g-i1536912133.html")</f>
        <v>https://www.lazada.vn/products/sua-bap-canxi-viet-dai-600g-i1536912133.html</v>
      </c>
      <c r="C7149" s="10" t="s">
        <v>7149</v>
      </c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>
      <c r="A7150" s="8">
        <v>12004.0</v>
      </c>
      <c r="B7150" s="9" t="str">
        <f>HYPERLINK("https://www.lazada.vn/products/hop-dung-keo-nhap-khau-nhat-loai-16-vien-i2902133016.html", "https://www.lazada.vn/products/hop-dung-keo-nhap-khau-nhat-loai-16-vien-i2902133016.html")</f>
        <v>https://www.lazada.vn/products/hop-dung-keo-nhap-khau-nhat-loai-16-vien-i2902133016.html</v>
      </c>
      <c r="C7150" s="10" t="s">
        <v>7150</v>
      </c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>
      <c r="A7151" s="8">
        <v>12005.0</v>
      </c>
      <c r="B7151" s="9" t="str">
        <f>HYPERLINK("https://www.lazada.vn/products/ruou-vang-bich-louis-martine-3l-i2529785240.html", "https://www.lazada.vn/products/ruou-vang-bich-louis-martine-3l-i2529785240.html")</f>
        <v>https://www.lazada.vn/products/ruou-vang-bich-louis-martine-3l-i2529785240.html</v>
      </c>
      <c r="C7151" s="10" t="s">
        <v>7151</v>
      </c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>
      <c r="A7152" s="8">
        <v>12006.0</v>
      </c>
      <c r="B7152" s="9" t="str">
        <f>HYPERLINK("https://www.lazada.vn/products/250gr-chuoi-say-gion-an-vat-shop-haimy-01-do-an-vat-muasamnhanh-i2908086959.html", "https://www.lazada.vn/products/250gr-chuoi-say-gion-an-vat-shop-haimy-01-do-an-vat-muasamnhanh-i2908086959.html")</f>
        <v>https://www.lazada.vn/products/250gr-chuoi-say-gion-an-vat-shop-haimy-01-do-an-vat-muasamnhanh-i2908086959.html</v>
      </c>
      <c r="C7152" s="10" t="s">
        <v>7152</v>
      </c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>
      <c r="A7153" s="8">
        <v>12007.0</v>
      </c>
      <c r="B7153" s="9" t="str">
        <f>HYPERLINK("https://www.lazada.vn/products/thach-zai-zai-tui-1kg-zai-zai-vi-tu-chon-hang-cong-ty-duc-hanh-an-vat-i2112684689.html", "https://www.lazada.vn/products/thach-zai-zai-tui-1kg-zai-zai-vi-tu-chon-hang-cong-ty-duc-hanh-an-vat-i2112684689.html")</f>
        <v>https://www.lazada.vn/products/thach-zai-zai-tui-1kg-zai-zai-vi-tu-chon-hang-cong-ty-duc-hanh-an-vat-i2112684689.html</v>
      </c>
      <c r="C7153" s="10" t="s">
        <v>7153</v>
      </c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>
      <c r="A7154" s="8">
        <v>12008.0</v>
      </c>
      <c r="B7154" s="9" t="str">
        <f>HYPERLINK("https://www.lazada.vn/products/banh-trang-ot-rim-mat-ong-banh-trang-phoi-suong-ot-rim-mat-ong-cham-tac-sieu-ngon-quyen-tay-ninh-i2342644412.html", "https://www.lazada.vn/products/banh-trang-ot-rim-mat-ong-banh-trang-phoi-suong-ot-rim-mat-ong-cham-tac-sieu-ngon-quyen-tay-ninh-i2342644412.html")</f>
        <v>https://www.lazada.vn/products/banh-trang-ot-rim-mat-ong-banh-trang-phoi-suong-ot-rim-mat-ong-cham-tac-sieu-ngon-quyen-tay-ninh-i2342644412.html</v>
      </c>
      <c r="C7154" s="10" t="s">
        <v>7154</v>
      </c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>
      <c r="A7155" s="8">
        <v>12009.0</v>
      </c>
      <c r="B7155" s="9" t="str">
        <f>HYPERLINK("https://www.lazada.vn/products/bia-thu-cong-east-weast-ipa-dong-lon-i1638359055.html", "https://www.lazada.vn/products/bia-thu-cong-east-weast-ipa-dong-lon-i1638359055.html")</f>
        <v>https://www.lazada.vn/products/bia-thu-cong-east-weast-ipa-dong-lon-i1638359055.html</v>
      </c>
      <c r="C7155" s="10" t="s">
        <v>7155</v>
      </c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>
      <c r="A7156" s="8">
        <v>12010.0</v>
      </c>
      <c r="B7156" s="9" t="str">
        <f>HYPERLINK("https://www.lazada.vn/products/tran-chau-3q-sea-jelly-trang-minh-hanh-2kg-i2473591418.html", "https://www.lazada.vn/products/tran-chau-3q-sea-jelly-trang-minh-hanh-2kg-i2473591418.html")</f>
        <v>https://www.lazada.vn/products/tran-chau-3q-sea-jelly-trang-minh-hanh-2kg-i2473591418.html</v>
      </c>
      <c r="C7156" s="10" t="s">
        <v>7156</v>
      </c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>
      <c r="A7157" s="8">
        <v>12011.0</v>
      </c>
      <c r="B7157" s="9" t="str">
        <f>HYPERLINK("https://www.lazada.vn/products/ly-le-mi-ly-omachi-bo-hamsuontom-chua-cay-ly-kokomi-tom-chanhkokomi-dai-90g-i3013203756.html", "https://www.lazada.vn/products/ly-le-mi-ly-omachi-bo-hamsuontom-chua-cay-ly-kokomi-tom-chanhkokomi-dai-90g-i3013203756.html")</f>
        <v>https://www.lazada.vn/products/ly-le-mi-ly-omachi-bo-hamsuontom-chua-cay-ly-kokomi-tom-chanhkokomi-dai-90g-i3013203756.html</v>
      </c>
      <c r="C7157" s="10" t="s">
        <v>7157</v>
      </c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>
      <c r="A7158" s="8">
        <v>12012.0</v>
      </c>
      <c r="B7158" s="9" t="str">
        <f>HYPERLINK("https://www.lazada.vn/products/bot-cam-hoa-tan-bo-sung-chat-xo-metamucil-4-in-1-fiber-eds-mart-i2654386757.html", "https://www.lazada.vn/products/bot-cam-hoa-tan-bo-sung-chat-xo-metamucil-4-in-1-fiber-eds-mart-i2654386757.html")</f>
        <v>https://www.lazada.vn/products/bot-cam-hoa-tan-bo-sung-chat-xo-metamucil-4-in-1-fiber-eds-mart-i2654386757.html</v>
      </c>
      <c r="C7158" s="10" t="s">
        <v>7158</v>
      </c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>
      <c r="A7159" s="8">
        <v>12013.0</v>
      </c>
      <c r="B7159" s="9" t="str">
        <f>HYPERLINK("https://www.lazada.vn/products/nuoc-ngot-soda-khong-duong-genki-forest-330ml-thung-24-lon-vai-ly-trinh-15-i2252827936.html", "https://www.lazada.vn/products/nuoc-ngot-soda-khong-duong-genki-forest-330ml-thung-24-lon-vai-ly-trinh-15-i2252827936.html")</f>
        <v>https://www.lazada.vn/products/nuoc-ngot-soda-khong-duong-genki-forest-330ml-thung-24-lon-vai-ly-trinh-15-i2252827936.html</v>
      </c>
      <c r="C7159" s="10" t="s">
        <v>7159</v>
      </c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>
      <c r="A7160" s="8">
        <v>12014.0</v>
      </c>
      <c r="B7160" s="9" t="str">
        <f>HYPERLINK("https://www.lazada.vn/products/nuoc-tang-luc-k5-sam-ngoc-linh-loc-6-lon-vi-mat-ong-250mllon-i2226997260.html", "https://www.lazada.vn/products/nuoc-tang-luc-k5-sam-ngoc-linh-loc-6-lon-vi-mat-ong-250mllon-i2226997260.html")</f>
        <v>https://www.lazada.vn/products/nuoc-tang-luc-k5-sam-ngoc-linh-loc-6-lon-vi-mat-ong-250mllon-i2226997260.html</v>
      </c>
      <c r="C7160" s="10" t="s">
        <v>7160</v>
      </c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>
      <c r="A7161" s="8">
        <v>12015.0</v>
      </c>
      <c r="B7161" s="9" t="str">
        <f>HYPERLINK("https://www.lazada.vn/products/sieu-ngon-100g-banh-banh-quy-oreo-franzzi-layer-vi-matcha-sua-chua-dau-tay-an-gion-ngon-cuc-ghien-i2860079059.html", "https://www.lazada.vn/products/sieu-ngon-100g-banh-banh-quy-oreo-franzzi-layer-vi-matcha-sua-chua-dau-tay-an-gion-ngon-cuc-ghien-i2860079059.html")</f>
        <v>https://www.lazada.vn/products/sieu-ngon-100g-banh-banh-quy-oreo-franzzi-layer-vi-matcha-sua-chua-dau-tay-an-gion-ngon-cuc-ghien-i2860079059.html</v>
      </c>
      <c r="C7161" s="10" t="s">
        <v>7161</v>
      </c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>
      <c r="A7162" s="8">
        <v>12016.0</v>
      </c>
      <c r="B7162" s="9" t="str">
        <f>HYPERLINK("https://www.lazada.vn/products/chinh-hang-combo-say-tai-nha-ruou-danzka-vodka-dan-mach-750ml-40-i2610600889.html", "https://www.lazada.vn/products/chinh-hang-combo-say-tai-nha-ruou-danzka-vodka-dan-mach-750ml-40-i2610600889.html")</f>
        <v>https://www.lazada.vn/products/chinh-hang-combo-say-tai-nha-ruou-danzka-vodka-dan-mach-750ml-40-i2610600889.html</v>
      </c>
      <c r="C7162" s="10" t="s">
        <v>7162</v>
      </c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>
      <c r="A7163" s="8">
        <v>12017.0</v>
      </c>
      <c r="B7163" s="9" t="str">
        <f>HYPERLINK("https://www.lazada.vn/products/400-g-bim-bim-ca-gion-gion-cay-cay-quay-ca-thom-ngon-do-an-vat-tuoi-tho-do-an-vat-cong-truong-sieu-hot-i2676897204.html", "https://www.lazada.vn/products/400-g-bim-bim-ca-gion-gion-cay-cay-quay-ca-thom-ngon-do-an-vat-tuoi-tho-do-an-vat-cong-truong-sieu-hot-i2676897204.html")</f>
        <v>https://www.lazada.vn/products/400-g-bim-bim-ca-gion-gion-cay-cay-quay-ca-thom-ngon-do-an-vat-tuoi-tho-do-an-vat-cong-truong-sieu-hot-i2676897204.html</v>
      </c>
      <c r="C7163" s="10" t="s">
        <v>7163</v>
      </c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>
      <c r="A7164" s="8">
        <v>12018.0</v>
      </c>
      <c r="B7164" s="9" t="str">
        <f>HYPERLINK("https://www.lazada.vn/products/socola-romanze-hop-thiec-tron-105g-malaysia-hop-thiec-cao-cap-kieu-dang-hien-dai-thich-hop-dung-de-goi-gio-qua-tet-socola-nhap-khau-huong-vi-dam-da-i2893853550.html", "https://www.lazada.vn/products/socola-romanze-hop-thiec-tron-105g-malaysia-hop-thiec-cao-cap-kieu-dang-hien-dai-thich-hop-dung-de-goi-gio-qua-tet-socola-nhap-khau-huong-vi-dam-da-i2893853550.html")</f>
        <v>https://www.lazada.vn/products/socola-romanze-hop-thiec-tron-105g-malaysia-hop-thiec-cao-cap-kieu-dang-hien-dai-thich-hop-dung-de-goi-gio-qua-tet-socola-nhap-khau-huong-vi-dam-da-i2893853550.html</v>
      </c>
      <c r="C7164" s="10" t="s">
        <v>7164</v>
      </c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>
      <c r="A7165" s="8">
        <v>12019.0</v>
      </c>
      <c r="B7165" s="9" t="str">
        <f>HYPERLINK("https://www.lazada.vn/products/1000-ml-nuoc-cot-chanh-day-duong-phen-tiem-pho-nui-i2714544852.html", "https://www.lazada.vn/products/1000-ml-nuoc-cot-chanh-day-duong-phen-tiem-pho-nui-i2714544852.html")</f>
        <v>https://www.lazada.vn/products/1000-ml-nuoc-cot-chanh-day-duong-phen-tiem-pho-nui-i2714544852.html</v>
      </c>
      <c r="C7165" s="10" t="s">
        <v>7165</v>
      </c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>
      <c r="A7166" s="8">
        <v>12020.0</v>
      </c>
      <c r="B7166" s="9" t="str">
        <f>HYPERLINK("https://www.lazada.vn/products/gia-dung-thu-combo-3-ca-phe-healthy-duong-0-calo-sua-gay-tach-beo-tinh-chat-ca-phe-xanh-ca-phe-say-lanh-i2664478525.html", "https://www.lazada.vn/products/gia-dung-thu-combo-3-ca-phe-healthy-duong-0-calo-sua-gay-tach-beo-tinh-chat-ca-phe-xanh-ca-phe-say-lanh-i2664478525.html")</f>
        <v>https://www.lazada.vn/products/gia-dung-thu-combo-3-ca-phe-healthy-duong-0-calo-sua-gay-tach-beo-tinh-chat-ca-phe-xanh-ca-phe-say-lanh-i2664478525.html</v>
      </c>
      <c r="C7166" s="10" t="s">
        <v>7166</v>
      </c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>
      <c r="A7167" s="8">
        <v>12021.0</v>
      </c>
      <c r="B7167" s="9" t="str">
        <f>HYPERLINK("https://www.lazada.vn/products/banh-mi-tuoi-kido-date-moi-moi-ngay-i2605431427.html", "https://www.lazada.vn/products/banh-mi-tuoi-kido-date-moi-moi-ngay-i2605431427.html")</f>
        <v>https://www.lazada.vn/products/banh-mi-tuoi-kido-date-moi-moi-ngay-i2605431427.html</v>
      </c>
      <c r="C7167" s="10" t="s">
        <v>7167</v>
      </c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>
      <c r="A7168" s="8">
        <v>12022.0</v>
      </c>
      <c r="B7168" s="9" t="str">
        <f>HYPERLINK("https://www.lazada.vn/products/combo-6-hop-ca-moi-sot-ca-155gr-lon-cao-ca-hop-xuat-khau-ktc-food-i1777328465.html", "https://www.lazada.vn/products/combo-6-hop-ca-moi-sot-ca-155gr-lon-cao-ca-hop-xuat-khau-ktc-food-i1777328465.html")</f>
        <v>https://www.lazada.vn/products/combo-6-hop-ca-moi-sot-ca-155gr-lon-cao-ca-hop-xuat-khau-ktc-food-i1777328465.html</v>
      </c>
      <c r="C7168" s="10" t="s">
        <v>7168</v>
      </c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>
      <c r="A7169" s="8">
        <v>12023.0</v>
      </c>
      <c r="B7169" s="9" t="str">
        <f>HYPERLINK("https://www.lazada.vn/products/hoa-toc-hn-muc-ong-phu-quoc-nguyen-con-khay-500g-hai-san-cao-cap-naturfood-i3014154927.html", "https://www.lazada.vn/products/hoa-toc-hn-muc-ong-phu-quoc-nguyen-con-khay-500g-hai-san-cao-cap-naturfood-i3014154927.html")</f>
        <v>https://www.lazada.vn/products/hoa-toc-hn-muc-ong-phu-quoc-nguyen-con-khay-500g-hai-san-cao-cap-naturfood-i3014154927.html</v>
      </c>
      <c r="C7169" s="10" t="s">
        <v>7169</v>
      </c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>
      <c r="A7170" s="8">
        <v>12024.0</v>
      </c>
      <c r="B7170" s="9" t="str">
        <f>HYPERLINK("https://www.lazada.vn/products/thanh-hoa-sua-dac-co-duong-ong-tho-nhan-do-hop-40g-i1776838277.html", "https://www.lazada.vn/products/thanh-hoa-sua-dac-co-duong-ong-tho-nhan-do-hop-40g-i1776838277.html")</f>
        <v>https://www.lazada.vn/products/thanh-hoa-sua-dac-co-duong-ong-tho-nhan-do-hop-40g-i1776838277.html</v>
      </c>
      <c r="C7170" s="10" t="s">
        <v>7170</v>
      </c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>
      <c r="A7171" s="8">
        <v>12025.0</v>
      </c>
      <c r="B7171" s="9" t="str">
        <f>HYPERLINK("https://www.lazada.vn/products/date-0626-bot-sua-cacao-nesquik-nestle-my-1275kg-nesquik-my-i1526645616.html", "https://www.lazada.vn/products/date-0626-bot-sua-cacao-nesquik-nestle-my-1275kg-nesquik-my-i1526645616.html")</f>
        <v>https://www.lazada.vn/products/date-0626-bot-sua-cacao-nesquik-nestle-my-1275kg-nesquik-my-i1526645616.html</v>
      </c>
      <c r="C7171" s="10" t="s">
        <v>7171</v>
      </c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>
      <c r="A7172" s="8">
        <v>12026.0</v>
      </c>
      <c r="B7172" s="9" t="str">
        <f>HYPERLINK("https://www.lazada.vn/products/tang-them-200g-tui-500g-keo-ngam-vi-trai-cay-hinh-den-long-sieu-xinhit-ngotthom-mui-trai-cay-i2893958511.html", "https://www.lazada.vn/products/tang-them-200g-tui-500g-keo-ngam-vi-trai-cay-hinh-den-long-sieu-xinhit-ngotthom-mui-trai-cay-i2893958511.html")</f>
        <v>https://www.lazada.vn/products/tang-them-200g-tui-500g-keo-ngam-vi-trai-cay-hinh-den-long-sieu-xinhit-ngotthom-mui-trai-cay-i2893958511.html</v>
      </c>
      <c r="C7172" s="10" t="s">
        <v>7172</v>
      </c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>
      <c r="A7173" s="8">
        <v>12027.0</v>
      </c>
      <c r="B7173" s="9" t="str">
        <f>HYPERLINK("https://www.lazada.vn/products/ruou-vang-bich-santa-loreto-cabernet-sauvignon-3l-i2529741336.html", "https://www.lazada.vn/products/ruou-vang-bich-santa-loreto-cabernet-sauvignon-3l-i2529741336.html")</f>
        <v>https://www.lazada.vn/products/ruou-vang-bich-santa-loreto-cabernet-sauvignon-3l-i2529741336.html</v>
      </c>
      <c r="C7173" s="10" t="s">
        <v>7173</v>
      </c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>
      <c r="A7174" s="8">
        <v>12028.0</v>
      </c>
      <c r="B7174" s="9" t="str">
        <f>HYPERLINK("https://www.lazada.vn/products/ruou-vang-do-santa-loreto-reserva-cabernet-sauvignon-i2529737382.html", "https://www.lazada.vn/products/ruou-vang-do-santa-loreto-reserva-cabernet-sauvignon-i2529737382.html")</f>
        <v>https://www.lazada.vn/products/ruou-vang-do-santa-loreto-reserva-cabernet-sauvignon-i2529737382.html</v>
      </c>
      <c r="C7174" s="10" t="s">
        <v>7174</v>
      </c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>
      <c r="A7175" s="8">
        <v>12029.0</v>
      </c>
      <c r="B7175" s="9" t="str">
        <f>HYPERLINK("https://www.lazada.vn/products/mix-10-vi-mut-rong-sun-an-kieng-an-vat-it-ngot-tot-suc-khoe-phu-hop-tre-nho-giam-can-an-kieng-kl-tuy-chon-i2112683737.html", "https://www.lazada.vn/products/mix-10-vi-mut-rong-sun-an-kieng-an-vat-it-ngot-tot-suc-khoe-phu-hop-tre-nho-giam-can-an-kieng-kl-tuy-chon-i2112683737.html")</f>
        <v>https://www.lazada.vn/products/mix-10-vi-mut-rong-sun-an-kieng-an-vat-it-ngot-tot-suc-khoe-phu-hop-tre-nho-giam-can-an-kieng-kl-tuy-chon-i2112683737.html</v>
      </c>
      <c r="C7175" s="10" t="s">
        <v>7175</v>
      </c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>
      <c r="A7176" s="8">
        <v>12030.0</v>
      </c>
      <c r="B7176" s="9" t="str">
        <f>HYPERLINK("https://www.lazada.vn/products/xoai-say-deo-muoi-ot-250gr-hang-dac-biet-deo-thom-sieu-ngon-do-an-vat-i2908076578.html", "https://www.lazada.vn/products/xoai-say-deo-muoi-ot-250gr-hang-dac-biet-deo-thom-sieu-ngon-do-an-vat-i2908076578.html")</f>
        <v>https://www.lazada.vn/products/xoai-say-deo-muoi-ot-250gr-hang-dac-biet-deo-thom-sieu-ngon-do-an-vat-i2908076578.html</v>
      </c>
      <c r="C7176" s="10" t="s">
        <v>7176</v>
      </c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>
      <c r="A7177" s="8">
        <v>12031.0</v>
      </c>
      <c r="B7177" s="9" t="str">
        <f>HYPERLINK("https://www.lazada.vn/products/thach-dua-hat-nho-ana-bich-1kg-ty-le-cai-chiem-hon-70-i2109533023.html", "https://www.lazada.vn/products/thach-dua-hat-nho-ana-bich-1kg-ty-le-cai-chiem-hon-70-i2109533023.html")</f>
        <v>https://www.lazada.vn/products/thach-dua-hat-nho-ana-bich-1kg-ty-le-cai-chiem-hon-70-i2109533023.html</v>
      </c>
      <c r="C7177" s="10" t="s">
        <v>7177</v>
      </c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>
      <c r="A7178" s="8">
        <v>12032.0</v>
      </c>
      <c r="B7178" s="9" t="str">
        <f>HYPERLINK("https://www.lazada.vn/products/khuyen-mai-xoai-say-deo-muoi-ot-250gr-hang-dac-biet-deo-thom-an-vat-i2908058979.html", "https://www.lazada.vn/products/khuyen-mai-xoai-say-deo-muoi-ot-250gr-hang-dac-biet-deo-thom-an-vat-i2908058979.html")</f>
        <v>https://www.lazada.vn/products/khuyen-mai-xoai-say-deo-muoi-ot-250gr-hang-dac-biet-deo-thom-an-vat-i2908058979.html</v>
      </c>
      <c r="C7178" s="10" t="s">
        <v>7178</v>
      </c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>
      <c r="A7179" s="8">
        <v>12033.0</v>
      </c>
      <c r="B7179" s="9" t="str">
        <f>HYPERLINK("https://www.lazada.vn/products/banh-trang-phoi-suong-deo-tron-top-mo-sot-bo-hanh-phi-muoi-nhuyen-quyen-tay-ninh-i2342638464.html", "https://www.lazada.vn/products/banh-trang-phoi-suong-deo-tron-top-mo-sot-bo-hanh-phi-muoi-nhuyen-quyen-tay-ninh-i2342638464.html")</f>
        <v>https://www.lazada.vn/products/banh-trang-phoi-suong-deo-tron-top-mo-sot-bo-hanh-phi-muoi-nhuyen-quyen-tay-ninh-i2342638464.html</v>
      </c>
      <c r="C7179" s="10" t="s">
        <v>7179</v>
      </c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>
      <c r="A7180" s="8">
        <v>12034.0</v>
      </c>
      <c r="B7180" s="9" t="str">
        <f>HYPERLINK("https://www.lazada.vn/products/bia-thu-cong-east-west-summer-i1638346189.html", "https://www.lazada.vn/products/bia-thu-cong-east-west-summer-i1638346189.html")</f>
        <v>https://www.lazada.vn/products/bia-thu-cong-east-west-summer-i1638346189.html</v>
      </c>
      <c r="C7180" s="10" t="s">
        <v>7180</v>
      </c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>
      <c r="A7181" s="8">
        <v>12035.0</v>
      </c>
      <c r="B7181" s="9" t="str">
        <f>HYPERLINK("https://www.lazada.vn/products/sirosyrup-monin-caramel-700ml-i2473589643.html", "https://www.lazada.vn/products/sirosyrup-monin-caramel-700ml-i2473589643.html")</f>
        <v>https://www.lazada.vn/products/sirosyrup-monin-caramel-700ml-i2473589643.html</v>
      </c>
      <c r="C7181" s="10" t="s">
        <v>7181</v>
      </c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>
      <c r="A7182" s="8">
        <v>12036.0</v>
      </c>
      <c r="B7182" s="9" t="str">
        <f>HYPERLINK("https://www.lazada.vn/products/to-le-mi-to-tron-omachi-thit-xien-nuong-xot-tom-pho-mai-trung-muoi-spaghetti-i3013187192.html", "https://www.lazada.vn/products/to-le-mi-to-tron-omachi-thit-xien-nuong-xot-tom-pho-mai-trung-muoi-spaghetti-i3013187192.html")</f>
        <v>https://www.lazada.vn/products/to-le-mi-to-tron-omachi-thit-xien-nuong-xot-tom-pho-mai-trung-muoi-spaghetti-i3013187192.html</v>
      </c>
      <c r="C7182" s="10" t="s">
        <v>7182</v>
      </c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>
      <c r="A7183" s="8">
        <v>12037.0</v>
      </c>
      <c r="B7183" s="9" t="str">
        <f>HYPERLINK("https://www.lazada.vn/products/nuoc-tang-luc-k5-sam-ngoc-linh-thung-24-lon-vi-nguyen-ban-240mllon-i2226967095.html", "https://www.lazada.vn/products/nuoc-tang-luc-k5-sam-ngoc-linh-thung-24-lon-vi-nguyen-ban-240mllon-i2226967095.html")</f>
        <v>https://www.lazada.vn/products/nuoc-tang-luc-k5-sam-ngoc-linh-thung-24-lon-vi-nguyen-ban-240mllon-i2226967095.html</v>
      </c>
      <c r="C7183" s="10" t="s">
        <v>7183</v>
      </c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>
      <c r="A7184" s="8">
        <v>12038.0</v>
      </c>
      <c r="B7184" s="9" t="str">
        <f>HYPERLINK("https://www.lazada.vn/products/thung-24-lon-nuoc-uong-co-gaz-7up-soda-chanh-khong-calo-320mllon-i2245971130.html", "https://www.lazada.vn/products/thung-24-lon-nuoc-uong-co-gaz-7up-soda-chanh-khong-calo-320mllon-i2245971130.html")</f>
        <v>https://www.lazada.vn/products/thung-24-lon-nuoc-uong-co-gaz-7up-soda-chanh-khong-calo-320mllon-i2245971130.html</v>
      </c>
      <c r="C7184" s="10" t="s">
        <v>7184</v>
      </c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>
      <c r="A7185" s="8">
        <v>12039.0</v>
      </c>
      <c r="B7185" s="9" t="str">
        <f>HYPERLINK("https://www.lazada.vn/products/banh-quy-phap-4-vi-cao-cap-la-mere-poulard-french-butter-cookies-4-flavors-i2860056097.html", "https://www.lazada.vn/products/banh-quy-phap-4-vi-cao-cap-la-mere-poulard-french-butter-cookies-4-flavors-i2860056097.html")</f>
        <v>https://www.lazada.vn/products/banh-quy-phap-4-vi-cao-cap-la-mere-poulard-french-butter-cookies-4-flavors-i2860056097.html</v>
      </c>
      <c r="C7185" s="10" t="s">
        <v>7185</v>
      </c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>
      <c r="A7186" s="8">
        <v>12040.0</v>
      </c>
      <c r="B7186" s="9" t="str">
        <f>HYPERLINK("https://www.lazada.vn/products/combo-10-goi-banh-snack-oishi-du-vi-3x-gam-banh-keo-gia-re-bimbim-gia-tot-nhat-chu-y-so-luong-toi-da-40-goidon-i2676681309.html", "https://www.lazada.vn/products/combo-10-goi-banh-snack-oishi-du-vi-3x-gam-banh-keo-gia-re-bimbim-gia-tot-nhat-chu-y-so-luong-toi-da-40-goidon-i2676681309.html")</f>
        <v>https://www.lazada.vn/products/combo-10-goi-banh-snack-oishi-du-vi-3x-gam-banh-keo-gia-re-bimbim-gia-tot-nhat-chu-y-so-luong-toi-da-40-goidon-i2676681309.html</v>
      </c>
      <c r="C7186" s="10" t="s">
        <v>7186</v>
      </c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>
      <c r="A7187" s="8">
        <v>12041.0</v>
      </c>
      <c r="B7187" s="9" t="str">
        <f>HYPERLINK("https://www.lazada.vn/products/vodka-sa-hoang-vang-20-nam-chai-700-ml-i2595741672.html", "https://www.lazada.vn/products/vodka-sa-hoang-vang-20-nam-chai-700-ml-i2595741672.html")</f>
        <v>https://www.lazada.vn/products/vodka-sa-hoang-vang-20-nam-chai-700-ml-i2595741672.html</v>
      </c>
      <c r="C7187" s="10" t="s">
        <v>7187</v>
      </c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>
      <c r="A7188" s="8">
        <v>12042.0</v>
      </c>
      <c r="B7188" s="9" t="str">
        <f>HYPERLINK("https://www.lazada.vn/products/hang-my-socola-kiss-du-loai-283g-goi-nho-i2893162635.html", "https://www.lazada.vn/products/hang-my-socola-kiss-du-loai-283g-goi-nho-i2893162635.html")</f>
        <v>https://www.lazada.vn/products/hang-my-socola-kiss-du-loai-283g-goi-nho-i2893162635.html</v>
      </c>
      <c r="C7188" s="10" t="s">
        <v>7188</v>
      </c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>
      <c r="A7189" s="8">
        <v>12043.0</v>
      </c>
      <c r="B7189" s="9" t="str">
        <f>HYPERLINK("https://www.lazada.vn/products/loc-6-chai-nuoc-man-muoi-ngon-lanh-yen-viet-350mlchai-i2712328267.html", "https://www.lazada.vn/products/loc-6-chai-nuoc-man-muoi-ngon-lanh-yen-viet-350mlchai-i2712328267.html")</f>
        <v>https://www.lazada.vn/products/loc-6-chai-nuoc-man-muoi-ngon-lanh-yen-viet-350mlchai-i2712328267.html</v>
      </c>
      <c r="C7189" s="10" t="s">
        <v>7189</v>
      </c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>
      <c r="A7190" s="8">
        <v>12044.0</v>
      </c>
      <c r="B7190" s="9" t="str">
        <f>HYPERLINK("https://www.lazada.vn/products/thanh-hoa-sua-dac-co-duong-ong-tho-xanh-la-lon-380g-i1776777670.html", "https://www.lazada.vn/products/thanh-hoa-sua-dac-co-duong-ong-tho-xanh-la-lon-380g-i1776777670.html")</f>
        <v>https://www.lazada.vn/products/thanh-hoa-sua-dac-co-duong-ong-tho-xanh-la-lon-380g-i1776777670.html</v>
      </c>
      <c r="C7190" s="10" t="s">
        <v>7190</v>
      </c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>
      <c r="A7191" s="8">
        <v>12045.0</v>
      </c>
      <c r="B7191" s="9" t="str">
        <f>HYPERLINK("https://www.lazada.vn/products/bot-cacao-nguyen-chat-daklak-hop-500g-thom-ngon-i1522116010.html", "https://www.lazada.vn/products/bot-cacao-nguyen-chat-daklak-hop-500g-thom-ngon-i1522116010.html")</f>
        <v>https://www.lazada.vn/products/bot-cacao-nguyen-chat-daklak-hop-500g-thom-ngon-i1522116010.html</v>
      </c>
      <c r="C7191" s="10" t="s">
        <v>7191</v>
      </c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>
      <c r="A7192" s="8">
        <v>12046.0</v>
      </c>
      <c r="B7192" s="9" t="str">
        <f>HYPERLINK("https://www.lazada.vn/products/pho-den-da-day-10-goi-i2662095120.html", "https://www.lazada.vn/products/pho-den-da-day-10-goi-i2662095120.html")</f>
        <v>https://www.lazada.vn/products/pho-den-da-day-10-goi-i2662095120.html</v>
      </c>
      <c r="C7192" s="10" t="s">
        <v>7192</v>
      </c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>
      <c r="A7193" s="8">
        <v>12047.0</v>
      </c>
      <c r="B7193" s="9" t="str">
        <f>HYPERLINK("https://www.lazada.vn/products/cha-bong-ga-tnp-hu-100g-i3013862529.html", "https://www.lazada.vn/products/cha-bong-ga-tnp-hu-100g-i3013862529.html")</f>
        <v>https://www.lazada.vn/products/cha-bong-ga-tnp-hu-100g-i3013862529.html</v>
      </c>
      <c r="C7193" s="10" t="s">
        <v>7193</v>
      </c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>
      <c r="A7194" s="8">
        <v>12048.0</v>
      </c>
      <c r="B7194" s="9" t="str">
        <f>HYPERLINK("https://www.lazada.vn/products/combo-5-cai-banh-mi-tuoi-kidos-vi-pho-mai-castella-date-moi-moi-ngay-i2605340795.html", "https://www.lazada.vn/products/combo-5-cai-banh-mi-tuoi-kidos-vi-pho-mai-castella-date-moi-moi-ngay-i2605340795.html")</f>
        <v>https://www.lazada.vn/products/combo-5-cai-banh-mi-tuoi-kidos-vi-pho-mai-castella-date-moi-moi-ngay-i2605340795.html</v>
      </c>
      <c r="C7194" s="10" t="s">
        <v>7194</v>
      </c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>
      <c r="A7195" s="8">
        <v>12049.0</v>
      </c>
      <c r="B7195" s="9" t="str">
        <f>HYPERLINK("https://www.lazada.vn/products/cb-6-ly-mi-omachi-tomyum-hai-san-71gr-c-i3054178124.html", "https://www.lazada.vn/products/cb-6-ly-mi-omachi-tomyum-hai-san-71gr-c-i3054178124.html")</f>
        <v>https://www.lazada.vn/products/cb-6-ly-mi-omachi-tomyum-hai-san-71gr-c-i3054178124.html</v>
      </c>
      <c r="C7195" s="10" t="s">
        <v>7195</v>
      </c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>
      <c r="A7196" s="8">
        <v>12050.0</v>
      </c>
      <c r="B7196" s="9" t="str">
        <f>HYPERLINK("https://www.lazada.vn/products/keo-dua-sap-cafe-muoi-lets-nuts-dac-san-tra-vinh-keo-ngon-va-cuc-ky-chat-luong-i2867050258.html", "https://www.lazada.vn/products/keo-dua-sap-cafe-muoi-lets-nuts-dac-san-tra-vinh-keo-ngon-va-cuc-ky-chat-luong-i2867050258.html")</f>
        <v>https://www.lazada.vn/products/keo-dua-sap-cafe-muoi-lets-nuts-dac-san-tra-vinh-keo-ngon-va-cuc-ky-chat-luong-i2867050258.html</v>
      </c>
      <c r="C7196" s="10" t="s">
        <v>7196</v>
      </c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>
      <c r="A7197" s="8">
        <v>12051.0</v>
      </c>
      <c r="B7197" s="9" t="str">
        <f>HYPERLINK("https://www.lazada.vn/products/thach-dua-soi-lotus-food-bich-15kg-i2109330644.html", "https://www.lazada.vn/products/thach-dua-soi-lotus-food-bich-15kg-i2109330644.html")</f>
        <v>https://www.lazada.vn/products/thach-dua-soi-lotus-food-bich-15kg-i2109330644.html</v>
      </c>
      <c r="C7197" s="10" t="s">
        <v>7197</v>
      </c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>
      <c r="A7198" s="8">
        <v>12052.0</v>
      </c>
      <c r="B7198" s="9" t="str">
        <f>HYPERLINK("https://www.lazada.vn/products/ruou-vang-do-santa-loreto-gran-reserva-cabernet-sauvignon-i2529731425.html", "https://www.lazada.vn/products/ruou-vang-do-santa-loreto-gran-reserva-cabernet-sauvignon-i2529731425.html")</f>
        <v>https://www.lazada.vn/products/ruou-vang-do-santa-loreto-gran-reserva-cabernet-sauvignon-i2529731425.html</v>
      </c>
      <c r="C7198" s="10" t="s">
        <v>7198</v>
      </c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>
      <c r="A7199" s="8">
        <v>12053.0</v>
      </c>
      <c r="B7199" s="9" t="str">
        <f>HYPERLINK("https://www.lazada.vn/products/300g-r-xoai-say-deo-nha-trang-sieu-ngon-do-an-vat-i2908028636.html", "https://www.lazada.vn/products/300g-r-xoai-say-deo-nha-trang-sieu-ngon-do-an-vat-i2908028636.html")</f>
        <v>https://www.lazada.vn/products/300g-r-xoai-say-deo-nha-trang-sieu-ngon-do-an-vat-i2908028636.html</v>
      </c>
      <c r="C7199" s="10" t="s">
        <v>7199</v>
      </c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>
      <c r="A7200" s="8">
        <v>12054.0</v>
      </c>
      <c r="B7200" s="9" t="str">
        <f>HYPERLINK("https://www.lazada.vn/products/banh-trang-phoi-suong-deo-sate-tom-toi-banh-trang-sieu-ca-deo-i2342626262.html", "https://www.lazada.vn/products/banh-trang-phoi-suong-deo-sate-tom-toi-banh-trang-sieu-ca-deo-i2342626262.html")</f>
        <v>https://www.lazada.vn/products/banh-trang-phoi-suong-deo-sate-tom-toi-banh-trang-sieu-ca-deo-i2342626262.html</v>
      </c>
      <c r="C7200" s="10" t="s">
        <v>7200</v>
      </c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>
      <c r="A7201" s="8">
        <v>12055.0</v>
      </c>
      <c r="B7201" s="9" t="str">
        <f>HYPERLINK("https://www.lazada.vn/products/bia-thu-cong-east-west-pale-ale-dong-lon-i1638261516.html", "https://www.lazada.vn/products/bia-thu-cong-east-west-pale-ale-dong-lon-i1638261516.html")</f>
        <v>https://www.lazada.vn/products/bia-thu-cong-east-west-pale-ale-dong-lon-i1638261516.html</v>
      </c>
      <c r="C7201" s="10" t="s">
        <v>7201</v>
      </c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>
      <c r="A7202" s="8">
        <v>12056.0</v>
      </c>
      <c r="B7202" s="9" t="str">
        <f>HYPERLINK("https://www.lazada.vn/products/bot-kem-coffee-matte-creamer-goi-454g-i2654266607.html", "https://www.lazada.vn/products/bot-kem-coffee-matte-creamer-goi-454g-i2654266607.html")</f>
        <v>https://www.lazada.vn/products/bot-kem-coffee-matte-creamer-goi-454g-i2654266607.html</v>
      </c>
      <c r="C7202" s="10" t="s">
        <v>7202</v>
      </c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>
      <c r="A7203" s="8">
        <v>12057.0</v>
      </c>
      <c r="B7203" s="9" t="str">
        <f>HYPERLINK("https://www.lazada.vn/products/tran-chau-3q-olong-kobe-tui-2kgtran-chau-oolong-i2473583267.html", "https://www.lazada.vn/products/tran-chau-3q-olong-kobe-tui-2kgtran-chau-oolong-i2473583267.html")</f>
        <v>https://www.lazada.vn/products/tran-chau-3q-olong-kobe-tui-2kgtran-chau-oolong-i2473583267.html</v>
      </c>
      <c r="C7203" s="10" t="s">
        <v>7203</v>
      </c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>
      <c r="A7204" s="8">
        <v>12058.0</v>
      </c>
      <c r="B7204" s="9" t="str">
        <f>HYPERLINK("https://www.lazada.vn/products/combo-6-ly-mi-ly-carbonarami-ly-samyang-carbonara-mi-ly-samyang-carbonara-sot-kem-mi-tron-ly-mi-ly-samyang-i3011372713.html", "https://www.lazada.vn/products/combo-6-ly-mi-ly-carbonarami-ly-samyang-carbonara-mi-ly-samyang-carbonara-sot-kem-mi-tron-ly-mi-ly-samyang-i3011372713.html")</f>
        <v>https://www.lazada.vn/products/combo-6-ly-mi-ly-carbonarami-ly-samyang-carbonara-mi-ly-samyang-carbonara-sot-kem-mi-tron-ly-mi-ly-samyang-i3011372713.html</v>
      </c>
      <c r="C7204" s="10" t="s">
        <v>7204</v>
      </c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>
      <c r="A7205" s="8">
        <v>12059.0</v>
      </c>
      <c r="B7205" s="9" t="str">
        <f>HYPERLINK("https://www.lazada.vn/products/cb-15-goi-mi-kokomi-dai-suon-cay-hanh-phi-90gr-67015-i3054176677.html", "https://www.lazada.vn/products/cb-15-goi-mi-kokomi-dai-suon-cay-hanh-phi-90gr-67015-i3054176677.html")</f>
        <v>https://www.lazada.vn/products/cb-15-goi-mi-kokomi-dai-suon-cay-hanh-phi-90gr-67015-i3054176677.html</v>
      </c>
      <c r="C7205" s="10" t="s">
        <v>7205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>
      <c r="A7206" s="8">
        <v>12060.0</v>
      </c>
      <c r="B7206" s="9" t="str">
        <f>HYPERLINK("https://www.lazada.vn/products/nuoc-ion-kiem-fujiwa-cong-nghe-nhat-ban-chai-450mlthung-24-chai-i2223356617.html", "https://www.lazada.vn/products/nuoc-ion-kiem-fujiwa-cong-nghe-nhat-ban-chai-450mlthung-24-chai-i2223356617.html")</f>
        <v>https://www.lazada.vn/products/nuoc-ion-kiem-fujiwa-cong-nghe-nhat-ban-chai-450mlthung-24-chai-i2223356617.html</v>
      </c>
      <c r="C7206" s="10" t="s">
        <v>7206</v>
      </c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>
      <c r="A7207" s="8">
        <v>12061.0</v>
      </c>
      <c r="B7207" s="9" t="str">
        <f>HYPERLINK("https://www.lazada.vn/products/nuoc-ngot-coca-cola-nhat-500ml-thung-24-lon-ly-trinh-15-i2238441424.html", "https://www.lazada.vn/products/nuoc-ngot-coca-cola-nhat-500ml-thung-24-lon-ly-trinh-15-i2238441424.html")</f>
        <v>https://www.lazada.vn/products/nuoc-ngot-coca-cola-nhat-500ml-thung-24-lon-ly-trinh-15-i2238441424.html</v>
      </c>
      <c r="C7207" s="10" t="s">
        <v>7207</v>
      </c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>
      <c r="A7208" s="8">
        <v>12062.0</v>
      </c>
      <c r="B7208" s="9" t="str">
        <f>HYPERLINK("https://www.lazada.vn/products/100gr-snack-vo-so-hanh-i2676535160.html", "https://www.lazada.vn/products/100gr-snack-vo-so-hanh-i2676535160.html")</f>
        <v>https://www.lazada.vn/products/100gr-snack-vo-so-hanh-i2676535160.html</v>
      </c>
      <c r="C7208" s="10" t="s">
        <v>7208</v>
      </c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>
      <c r="A7209" s="8">
        <v>12063.0</v>
      </c>
      <c r="B7209" s="9" t="str">
        <f>HYPERLINK("https://www.lazada.vn/products/sieu-ngon-combo-300g-banh-banh-quy-oreo-franzzi-layer-vi-matcha-sua-chua-dau-tay-an-gion-ngon-cuc-ghien-i2859808931.html", "https://www.lazada.vn/products/sieu-ngon-combo-300g-banh-banh-quy-oreo-franzzi-layer-vi-matcha-sua-chua-dau-tay-an-gion-ngon-cuc-ghien-i2859808931.html")</f>
        <v>https://www.lazada.vn/products/sieu-ngon-combo-300g-banh-banh-quy-oreo-franzzi-layer-vi-matcha-sua-chua-dau-tay-an-gion-ngon-cuc-ghien-i2859808931.html</v>
      </c>
      <c r="C7209" s="10" t="s">
        <v>7209</v>
      </c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>
      <c r="A7210" s="8">
        <v>12064.0</v>
      </c>
      <c r="B7210" s="9" t="str">
        <f>HYPERLINK("https://www.lazada.vn/products/sieu-sale-keo-socola-thanh-mrbeast-60g-phien-ban-2024-tu-my-co-da-el-giu-nhiet-bay-air-i2892502063.html", "https://www.lazada.vn/products/sieu-sale-keo-socola-thanh-mrbeast-60g-phien-ban-2024-tu-my-co-da-el-giu-nhiet-bay-air-i2892502063.html")</f>
        <v>https://www.lazada.vn/products/sieu-sale-keo-socola-thanh-mrbeast-60g-phien-ban-2024-tu-my-co-da-el-giu-nhiet-bay-air-i2892502063.html</v>
      </c>
      <c r="C7210" s="10" t="s">
        <v>7210</v>
      </c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>
      <c r="A7211" s="8">
        <v>12065.0</v>
      </c>
      <c r="B7211" s="9" t="str">
        <f>HYPERLINK("https://www.lazada.vn/products/thanh-hoa-sua-dac-co-duong-ong-tho-do-tuyp-165g-i1776660456.html", "https://www.lazada.vn/products/thanh-hoa-sua-dac-co-duong-ong-tho-do-tuyp-165g-i1776660456.html")</f>
        <v>https://www.lazada.vn/products/thanh-hoa-sua-dac-co-duong-ong-tho-do-tuyp-165g-i1776660456.html</v>
      </c>
      <c r="C7211" s="10" t="s">
        <v>7211</v>
      </c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>
      <c r="A7212" s="8">
        <v>12066.0</v>
      </c>
      <c r="B7212" s="9" t="str">
        <f>HYPERLINK("https://www.lazada.vn/products/hu-800gr-mut-dau-tay-nguyen-chat-da-lat-i1776377369.html", "https://www.lazada.vn/products/hu-800gr-mut-dau-tay-nguyen-chat-da-lat-i1776377369.html")</f>
        <v>https://www.lazada.vn/products/hu-800gr-mut-dau-tay-nguyen-chat-da-lat-i1776377369.html</v>
      </c>
      <c r="C7212" s="10" t="s">
        <v>7212</v>
      </c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>
      <c r="A7213" s="8">
        <v>12067.0</v>
      </c>
      <c r="B7213" s="9" t="str">
        <f>HYPERLINK("https://www.lazada.vn/products/1kg-ngu-coc-dinh-duong-14-loai-hat-i1519775975.html", "https://www.lazada.vn/products/1kg-ngu-coc-dinh-duong-14-loai-hat-i1519775975.html")</f>
        <v>https://www.lazada.vn/products/1kg-ngu-coc-dinh-duong-14-loai-hat-i1519775975.html</v>
      </c>
      <c r="C7213" s="10" t="s">
        <v>7213</v>
      </c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>
      <c r="A7214" s="8">
        <v>12068.0</v>
      </c>
      <c r="B7214" s="9" t="str">
        <f>HYPERLINK("https://www.lazada.vn/products/bot-pudding-trung-rg-1kg-topping-tra-sua-i2104318310.html", "https://www.lazada.vn/products/bot-pudding-trung-rg-1kg-topping-tra-sua-i2104318310.html")</f>
        <v>https://www.lazada.vn/products/bot-pudding-trung-rg-1kg-topping-tra-sua-i2104318310.html</v>
      </c>
      <c r="C7214" s="10" t="s">
        <v>7214</v>
      </c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>
      <c r="A7215" s="8">
        <v>12069.0</v>
      </c>
      <c r="B7215" s="9" t="str">
        <f>HYPERLINK("https://www.lazada.vn/products/tpv-nghe-den-tuoi-01kg-chuan-tot-ngon-chuan-i3013346665.html", "https://www.lazada.vn/products/tpv-nghe-den-tuoi-01kg-chuan-tot-ngon-chuan-i3013346665.html")</f>
        <v>https://www.lazada.vn/products/tpv-nghe-den-tuoi-01kg-chuan-tot-ngon-chuan-i3013346665.html</v>
      </c>
      <c r="C7215" s="10" t="s">
        <v>7215</v>
      </c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>
      <c r="A7216" s="8">
        <v>12070.0</v>
      </c>
      <c r="B7216" s="9" t="str">
        <f>HYPERLINK("https://www.lazada.vn/products/combo-3-day-pho-sua-da-30-goi-i2662015666.html", "https://www.lazada.vn/products/combo-3-day-pho-sua-da-30-goi-i2662015666.html")</f>
        <v>https://www.lazada.vn/products/combo-3-day-pho-sua-da-30-goi-i2662015666.html</v>
      </c>
      <c r="C7216" s="10" t="s">
        <v>7216</v>
      </c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>
      <c r="A7217" s="8">
        <v>12071.0</v>
      </c>
      <c r="B7217" s="9" t="str">
        <f>HYPERLINK("https://www.lazada.vn/products/500g-banh-mix-nhieu-loai-hang-dai-loan-sieu-ngon-i2604800770.html", "https://www.lazada.vn/products/500g-banh-mix-nhieu-loai-hang-dai-loan-sieu-ngon-i2604800770.html")</f>
        <v>https://www.lazada.vn/products/500g-banh-mix-nhieu-loai-hang-dai-loan-sieu-ngon-i2604800770.html</v>
      </c>
      <c r="C7217" s="10" t="s">
        <v>7217</v>
      </c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>
      <c r="A7218" s="8">
        <v>12072.0</v>
      </c>
      <c r="B7218" s="9" t="str">
        <f>HYPERLINK("https://www.lazada.vn/products/100gr-xoai-say-deo-sieu-ngon-do-an-vat-i2907989715.html", "https://www.lazada.vn/products/100gr-xoai-say-deo-sieu-ngon-do-an-vat-i2907989715.html")</f>
        <v>https://www.lazada.vn/products/100gr-xoai-say-deo-sieu-ngon-do-an-vat-i2907989715.html</v>
      </c>
      <c r="C7218" s="10" t="s">
        <v>7218</v>
      </c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>
      <c r="A7219" s="8">
        <v>12073.0</v>
      </c>
      <c r="B7219" s="9" t="str">
        <f>HYPERLINK("https://www.lazada.vn/products/banh-trang-soi-deo-tom-sate-toi-tat-banh-trang-tac-sate-toi-i2342608229.html", "https://www.lazada.vn/products/banh-trang-soi-deo-tom-sate-toi-tat-banh-trang-tac-sate-toi-i2342608229.html")</f>
        <v>https://www.lazada.vn/products/banh-trang-soi-deo-tom-sate-toi-tat-banh-trang-tac-sate-toi-i2342608229.html</v>
      </c>
      <c r="C7219" s="10" t="s">
        <v>7219</v>
      </c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>
      <c r="A7220" s="8">
        <v>12074.0</v>
      </c>
      <c r="B7220" s="9" t="str">
        <f>HYPERLINK("https://www.lazada.vn/products/bia-thu-cong-east-west-pilsner-dong-lon-i1638226811.html", "https://www.lazada.vn/products/bia-thu-cong-east-west-pilsner-dong-lon-i1638226811.html")</f>
        <v>https://www.lazada.vn/products/bia-thu-cong-east-west-pilsner-dong-lon-i1638226811.html</v>
      </c>
      <c r="C7220" s="10" t="s">
        <v>7220</v>
      </c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>
      <c r="A7221" s="8">
        <v>12075.0</v>
      </c>
      <c r="B7221" s="9" t="str">
        <f>HYPERLINK("https://www.lazada.vn/products/khay-qua-ruou-cao-cap-i2524641768.html", "https://www.lazada.vn/products/khay-qua-ruou-cao-cap-i2524641768.html")</f>
        <v>https://www.lazada.vn/products/khay-qua-ruou-cao-cap-i2524641768.html</v>
      </c>
      <c r="C7221" s="10" t="s">
        <v>7221</v>
      </c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>
      <c r="A7222" s="8">
        <v>12076.0</v>
      </c>
      <c r="B7222" s="9" t="str">
        <f>HYPERLINK("https://www.lazada.vn/products/bot-khoai-lang-tim-1kg-bot-khoai-lang-tim-nguyen-chat-i2652918767.html", "https://www.lazada.vn/products/bot-khoai-lang-tim-1kg-bot-khoai-lang-tim-nguyen-chat-i2652918767.html")</f>
        <v>https://www.lazada.vn/products/bot-khoai-lang-tim-1kg-bot-khoai-lang-tim-nguyen-chat-i2652918767.html</v>
      </c>
      <c r="C7222" s="10" t="s">
        <v>7222</v>
      </c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>
      <c r="A7223" s="8">
        <v>12077.0</v>
      </c>
      <c r="B7223" s="9" t="str">
        <f>HYPERLINK("https://www.lazada.vn/products/sirosyrup-torani-nhieu-vi-chai-750ml-i2473582845.html", "https://www.lazada.vn/products/sirosyrup-torani-nhieu-vi-chai-750ml-i2473582845.html")</f>
        <v>https://www.lazada.vn/products/sirosyrup-torani-nhieu-vi-chai-750ml-i2473582845.html</v>
      </c>
      <c r="C7223" s="10" t="s">
        <v>7223</v>
      </c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>
      <c r="A7224" s="8">
        <v>12078.0</v>
      </c>
      <c r="B7224" s="9" t="str">
        <f>HYPERLINK("https://www.lazada.vn/products/mi-to-nuoc-ga-cay-nongshim-han-quoc-100g-i3011002937.html", "https://www.lazada.vn/products/mi-to-nuoc-ga-cay-nongshim-han-quoc-100g-i3011002937.html")</f>
        <v>https://www.lazada.vn/products/mi-to-nuoc-ga-cay-nongshim-han-quoc-100g-i3011002937.html</v>
      </c>
      <c r="C7224" s="10" t="s">
        <v>7224</v>
      </c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>
      <c r="A7225" s="8">
        <v>12079.0</v>
      </c>
      <c r="B7225" s="9" t="str">
        <f>HYPERLINK("https://www.lazada.vn/products/coop-online-keo-ricola-cranberry-40g-i2860345315.html", "https://www.lazada.vn/products/coop-online-keo-ricola-cranberry-40g-i2860345315.html")</f>
        <v>https://www.lazada.vn/products/coop-online-keo-ricola-cranberry-40g-i2860345315.html</v>
      </c>
      <c r="C7225" s="10" t="s">
        <v>7225</v>
      </c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>
      <c r="A7226" s="8">
        <v>12080.0</v>
      </c>
      <c r="B7226" s="9" t="str">
        <f>HYPERLINK("https://www.lazada.vn/products/cb-15-goi-mi-kokomi-pro-vi-canh-chua-82gr-40841-i3025845271.html", "https://www.lazada.vn/products/cb-15-goi-mi-kokomi-pro-vi-canh-chua-82gr-40841-i3025845271.html")</f>
        <v>https://www.lazada.vn/products/cb-15-goi-mi-kokomi-pro-vi-canh-chua-82gr-40841-i3025845271.html</v>
      </c>
      <c r="C7226" s="10" t="s">
        <v>7226</v>
      </c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>
      <c r="A7227" s="8">
        <v>12081.0</v>
      </c>
      <c r="B7227" s="9" t="str">
        <f>HYPERLINK("https://www.lazada.vn/products/nuoc-dien-giai-nuoc-giai-khat-nuoc-the-thao-gatorade-cool-blue-500ml-nhap-khau-tu-chau-au-i2221935929.html", "https://www.lazada.vn/products/nuoc-dien-giai-nuoc-giai-khat-nuoc-the-thao-gatorade-cool-blue-500ml-nhap-khau-tu-chau-au-i2221935929.html")</f>
        <v>https://www.lazada.vn/products/nuoc-dien-giai-nuoc-giai-khat-nuoc-the-thao-gatorade-cool-blue-500ml-nhap-khau-tu-chau-au-i2221935929.html</v>
      </c>
      <c r="C7227" s="10" t="s">
        <v>7227</v>
      </c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>
      <c r="A7228" s="8">
        <v>12082.0</v>
      </c>
      <c r="B7228" s="9" t="str">
        <f>HYPERLINK("https://www.lazada.vn/products/thung-24-chai-nuoc-ngot-co-gaz-pepsi-600mlchai-i2229569456.html", "https://www.lazada.vn/products/thung-24-chai-nuoc-ngot-co-gaz-pepsi-600mlchai-i2229569456.html")</f>
        <v>https://www.lazada.vn/products/thung-24-chai-nuoc-ngot-co-gaz-pepsi-600mlchai-i2229569456.html</v>
      </c>
      <c r="C7228" s="10" t="s">
        <v>7228</v>
      </c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>
      <c r="A7229" s="8">
        <v>12083.0</v>
      </c>
      <c r="B7229" s="9" t="str">
        <f>HYPERLINK("https://www.lazada.vn/products/250g-khoai-lang-ken-chien-thom-gion-ngon-chay-man-dieu-dung-duoc-i2675595264.html", "https://www.lazada.vn/products/250g-khoai-lang-ken-chien-thom-gion-ngon-chay-man-dieu-dung-duoc-i2675595264.html")</f>
        <v>https://www.lazada.vn/products/250g-khoai-lang-ken-chien-thom-gion-ngon-chay-man-dieu-dung-duoc-i2675595264.html</v>
      </c>
      <c r="C7229" s="10" t="s">
        <v>7229</v>
      </c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>
      <c r="A7230" s="8">
        <v>12084.0</v>
      </c>
      <c r="B7230" s="9" t="str">
        <f>HYPERLINK("https://www.lazada.vn/products/banh-cracker-bap-gion-vi-nguyen-ban-150g-nuong-khong-chien-i2859476860.html", "https://www.lazada.vn/products/banh-cracker-bap-gion-vi-nguyen-ban-150g-nuong-khong-chien-i2859476860.html")</f>
        <v>https://www.lazada.vn/products/banh-cracker-bap-gion-vi-nguyen-ban-150g-nuong-khong-chien-i2859476860.html</v>
      </c>
      <c r="C7230" s="10" t="s">
        <v>7230</v>
      </c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>
      <c r="A7231" s="8">
        <v>12085.0</v>
      </c>
      <c r="B7231" s="9" t="str">
        <f>HYPERLINK("https://www.lazada.vn/products/hang-uc-socola-dang-cao-cap-nhan-tan-chay-anthon-berg-dark-chocolate-with-premium-spirits-brands-in-center-hop-sang-trong-i2890507558.html", "https://www.lazada.vn/products/hang-uc-socola-dang-cao-cap-nhan-tan-chay-anthon-berg-dark-chocolate-with-premium-spirits-brands-in-center-hop-sang-trong-i2890507558.html")</f>
        <v>https://www.lazada.vn/products/hang-uc-socola-dang-cao-cap-nhan-tan-chay-anthon-berg-dark-chocolate-with-premium-spirits-brands-in-center-hop-sang-trong-i2890507558.html</v>
      </c>
      <c r="C7231" s="10" t="s">
        <v>7231</v>
      </c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>
      <c r="A7232" s="8">
        <v>12086.0</v>
      </c>
      <c r="B7232" s="9" t="str">
        <f>HYPERLINK("https://www.lazada.vn/products/hu-1-kg-thach-dua-thai-lan-thom-ngon-do-an-vat-i1772971829.html", "https://www.lazada.vn/products/hu-1-kg-thach-dua-thai-lan-thom-ngon-do-an-vat-i1772971829.html")</f>
        <v>https://www.lazada.vn/products/hu-1-kg-thach-dua-thai-lan-thom-ngon-do-an-vat-i1772971829.html</v>
      </c>
      <c r="C7232" s="10" t="s">
        <v>7232</v>
      </c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>
      <c r="A7233" s="8">
        <v>12087.0</v>
      </c>
      <c r="B7233" s="9" t="str">
        <f>HYPERLINK("https://www.lazada.vn/products/kem-cong-thuc-bot-cacao-nguyen-chat-ciel-200g-cocoa-powder-i1506129993.html", "https://www.lazada.vn/products/kem-cong-thuc-bot-cacao-nguyen-chat-ciel-200g-cocoa-powder-i1506129993.html")</f>
        <v>https://www.lazada.vn/products/kem-cong-thuc-bot-cacao-nguyen-chat-ciel-200g-cocoa-powder-i1506129993.html</v>
      </c>
      <c r="C7233" s="10" t="s">
        <v>7233</v>
      </c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>
      <c r="A7234" s="8">
        <v>12088.0</v>
      </c>
      <c r="B7234" s="9" t="str">
        <f>HYPERLINK("https://www.lazada.vn/products/set-nguyen-lieu-panna-cotta-tu-chon-1000ml-an-vat-tet-i2100546020.html", "https://www.lazada.vn/products/set-nguyen-lieu-panna-cotta-tu-chon-1000ml-an-vat-tet-i2100546020.html")</f>
        <v>https://www.lazada.vn/products/set-nguyen-lieu-panna-cotta-tu-chon-1000ml-an-vat-tet-i2100546020.html</v>
      </c>
      <c r="C7234" s="10" t="s">
        <v>7234</v>
      </c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>
      <c r="A7235" s="8">
        <v>12089.0</v>
      </c>
      <c r="B7235" s="9" t="str">
        <f>HYPERLINK("https://www.lazada.vn/products/tang-qua-82x-collagen-sakura-premium-dong-cao-cap-dang-nuoc-120000mg-collagen-peptide-nuoc-uong-dep-da-den-tu-nhat-ban-500ml-i1637526003.html", "https://www.lazada.vn/products/tang-qua-82x-collagen-sakura-premium-dong-cao-cap-dang-nuoc-120000mg-collagen-peptide-nuoc-uong-dep-da-den-tu-nhat-ban-500ml-i1637526003.html")</f>
        <v>https://www.lazada.vn/products/tang-qua-82x-collagen-sakura-premium-dong-cao-cap-dang-nuoc-120000mg-collagen-peptide-nuoc-uong-dep-da-den-tu-nhat-ban-500ml-i1637526003.html</v>
      </c>
      <c r="C7235" s="10" t="s">
        <v>7235</v>
      </c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>
      <c r="A7236" s="8">
        <v>12090.0</v>
      </c>
      <c r="B7236" s="9" t="str">
        <f>HYPERLINK("https://www.lazada.vn/products/combo-qua-tang-banh-trang-phoi-suong-quyen-tay-ninh-bo-beo-muoi-tep-hanh-phi-top-mo-mam-toi-ot-rim-i2342603759.html", "https://www.lazada.vn/products/combo-qua-tang-banh-trang-phoi-suong-quyen-tay-ninh-bo-beo-muoi-tep-hanh-phi-top-mo-mam-toi-ot-rim-i2342603759.html")</f>
        <v>https://www.lazada.vn/products/combo-qua-tang-banh-trang-phoi-suong-quyen-tay-ninh-bo-beo-muoi-tep-hanh-phi-top-mo-mam-toi-ot-rim-i2342603759.html</v>
      </c>
      <c r="C7236" s="10" t="s">
        <v>7236</v>
      </c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>
      <c r="A7237" s="8">
        <v>12091.0</v>
      </c>
      <c r="B7237" s="9" t="str">
        <f>HYPERLINK("https://www.lazada.vn/products/khuyen-mai-xoai-say-deo-gia-si-250g500g-i2907956792.html", "https://www.lazada.vn/products/khuyen-mai-xoai-say-deo-gia-si-250g500g-i2907956792.html")</f>
        <v>https://www.lazada.vn/products/khuyen-mai-xoai-say-deo-gia-si-250g500g-i2907956792.html</v>
      </c>
      <c r="C7237" s="10" t="s">
        <v>7237</v>
      </c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>
      <c r="A7238" s="8">
        <v>12092.0</v>
      </c>
      <c r="B7238" s="9" t="str">
        <f>HYPERLINK("https://www.lazada.vn/products/ruou-vang-uc-vang-do-victoria-hang-cong-ty-i2521688176.html", "https://www.lazada.vn/products/ruou-vang-uc-vang-do-victoria-hang-cong-ty-i2521688176.html")</f>
        <v>https://www.lazada.vn/products/ruou-vang-uc-vang-do-victoria-hang-cong-ty-i2521688176.html</v>
      </c>
      <c r="C7238" s="10" t="s">
        <v>7238</v>
      </c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>
      <c r="A7239" s="8">
        <v>12093.0</v>
      </c>
      <c r="B7239" s="9" t="str">
        <f>HYPERLINK("https://www.lazada.vn/products/bot-ngu-coc-thuc-duong-khong-duong-hung-phat-danh-cho-nguoi-an-chay-tu-5-loai-hat-dinh-duong-500g-i2652759764.html", "https://www.lazada.vn/products/bot-ngu-coc-thuc-duong-khong-duong-hung-phat-danh-cho-nguoi-an-chay-tu-5-loai-hat-dinh-duong-500g-i2652759764.html")</f>
        <v>https://www.lazada.vn/products/bot-ngu-coc-thuc-duong-khong-duong-hung-phat-danh-cho-nguoi-an-chay-tu-5-loai-hat-dinh-duong-500g-i2652759764.html</v>
      </c>
      <c r="C7239" s="10" t="s">
        <v>7239</v>
      </c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>
      <c r="A7240" s="8">
        <v>12094.0</v>
      </c>
      <c r="B7240" s="9" t="str">
        <f>HYPERLINK("https://www.lazada.vn/products/keo-que-keo-gung-210g-nhap-khau-han-quoc-i2843059383.html", "https://www.lazada.vn/products/keo-que-keo-gung-210g-nhap-khau-han-quoc-i2843059383.html")</f>
        <v>https://www.lazada.vn/products/keo-que-keo-gung-210g-nhap-khau-han-quoc-i2843059383.html</v>
      </c>
      <c r="C7240" s="10" t="s">
        <v>7240</v>
      </c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>
      <c r="A7241" s="8">
        <v>12095.0</v>
      </c>
      <c r="B7241" s="9" t="str">
        <f>HYPERLINK("https://www.lazada.vn/products/tran-chau-trang-3q-ok-tha-lan-2kg-i2473551250.html", "https://www.lazada.vn/products/tran-chau-trang-3q-ok-tha-lan-2kg-i2473551250.html")</f>
        <v>https://www.lazada.vn/products/tran-chau-trang-3q-ok-tha-lan-2kg-i2473551250.html</v>
      </c>
      <c r="C7241" s="10" t="s">
        <v>7241</v>
      </c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>
      <c r="A7242" s="8">
        <v>12096.0</v>
      </c>
      <c r="B7242" s="9" t="str">
        <f>HYPERLINK("https://www.lazada.vn/products/mi-to-nuoc-ga-cay-nongshim-han-quoc-100g-i3010871856.html", "https://www.lazada.vn/products/mi-to-nuoc-ga-cay-nongshim-han-quoc-100g-i3010871856.html")</f>
        <v>https://www.lazada.vn/products/mi-to-nuoc-ga-cay-nongshim-han-quoc-100g-i3010871856.html</v>
      </c>
      <c r="C7242" s="10" t="s">
        <v>7242</v>
      </c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>
      <c r="A7243" s="8">
        <v>12097.0</v>
      </c>
      <c r="B7243" s="9" t="str">
        <f>HYPERLINK("https://www.lazada.vn/products/cb-20-goi-mi-kokomi-mix-4-vi-canh-chua-bo-tomsuon-cay-40848-i3025590657.html", "https://www.lazada.vn/products/cb-20-goi-mi-kokomi-mix-4-vi-canh-chua-bo-tomsuon-cay-40848-i3025590657.html")</f>
        <v>https://www.lazada.vn/products/cb-20-goi-mi-kokomi-mix-4-vi-canh-chua-bo-tomsuon-cay-40848-i3025590657.html</v>
      </c>
      <c r="C7243" s="10" t="s">
        <v>7243</v>
      </c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>
      <c r="A7244" s="8">
        <v>12098.0</v>
      </c>
      <c r="B7244" s="9" t="str">
        <f>HYPERLINK("https://www.lazada.vn/products/ca-ro-phi-loc-xuong-phile-1kg-net-8-giao-tphcm-i3009841258.html", "https://www.lazada.vn/products/ca-ro-phi-loc-xuong-phile-1kg-net-8-giao-tphcm-i3009841258.html")</f>
        <v>https://www.lazada.vn/products/ca-ro-phi-loc-xuong-phile-1kg-net-8-giao-tphcm-i3009841258.html</v>
      </c>
      <c r="C7244" s="10" t="s">
        <v>7244</v>
      </c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>
      <c r="A7245" s="8">
        <v>12099.0</v>
      </c>
      <c r="B7245" s="9" t="str">
        <f>HYPERLINK("https://www.lazada.vn/products/banh-dua-nuong-top-coco-coconut-cracker-original-goi-210g-i2602407213.html", "https://www.lazada.vn/products/banh-dua-nuong-top-coco-coconut-cracker-original-goi-210g-i2602407213.html")</f>
        <v>https://www.lazada.vn/products/banh-dua-nuong-top-coco-coconut-cracker-original-goi-210g-i2602407213.html</v>
      </c>
      <c r="C7245" s="10" t="s">
        <v>7245</v>
      </c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>
      <c r="A7246" s="8">
        <v>12100.0</v>
      </c>
      <c r="B7246" s="9" t="str">
        <f>HYPERLINK("https://www.lazada.vn/products/nuoc-ngot-7-up-vi-chanh-thung-24-lon-loai-320ml-i2229073054.html", "https://www.lazada.vn/products/nuoc-ngot-7-up-vi-chanh-thung-24-lon-loai-320ml-i2229073054.html")</f>
        <v>https://www.lazada.vn/products/nuoc-ngot-7-up-vi-chanh-thung-24-lon-loai-320ml-i2229073054.html</v>
      </c>
      <c r="C7246" s="10" t="s">
        <v>7246</v>
      </c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>
      <c r="A7247" s="8">
        <v>12101.0</v>
      </c>
      <c r="B7247" s="9" t="str">
        <f>HYPERLINK("https://www.lazada.vn/products/nuoc-tang-luc-asahi-monster-energy-355ml-noi-dia-nhat-i2202317509.html", "https://www.lazada.vn/products/nuoc-tang-luc-asahi-monster-energy-355ml-noi-dia-nhat-i2202317509.html")</f>
        <v>https://www.lazada.vn/products/nuoc-tang-luc-asahi-monster-energy-355ml-noi-dia-nhat-i2202317509.html</v>
      </c>
      <c r="C7247" s="10" t="s">
        <v>7247</v>
      </c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>
      <c r="A7248" s="8">
        <v>12102.0</v>
      </c>
      <c r="B7248" s="9" t="str">
        <f>HYPERLINK("https://www.lazada.vn/products/banh-omeli-cracker-hop-288g400g-khoai-tayvung-duagac-i2858466364.html", "https://www.lazada.vn/products/banh-omeli-cracker-hop-288g400g-khoai-tayvung-duagac-i2858466364.html")</f>
        <v>https://www.lazada.vn/products/banh-omeli-cracker-hop-288g400g-khoai-tayvung-duagac-i2858466364.html</v>
      </c>
      <c r="C7248" s="10" t="s">
        <v>7248</v>
      </c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>
      <c r="A7249" s="8">
        <v>12103.0</v>
      </c>
      <c r="B7249" s="9" t="str">
        <f>HYPERLINK("https://www.lazada.vn/products/250g-khoai-lang-ken-cuc-ngon-nuongfood-i2675377650.html", "https://www.lazada.vn/products/250g-khoai-lang-ken-cuc-ngon-nuongfood-i2675377650.html")</f>
        <v>https://www.lazada.vn/products/250g-khoai-lang-ken-cuc-ngon-nuongfood-i2675377650.html</v>
      </c>
      <c r="C7249" s="10" t="s">
        <v>7249</v>
      </c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>
      <c r="A7250" s="8">
        <v>12104.0</v>
      </c>
      <c r="B7250" s="9" t="str">
        <f>HYPERLINK("https://www.lazada.vn/products/beluga-xanh-transatlantic-racing-700ml-hang-noi-dia-co-tem-xanh-i2460982124.html", "https://www.lazada.vn/products/beluga-xanh-transatlantic-racing-700ml-hang-noi-dia-co-tem-xanh-i2460982124.html")</f>
        <v>https://www.lazada.vn/products/beluga-xanh-transatlantic-racing-700ml-hang-noi-dia-co-tem-xanh-i2460982124.html</v>
      </c>
      <c r="C7250" s="10" t="s">
        <v>7250</v>
      </c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>
      <c r="A7251" s="8">
        <v>12105.0</v>
      </c>
      <c r="B7251" s="9" t="str">
        <f>HYPERLINK("https://www.lazada.vn/products/combo-06-hop-240g60-goi-24g-6-hop-255g-90-goi-17g-cafe-sua-da-tuoi-moi-06-hop-220g-ca-phe-muoi-ong-bau-nutifood-yoosoo-i2662004949.html", "https://www.lazada.vn/products/combo-06-hop-240g60-goi-24g-6-hop-255g-90-goi-17g-cafe-sua-da-tuoi-moi-06-hop-220g-ca-phe-muoi-ong-bau-nutifood-yoosoo-i2662004949.html")</f>
        <v>https://www.lazada.vn/products/combo-06-hop-240g60-goi-24g-6-hop-255g-90-goi-17g-cafe-sua-da-tuoi-moi-06-hop-220g-ca-phe-muoi-ong-bau-nutifood-yoosoo-i2662004949.html</v>
      </c>
      <c r="C7251" s="10" t="s">
        <v>7251</v>
      </c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>
      <c r="A7252" s="8">
        <v>12106.0</v>
      </c>
      <c r="B7252" s="9" t="str">
        <f>HYPERLINK("https://www.lazada.vn/products/hang-xuat-khau-loai-1-vo-buoi-say-deo-nonglamfood-ho-tro-giam-can-tang-cuong-de-khang-i2903497661.html", "https://www.lazada.vn/products/hang-xuat-khau-loai-1-vo-buoi-say-deo-nonglamfood-ho-tro-giam-can-tang-cuong-de-khang-i2903497661.html")</f>
        <v>https://www.lazada.vn/products/hang-xuat-khau-loai-1-vo-buoi-say-deo-nonglamfood-ho-tro-giam-can-tang-cuong-de-khang-i2903497661.html</v>
      </c>
      <c r="C7252" s="10" t="s">
        <v>7252</v>
      </c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>
      <c r="A7253" s="8">
        <v>12107.0</v>
      </c>
      <c r="B7253" s="9" t="str">
        <f>HYPERLINK("https://www.lazada.vn/products/thung-30-goi-mi-omachi-suon-ham-ngu-qua-80gr-71019-i3024926763.html", "https://www.lazada.vn/products/thung-30-goi-mi-omachi-suon-ham-ngu-qua-80gr-71019-i3024926763.html")</f>
        <v>https://www.lazada.vn/products/thung-30-goi-mi-omachi-suon-ham-ngu-qua-80gr-71019-i3024926763.html</v>
      </c>
      <c r="C7253" s="10" t="s">
        <v>7253</v>
      </c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>
      <c r="A7254" s="8">
        <v>12108.0</v>
      </c>
      <c r="B7254" s="9" t="str">
        <f>HYPERLINK("https://www.lazada.vn/products/ruou-vang-do-vang-phap-1982-bordeaux-families-hang-cong-ty-i2521566568.html", "https://www.lazada.vn/products/ruou-vang-do-vang-phap-1982-bordeaux-families-hang-cong-ty-i2521566568.html")</f>
        <v>https://www.lazada.vn/products/ruou-vang-do-vang-phap-1982-bordeaux-families-hang-cong-ty-i2521566568.html</v>
      </c>
      <c r="C7254" s="10" t="s">
        <v>7254</v>
      </c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>
      <c r="A7255" s="8">
        <v>12109.0</v>
      </c>
      <c r="B7255" s="9" t="str">
        <f>HYPERLINK("https://www.lazada.vn/products/beluga-noble-russian-1-lit-hang-tem-xanh-noi-dia-nga-i2460966175.html", "https://www.lazada.vn/products/beluga-noble-russian-1-lit-hang-tem-xanh-noi-dia-nga-i2460966175.html")</f>
        <v>https://www.lazada.vn/products/beluga-noble-russian-1-lit-hang-tem-xanh-noi-dia-nga-i2460966175.html</v>
      </c>
      <c r="C7255" s="10" t="s">
        <v>7255</v>
      </c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>
      <c r="A7256" s="8">
        <v>12110.0</v>
      </c>
      <c r="B7256" s="9" t="str">
        <f>HYPERLINK("https://www.lazada.vn/products/natures-craft-keo-deo-ngu-melatonin-gummies-keo-deo-ho-tro-giac-ngu-ngon-i2784698553.html", "https://www.lazada.vn/products/natures-craft-keo-deo-ngu-melatonin-gummies-keo-deo-ho-tro-giac-ngu-ngon-i2784698553.html")</f>
        <v>https://www.lazada.vn/products/natures-craft-keo-deo-ngu-melatonin-gummies-keo-deo-ho-tro-giac-ngu-ngon-i2784698553.html</v>
      </c>
      <c r="C7256" s="10" t="s">
        <v>7256</v>
      </c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>
      <c r="A7257" s="8">
        <v>12111.0</v>
      </c>
      <c r="B7257" s="9" t="str">
        <f>HYPERLINK("https://www.lazada.vn/products/set-nguyen-lieu-panna-cotta-tu-chon-500ml-an-vat-tet-i2100354143.html", "https://www.lazada.vn/products/set-nguyen-lieu-panna-cotta-tu-chon-500ml-an-vat-tet-i2100354143.html")</f>
        <v>https://www.lazada.vn/products/set-nguyen-lieu-panna-cotta-tu-chon-500ml-an-vat-tet-i2100354143.html</v>
      </c>
      <c r="C7257" s="10" t="s">
        <v>7257</v>
      </c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>
      <c r="A7258" s="8">
        <v>12112.0</v>
      </c>
      <c r="B7258" s="9" t="str">
        <f>HYPERLINK("https://www.lazada.vn/products/combo-500ml-mat-ong-va-250g-tinh-bot-nghe-nguyen-chat-daklak-hieu-a-ma-thuot-i1772550397.html", "https://www.lazada.vn/products/combo-500ml-mat-ong-va-250g-tinh-bot-nghe-nguyen-chat-daklak-hieu-a-ma-thuot-i1772550397.html")</f>
        <v>https://www.lazada.vn/products/combo-500ml-mat-ong-va-250g-tinh-bot-nghe-nguyen-chat-daklak-hieu-a-ma-thuot-i1772550397.html</v>
      </c>
      <c r="C7258" s="10" t="s">
        <v>7258</v>
      </c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>
      <c r="A7259" s="8">
        <v>12113.0</v>
      </c>
      <c r="B7259" s="9" t="str">
        <f>HYPERLINK("https://www.lazada.vn/products/mi-somen-hakubaku-baby-i3008349105.html", "https://www.lazada.vn/products/mi-somen-hakubaku-baby-i3008349105.html")</f>
        <v>https://www.lazada.vn/products/mi-somen-hakubaku-baby-i3008349105.html</v>
      </c>
      <c r="C7259" s="10" t="s">
        <v>7259</v>
      </c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>
      <c r="A7260" s="8">
        <v>12114.0</v>
      </c>
      <c r="B7260" s="9" t="str">
        <f>HYPERLINK("https://www.lazada.vn/products/bot-cacao-dang-nguyen-chat-favorich-goi-500g100g-i1503060857.html", "https://www.lazada.vn/products/bot-cacao-dang-nguyen-chat-favorich-goi-500g100g-i1503060857.html")</f>
        <v>https://www.lazada.vn/products/bot-cacao-dang-nguyen-chat-favorich-goi-500g100g-i1503060857.html</v>
      </c>
      <c r="C7260" s="10" t="s">
        <v>7260</v>
      </c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>
      <c r="A7261" s="8">
        <v>12115.0</v>
      </c>
      <c r="B7261" s="9" t="str">
        <f>HYPERLINK("https://www.lazada.vn/products/thung-1kg-10cbanh-bong-lan-tam-giac-ngan-lop-2-vi-dingpan-beegin-food-i2602352899.html", "https://www.lazada.vn/products/thung-1kg-10cbanh-bong-lan-tam-giac-ngan-lop-2-vi-dingpan-beegin-food-i2602352899.html")</f>
        <v>https://www.lazada.vn/products/thung-1kg-10cbanh-bong-lan-tam-giac-ngan-lop-2-vi-dingpan-beegin-food-i2602352899.html</v>
      </c>
      <c r="C7261" s="10" t="s">
        <v>7261</v>
      </c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>
      <c r="A7262" s="8">
        <v>12116.0</v>
      </c>
      <c r="B7262" s="9" t="str">
        <f>HYPERLINK("https://www.lazada.vn/products/nuoc-ngot-pepsi-cola-thung-24-lon-loai-320ml-i2227475897.html", "https://www.lazada.vn/products/nuoc-ngot-pepsi-cola-thung-24-lon-loai-320ml-i2227475897.html")</f>
        <v>https://www.lazada.vn/products/nuoc-ngot-pepsi-cola-thung-24-lon-loai-320ml-i2227475897.html</v>
      </c>
      <c r="C7262" s="10" t="s">
        <v>7262</v>
      </c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>
      <c r="A7263" s="8">
        <v>12117.0</v>
      </c>
      <c r="B7263" s="9" t="str">
        <f>HYPERLINK("https://www.lazada.vn/products/thung-24-chai-nuoc-khoang-vitamin-c-thai-lan-470ml-i2200921175.html", "https://www.lazada.vn/products/thung-24-chai-nuoc-khoang-vitamin-c-thai-lan-470ml-i2200921175.html")</f>
        <v>https://www.lazada.vn/products/thung-24-chai-nuoc-khoang-vitamin-c-thai-lan-470ml-i2200921175.html</v>
      </c>
      <c r="C7263" s="10" t="s">
        <v>7263</v>
      </c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>
      <c r="A7264" s="8">
        <v>12118.0</v>
      </c>
      <c r="B7264" s="9" t="str">
        <f>HYPERLINK("https://www.lazada.vn/products/original-slakon-banana-flavorless-bread-snack-russian-fermented-biscuit-traditional-food-speciality-light-brown-sugar-flavor-i2856426459.html", "https://www.lazada.vn/products/original-slakon-banana-flavorless-bread-snack-russian-fermented-biscuit-traditional-food-speciality-light-brown-sugar-flavor-i2856426459.html")</f>
        <v>https://www.lazada.vn/products/original-slakon-banana-flavorless-bread-snack-russian-fermented-biscuit-traditional-food-speciality-light-brown-sugar-flavor-i2856426459.html</v>
      </c>
      <c r="C7264" s="10" t="s">
        <v>7264</v>
      </c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>
      <c r="A7265" s="8">
        <v>12119.0</v>
      </c>
      <c r="B7265" s="9" t="str">
        <f>HYPERLINK("https://www.lazada.vn/products/khoai-tay-chien-soi-to-hang-ngon-nuongfood-i2675373641.html", "https://www.lazada.vn/products/khoai-tay-chien-soi-to-hang-ngon-nuongfood-i2675373641.html")</f>
        <v>https://www.lazada.vn/products/khoai-tay-chien-soi-to-hang-ngon-nuongfood-i2675373641.html</v>
      </c>
      <c r="C7265" s="10" t="s">
        <v>7265</v>
      </c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>
      <c r="A7266" s="8">
        <v>12120.0</v>
      </c>
      <c r="B7266" s="9" t="str">
        <f>HYPERLINK("https://www.lazada.vn/products/ca-phe-sua-kopiko-macchiato-thai-lan-bich-480g-loai-20-goi-x-24g-i2660846333.html", "https://www.lazada.vn/products/ca-phe-sua-kopiko-macchiato-thai-lan-bich-480g-loai-20-goi-x-24g-i2660846333.html")</f>
        <v>https://www.lazada.vn/products/ca-phe-sua-kopiko-macchiato-thai-lan-bich-480g-loai-20-goi-x-24g-i2660846333.html</v>
      </c>
      <c r="C7266" s="10" t="s">
        <v>7266</v>
      </c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>
      <c r="A7267" s="8">
        <v>12121.0</v>
      </c>
      <c r="B7267" s="9" t="str">
        <f>HYPERLINK("https://www.lazada.vn/products/1kg-khoai-lang-nhat-xay-nhuyen-i2898454772.html", "https://www.lazada.vn/products/1kg-khoai-lang-nhat-xay-nhuyen-i2898454772.html")</f>
        <v>https://www.lazada.vn/products/1kg-khoai-lang-nhat-xay-nhuyen-i2898454772.html</v>
      </c>
      <c r="C7267" s="10" t="s">
        <v>7267</v>
      </c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>
      <c r="A7268" s="8">
        <v>12122.0</v>
      </c>
      <c r="B7268" s="9" t="str">
        <f>HYPERLINK("https://www.lazada.vn/products/thuc-an-vat-cho-meo-ca-ngu-nhat-ban-i3006401523.html", "https://www.lazada.vn/products/thuc-an-vat-cho-meo-ca-ngu-nhat-ban-i3006401523.html")</f>
        <v>https://www.lazada.vn/products/thuc-an-vat-cho-meo-ca-ngu-nhat-ban-i3006401523.html</v>
      </c>
      <c r="C7268" s="10" t="s">
        <v>7268</v>
      </c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>
      <c r="A7269" s="8">
        <v>12123.0</v>
      </c>
      <c r="B7269" s="9" t="str">
        <f>HYPERLINK("https://www.lazada.vn/products/bot-matcha-dai-loan-red-cap-100g-tui-zip-tach-le-tu-goi-500g-muasamnhanh-i2652575223.html", "https://www.lazada.vn/products/bot-matcha-dai-loan-red-cap-100g-tui-zip-tach-le-tu-goi-500g-muasamnhanh-i2652575223.html")</f>
        <v>https://www.lazada.vn/products/bot-matcha-dai-loan-red-cap-100g-tui-zip-tach-le-tu-goi-500g-muasamnhanh-i2652575223.html</v>
      </c>
      <c r="C7269" s="10" t="s">
        <v>7269</v>
      </c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>
      <c r="A7270" s="8">
        <v>12124.0</v>
      </c>
      <c r="B7270" s="9" t="str">
        <f>HYPERLINK("https://www.lazada.vn/products/sirosyrup-davinci-caramel-750ml-i2473550328.html", "https://www.lazada.vn/products/sirosyrup-davinci-caramel-750ml-i2473550328.html")</f>
        <v>https://www.lazada.vn/products/sirosyrup-davinci-caramel-750ml-i2473550328.html</v>
      </c>
      <c r="C7270" s="10" t="s">
        <v>7270</v>
      </c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>
      <c r="A7271" s="8">
        <v>12125.0</v>
      </c>
      <c r="B7271" s="9" t="str">
        <f>HYPERLINK("https://www.lazada.vn/products/banh-trang-deo-tom-sot-me-bo-trung-ga-sieu-beo-ngon-i2342597543.html", "https://www.lazada.vn/products/banh-trang-deo-tom-sot-me-bo-trung-ga-sieu-beo-ngon-i2342597543.html")</f>
        <v>https://www.lazada.vn/products/banh-trang-deo-tom-sot-me-bo-trung-ga-sieu-beo-ngon-i2342597543.html</v>
      </c>
      <c r="C7271" s="10" t="s">
        <v>7271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>
      <c r="A7272" s="8">
        <v>12126.0</v>
      </c>
      <c r="B7272" s="9" t="str">
        <f>HYPERLINK("https://www.lazada.vn/products/cb-15-goi-mi-kokomi-dai-suon-cay-hanh-phi-90gr-67015-i3015785487.html", "https://www.lazada.vn/products/cb-15-goi-mi-kokomi-dai-suon-cay-hanh-phi-90gr-67015-i3015785487.html")</f>
        <v>https://www.lazada.vn/products/cb-15-goi-mi-kokomi-dai-suon-cay-hanh-phi-90gr-67015-i3015785487.html</v>
      </c>
      <c r="C7272" s="10" t="s">
        <v>7272</v>
      </c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>
      <c r="A7273" s="8">
        <v>12127.0</v>
      </c>
      <c r="B7273" s="9" t="str">
        <f>HYPERLINK("https://www.lazada.vn/products/bia-thu-cong-east-west-summer-hop-6-chai-330ml-i1635263654.html", "https://www.lazada.vn/products/bia-thu-cong-east-west-summer-hop-6-chai-330ml-i1635263654.html")</f>
        <v>https://www.lazada.vn/products/bia-thu-cong-east-west-summer-hop-6-chai-330ml-i1635263654.html</v>
      </c>
      <c r="C7273" s="10" t="s">
        <v>7273</v>
      </c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>
      <c r="A7274" s="8">
        <v>12128.0</v>
      </c>
      <c r="B7274" s="9" t="str">
        <f>HYPERLINK("https://www.lazada.vn/products/hang-uc-keo-socola-phien-ban-tong-hop-cadbury-favourites-fun-games-340gr-marvellous-creations-336gr-i2885926317.html", "https://www.lazada.vn/products/hang-uc-keo-socola-phien-ban-tong-hop-cadbury-favourites-fun-games-340gr-marvellous-creations-336gr-i2885926317.html")</f>
        <v>https://www.lazada.vn/products/hang-uc-keo-socola-phien-ban-tong-hop-cadbury-favourites-fun-games-340gr-marvellous-creations-336gr-i2885926317.html</v>
      </c>
      <c r="C7274" s="10" t="s">
        <v>7274</v>
      </c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>
      <c r="A7275" s="8">
        <v>12129.0</v>
      </c>
      <c r="B7275" s="9" t="str">
        <f>HYPERLINK("https://www.lazada.vn/products/panna-cotta-set-nguyen-lieu-lam-500ml-tet-mut-tet-i2100172210.html", "https://www.lazada.vn/products/panna-cotta-set-nguyen-lieu-lam-500ml-tet-mut-tet-i2100172210.html")</f>
        <v>https://www.lazada.vn/products/panna-cotta-set-nguyen-lieu-lam-500ml-tet-mut-tet-i2100172210.html</v>
      </c>
      <c r="C7275" s="10" t="s">
        <v>7275</v>
      </c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>
      <c r="A7276" s="8">
        <v>12130.0</v>
      </c>
      <c r="B7276" s="9" t="str">
        <f>HYPERLINK("https://www.lazada.vn/products/ruou-vang-y-1933-co-nhieu-mau-co-vang-ngot-va-vang-chat-i2517270820.html", "https://www.lazada.vn/products/ruou-vang-y-1933-co-nhieu-mau-co-vang-ngot-va-vang-chat-i2517270820.html")</f>
        <v>https://www.lazada.vn/products/ruou-vang-y-1933-co-nhieu-mau-co-vang-ngot-va-vang-chat-i2517270820.html</v>
      </c>
      <c r="C7276" s="10" t="s">
        <v>7276</v>
      </c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>
      <c r="A7277" s="8">
        <v>12131.0</v>
      </c>
      <c r="B7277" s="9" t="str">
        <f>HYPERLINK("https://www.lazada.vn/products/ruou-vang-y-chinh-hang-san-marzano-cao-cap-f-negroamaro-f-silver-hay-f-bac-i2517055704.html", "https://www.lazada.vn/products/ruou-vang-y-chinh-hang-san-marzano-cao-cap-f-negroamaro-f-silver-hay-f-bac-i2517055704.html")</f>
        <v>https://www.lazada.vn/products/ruou-vang-y-chinh-hang-san-marzano-cao-cap-f-negroamaro-f-silver-hay-f-bac-i2517055704.html</v>
      </c>
      <c r="C7277" s="10" t="s">
        <v>7277</v>
      </c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>
      <c r="A7278" s="8">
        <v>12132.0</v>
      </c>
      <c r="B7278" s="9" t="str">
        <f>HYPERLINK("https://www.lazada.vn/products/tren-18-tuoi-chinh-hang-set-ruou-skyy-vodka-700ml-40-i2347765621.html", "https://www.lazada.vn/products/tren-18-tuoi-chinh-hang-set-ruou-skyy-vodka-700ml-40-i2347765621.html")</f>
        <v>https://www.lazada.vn/products/tren-18-tuoi-chinh-hang-set-ruou-skyy-vodka-700ml-40-i2347765621.html</v>
      </c>
      <c r="C7278" s="10" t="s">
        <v>7278</v>
      </c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>
      <c r="A7279" s="8">
        <v>12133.0</v>
      </c>
      <c r="B7279" s="9" t="str">
        <f>HYPERLINK("https://www.lazada.vn/products/nuoc-ngot-7-up-vi-chanh-thung-24-chai-loai-390ml-i2215755034.html", "https://www.lazada.vn/products/nuoc-ngot-7-up-vi-chanh-thung-24-chai-loai-390ml-i2215755034.html")</f>
        <v>https://www.lazada.vn/products/nuoc-ngot-7-up-vi-chanh-thung-24-chai-loai-390ml-i2215755034.html</v>
      </c>
      <c r="C7279" s="10" t="s">
        <v>7279</v>
      </c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>
      <c r="A7280" s="8">
        <v>12134.0</v>
      </c>
      <c r="B7280" s="9" t="str">
        <f>HYPERLINK("https://www.lazada.vn/products/chocolate-sua-choco-cacao-hoa-tan-archcafe-so-co-la-hop-12-goi-x-20g-i1495388630.html", "https://www.lazada.vn/products/chocolate-sua-choco-cacao-hoa-tan-archcafe-so-co-la-hop-12-goi-x-20g-i1495388630.html")</f>
        <v>https://www.lazada.vn/products/chocolate-sua-choco-cacao-hoa-tan-archcafe-so-co-la-hop-12-goi-x-20g-i1495388630.html</v>
      </c>
      <c r="C7280" s="10" t="s">
        <v>7280</v>
      </c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>
      <c r="A7281" s="8">
        <v>12135.0</v>
      </c>
      <c r="B7281" s="9" t="str">
        <f>HYPERLINK("https://www.lazada.vn/products/cacao-mass-cacaomi-nguyen-bo-khong-duong-lam-socola-chocolate-lam-banh-nghien-tu-hat-ca-cao-nguyen-chat-giau-dinh-duong-tim-mach-250g-500g-i1482424933.html", "https://www.lazada.vn/products/cacao-mass-cacaomi-nguyen-bo-khong-duong-lam-socola-chocolate-lam-banh-nghien-tu-hat-ca-cao-nguyen-chat-giau-dinh-duong-tim-mach-250g-500g-i1482424933.html")</f>
        <v>https://www.lazada.vn/products/cacao-mass-cacaomi-nguyen-bo-khong-duong-lam-socola-chocolate-lam-banh-nghien-tu-hat-ca-cao-nguyen-chat-giau-dinh-duong-tim-mach-250g-500g-i1482424933.html</v>
      </c>
      <c r="C7281" s="10" t="s">
        <v>7281</v>
      </c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>
      <c r="A7282" s="8">
        <v>12136.0</v>
      </c>
      <c r="B7282" s="9" t="str">
        <f>HYPERLINK("https://www.lazada.vn/products/banh-mix-dai-loan-du-vi-loai-1-thung-2kg-do-an-vat-an-vat-sieu-ngon-shop-haimy-i2602230163.html", "https://www.lazada.vn/products/banh-mix-dai-loan-du-vi-loai-1-thung-2kg-do-an-vat-an-vat-sieu-ngon-shop-haimy-i2602230163.html")</f>
        <v>https://www.lazada.vn/products/banh-mix-dai-loan-du-vi-loai-1-thung-2kg-do-an-vat-an-vat-sieu-ngon-shop-haimy-i2602230163.html</v>
      </c>
      <c r="C7282" s="10" t="s">
        <v>7282</v>
      </c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>
      <c r="A7283" s="8">
        <v>12137.0</v>
      </c>
      <c r="B7283" s="9" t="str">
        <f>HYPERLINK("https://www.lazada.vn/products/nuoc-gao-rang-han-quoc-woogjin-thom-ngon-bo-duong-chai-500ml-sieu-re-i1481393918.html", "https://www.lazada.vn/products/nuoc-gao-rang-han-quoc-woogjin-thom-ngon-bo-duong-chai-500ml-sieu-re-i1481393918.html")</f>
        <v>https://www.lazada.vn/products/nuoc-gao-rang-han-quoc-woogjin-thom-ngon-bo-duong-chai-500ml-sieu-re-i1481393918.html</v>
      </c>
      <c r="C7283" s="10" t="s">
        <v>7283</v>
      </c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>
      <c r="A7284" s="8">
        <v>12138.0</v>
      </c>
      <c r="B7284" s="9" t="str">
        <f>HYPERLINK("https://www.lazada.vn/products/banh-gao-dinh-duong-kun-vi-tu-nhienvi-nuoc-tuongvi-bo-nuong-140g1134g-10-goi-nho-i2855913429.html", "https://www.lazada.vn/products/banh-gao-dinh-duong-kun-vi-tu-nhienvi-nuoc-tuongvi-bo-nuong-140g1134g-10-goi-nho-i2855913429.html")</f>
        <v>https://www.lazada.vn/products/banh-gao-dinh-duong-kun-vi-tu-nhienvi-nuoc-tuongvi-bo-nuong-140g1134g-10-goi-nho-i2855913429.html</v>
      </c>
      <c r="C7284" s="10" t="s">
        <v>7284</v>
      </c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>
      <c r="A7285" s="8">
        <v>12139.0</v>
      </c>
      <c r="B7285" s="9" t="str">
        <f>HYPERLINK("https://www.lazada.vn/products/qua-oliu-ngam-tach-hat-hieu-latino-bella-hop-3kg-i1770333971.html", "https://www.lazada.vn/products/qua-oliu-ngam-tach-hat-hieu-latino-bella-hop-3kg-i1770333971.html")</f>
        <v>https://www.lazada.vn/products/qua-oliu-ngam-tach-hat-hieu-latino-bella-hop-3kg-i1770333971.html</v>
      </c>
      <c r="C7285" s="10" t="s">
        <v>7285</v>
      </c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>
      <c r="A7286" s="8">
        <v>12140.0</v>
      </c>
      <c r="B7286" s="9" t="str">
        <f>HYPERLINK("https://www.lazada.vn/products/mi-tron-reeva-fresh-ga-nam-pho-mai-cay-i3006796928.html", "https://www.lazada.vn/products/mi-tron-reeva-fresh-ga-nam-pho-mai-cay-i3006796928.html")</f>
        <v>https://www.lazada.vn/products/mi-tron-reeva-fresh-ga-nam-pho-mai-cay-i3006796928.html</v>
      </c>
      <c r="C7286" s="10" t="s">
        <v>7286</v>
      </c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>
      <c r="A7287" s="8">
        <v>12141.0</v>
      </c>
      <c r="B7287" s="9" t="str">
        <f>HYPERLINK("https://www.lazada.vn/products/combo-10-goi-banh-snack-bim-bim-oishi-32gr-i2674930048.html", "https://www.lazada.vn/products/combo-10-goi-banh-snack-bim-bim-oishi-32gr-i2674930048.html")</f>
        <v>https://www.lazada.vn/products/combo-10-goi-banh-snack-bim-bim-oishi-32gr-i2674930048.html</v>
      </c>
      <c r="C7287" s="10" t="s">
        <v>7287</v>
      </c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>
      <c r="A7288" s="8">
        <v>12142.0</v>
      </c>
      <c r="B7288" s="9" t="str">
        <f>HYPERLINK("https://www.lazada.vn/products/ca-phe-idol-slim-3-in-1-thai-lan-10-goi-vang-mp-cho-lon-i2660714146.html", "https://www.lazada.vn/products/ca-phe-idol-slim-3-in-1-thai-lan-10-goi-vang-mp-cho-lon-i2660714146.html")</f>
        <v>https://www.lazada.vn/products/ca-phe-idol-slim-3-in-1-thai-lan-10-goi-vang-mp-cho-lon-i2660714146.html</v>
      </c>
      <c r="C7288" s="10" t="s">
        <v>7288</v>
      </c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>
      <c r="A7289" s="8">
        <v>12143.0</v>
      </c>
      <c r="B7289" s="9" t="str">
        <f>HYPERLINK("https://www.lazada.vn/products/food-inflatable-party-supplies-halloween-childrens-day-cosplay-food-potato-chips-cola-popcorn-performance-costume-for-kids-i2897172932.html", "https://www.lazada.vn/products/food-inflatable-party-supplies-halloween-childrens-day-cosplay-food-potato-chips-cola-popcorn-performance-costume-for-kids-i2897172932.html")</f>
        <v>https://www.lazada.vn/products/food-inflatable-party-supplies-halloween-childrens-day-cosplay-food-potato-chips-cola-popcorn-performance-costume-for-kids-i2897172932.html</v>
      </c>
      <c r="C7289" s="10" t="s">
        <v>7289</v>
      </c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>
      <c r="A7290" s="8">
        <v>12144.0</v>
      </c>
      <c r="B7290" s="9" t="str">
        <f>HYPERLINK("https://www.lazada.vn/products/keo-mut-3-vi-hinh-cun-con-cho-be-thuong-hieu-kokos-puppypalz-dip-n-lik-nhap-khau-usa-i2736031477.html", "https://www.lazada.vn/products/keo-mut-3-vi-hinh-cun-con-cho-be-thuong-hieu-kokos-puppypalz-dip-n-lik-nhap-khau-usa-i2736031477.html")</f>
        <v>https://www.lazada.vn/products/keo-mut-3-vi-hinh-cun-con-cho-be-thuong-hieu-kokos-puppypalz-dip-n-lik-nhap-khau-usa-i2736031477.html</v>
      </c>
      <c r="C7290" s="10" t="s">
        <v>7290</v>
      </c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>
      <c r="A7291" s="8">
        <v>12145.0</v>
      </c>
      <c r="B7291" s="9" t="str">
        <f>HYPERLINK("https://www.lazada.vn/products/nuoc-uong-giai-ruou-han-quoc-condition-chai-100ml-i2192955288.html", "https://www.lazada.vn/products/nuoc-uong-giai-ruou-han-quoc-condition-chai-100ml-i2192955288.html")</f>
        <v>https://www.lazada.vn/products/nuoc-uong-giai-ruou-han-quoc-condition-chai-100ml-i2192955288.html</v>
      </c>
      <c r="C7291" s="10" t="s">
        <v>7291</v>
      </c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>
      <c r="A7292" s="8">
        <v>12146.0</v>
      </c>
      <c r="B7292" s="9" t="str">
        <f>HYPERLINK("https://www.lazada.vn/products/bot-dau-den-xanh-long-me-den-handmade-1kg-i2652414892.html", "https://www.lazada.vn/products/bot-dau-den-xanh-long-me-den-handmade-1kg-i2652414892.html")</f>
        <v>https://www.lazada.vn/products/bot-dau-den-xanh-long-me-den-handmade-1kg-i2652414892.html</v>
      </c>
      <c r="C7292" s="10" t="s">
        <v>7292</v>
      </c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>
      <c r="A7293" s="8">
        <v>12147.0</v>
      </c>
      <c r="B7293" s="9" t="str">
        <f>HYPERLINK("https://www.lazada.vn/products/mi-nongshim-kimchi-ramyun-ly-75g-i3013744881.html", "https://www.lazada.vn/products/mi-nongshim-kimchi-ramyun-ly-75g-i3013744881.html")</f>
        <v>https://www.lazada.vn/products/mi-nongshim-kimchi-ramyun-ly-75g-i3013744881.html</v>
      </c>
      <c r="C7293" s="10" t="s">
        <v>7293</v>
      </c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>
      <c r="A7294" s="8">
        <v>12148.0</v>
      </c>
      <c r="B7294" s="9" t="str">
        <f>HYPERLINK("https://www.lazada.vn/products/thach-nha-dam-xuan-thinh-1kg-i2473539765.html", "https://www.lazada.vn/products/thach-nha-dam-xuan-thinh-1kg-i2473539765.html")</f>
        <v>https://www.lazada.vn/products/thach-nha-dam-xuan-thinh-1kg-i2473539765.html</v>
      </c>
      <c r="C7294" s="10" t="s">
        <v>7294</v>
      </c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>
      <c r="A7295" s="8">
        <v>12149.0</v>
      </c>
      <c r="B7295" s="9" t="str">
        <f>HYPERLINK("https://www.lazada.vn/products/banh-trang-deo-phoi-suong-tron-top-mo-hanh-la-sieu-nghien-quyen-tay-ninh-i2342565431.html", "https://www.lazada.vn/products/banh-trang-deo-phoi-suong-tron-top-mo-hanh-la-sieu-nghien-quyen-tay-ninh-i2342565431.html")</f>
        <v>https://www.lazada.vn/products/banh-trang-deo-phoi-suong-tron-top-mo-hanh-la-sieu-nghien-quyen-tay-ninh-i2342565431.html</v>
      </c>
      <c r="C7295" s="10" t="s">
        <v>7295</v>
      </c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>
      <c r="A7296" s="8">
        <v>12150.0</v>
      </c>
      <c r="B7296" s="9" t="str">
        <f>HYPERLINK("https://www.lazada.vn/products/keo-socola-hanh-nhan-nga-krokaht-180gr-500gr-i2885489427.html", "https://www.lazada.vn/products/keo-socola-hanh-nhan-nga-krokaht-180gr-500gr-i2885489427.html")</f>
        <v>https://www.lazada.vn/products/keo-socola-hanh-nhan-nga-krokaht-180gr-500gr-i2885489427.html</v>
      </c>
      <c r="C7296" s="10" t="s">
        <v>7296</v>
      </c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>
      <c r="A7297" s="8">
        <v>12151.0</v>
      </c>
      <c r="B7297" s="9" t="str">
        <f>HYPERLINK("https://www.lazada.vn/products/bia-thu-cong-east-west-rose-hop-6-chai-330ml-i1635139992.html", "https://www.lazada.vn/products/bia-thu-cong-east-west-rose-hop-6-chai-330ml-i1635139992.html")</f>
        <v>https://www.lazada.vn/products/bia-thu-cong-east-west-rose-hop-6-chai-330ml-i1635139992.html</v>
      </c>
      <c r="C7297" s="10" t="s">
        <v>7297</v>
      </c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>
      <c r="A7298" s="8">
        <v>12152.0</v>
      </c>
      <c r="B7298" s="9" t="str">
        <f>HYPERLINK("https://www.lazada.vn/products/thit-hop-bo-3-lat-tuyen-ky-mua-4-hop-tang-1-hop-i3006399023.html", "https://www.lazada.vn/products/thit-hop-bo-3-lat-tuyen-ky-mua-4-hop-tang-1-hop-i3006399023.html")</f>
        <v>https://www.lazada.vn/products/thit-hop-bo-3-lat-tuyen-ky-mua-4-hop-tang-1-hop-i3006399023.html</v>
      </c>
      <c r="C7298" s="10" t="s">
        <v>7298</v>
      </c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>
      <c r="A7299" s="8">
        <v>12153.0</v>
      </c>
      <c r="B7299" s="9" t="str">
        <f>HYPERLINK("https://www.lazada.vn/products/panna-cotta-set-nguyen-lieu-lam-500ml-do-an-vat-tet-mut-tet-i2100120315.html", "https://www.lazada.vn/products/panna-cotta-set-nguyen-lieu-lam-500ml-do-an-vat-tet-mut-tet-i2100120315.html")</f>
        <v>https://www.lazada.vn/products/panna-cotta-set-nguyen-lieu-lam-500ml-do-an-vat-tet-mut-tet-i2100120315.html</v>
      </c>
      <c r="C7299" s="10" t="s">
        <v>7299</v>
      </c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>
      <c r="A7300" s="8">
        <v>12154.0</v>
      </c>
      <c r="B7300" s="9" t="str">
        <f>HYPERLINK("https://www.lazada.vn/products/ruou-vang-y-chinh-hang-san-marzano-cao-cap-f-gold-24-karat-limited-edition-ma-vang-i2516556036.html", "https://www.lazada.vn/products/ruou-vang-y-chinh-hang-san-marzano-cao-cap-f-gold-24-karat-limited-edition-ma-vang-i2516556036.html")</f>
        <v>https://www.lazada.vn/products/ruou-vang-y-chinh-hang-san-marzano-cao-cap-f-gold-24-karat-limited-edition-ma-vang-i2516556036.html</v>
      </c>
      <c r="C7300" s="10" t="s">
        <v>7300</v>
      </c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>
      <c r="A7301" s="8">
        <v>12155.0</v>
      </c>
      <c r="B7301" s="9" t="str">
        <f>HYPERLINK("https://www.lazada.vn/products/nuoc-ngot-pepsi-cola-thung-24-chai-loai-390ml-i2215594919.html", "https://www.lazada.vn/products/nuoc-ngot-pepsi-cola-thung-24-chai-loai-390ml-i2215594919.html")</f>
        <v>https://www.lazada.vn/products/nuoc-ngot-pepsi-cola-thung-24-chai-loai-390ml-i2215594919.html</v>
      </c>
      <c r="C7301" s="10" t="s">
        <v>7301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>
      <c r="A7302" s="8">
        <v>12156.0</v>
      </c>
      <c r="B7302" s="9" t="str">
        <f>HYPERLINK("https://www.lazada.vn/products/set-nau-sam-bo-luong-i1769886997.html", "https://www.lazada.vn/products/set-nau-sam-bo-luong-i1769886997.html")</f>
        <v>https://www.lazada.vn/products/set-nau-sam-bo-luong-i1769886997.html</v>
      </c>
      <c r="C7302" s="10" t="s">
        <v>7302</v>
      </c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>
      <c r="A7303" s="8">
        <v>12157.0</v>
      </c>
      <c r="B7303" s="9" t="str">
        <f>HYPERLINK("https://www.lazada.vn/products/bot-cacao-nguyen-chat-huu-co-dragon-200g-i1472132681.html", "https://www.lazada.vn/products/bot-cacao-nguyen-chat-huu-co-dragon-200g-i1472132681.html")</f>
        <v>https://www.lazada.vn/products/bot-cacao-nguyen-chat-huu-co-dragon-200g-i1472132681.html</v>
      </c>
      <c r="C7303" s="10" t="s">
        <v>7303</v>
      </c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>
      <c r="A7304" s="8">
        <v>12158.0</v>
      </c>
      <c r="B7304" s="9" t="str">
        <f>HYPERLINK("https://www.lazada.vn/products/mi-tron-to-reeva-ga-nam-pho-mai-cay-95g-i3006756602.html", "https://www.lazada.vn/products/mi-tron-to-reeva-ga-nam-pho-mai-cay-95g-i3006756602.html")</f>
        <v>https://www.lazada.vn/products/mi-tron-to-reeva-ga-nam-pho-mai-cay-95g-i3006756602.html</v>
      </c>
      <c r="C7304" s="10" t="s">
        <v>7304</v>
      </c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>
      <c r="A7305" s="8">
        <v>12159.0</v>
      </c>
      <c r="B7305" s="9" t="str">
        <f>HYPERLINK("https://www.lazada.vn/products/keo-dua-mix-nhieu-vi-sieu-ngon-100g-250g-500g-i2731093933.html", "https://www.lazada.vn/products/keo-dua-mix-nhieu-vi-sieu-ngon-100g-250g-500g-i2731093933.html")</f>
        <v>https://www.lazada.vn/products/keo-dua-mix-nhieu-vi-sieu-ngon-100g-250g-500g-i2731093933.html</v>
      </c>
      <c r="C7305" s="10" t="s">
        <v>7305</v>
      </c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>
      <c r="A7306" s="8">
        <v>12160.0</v>
      </c>
      <c r="B7306" s="9" t="str">
        <f>HYPERLINK("https://www.lazada.vn/products/nuoc-uong-giai-ruou-han-quoc-condition-hop-10-chai-100ml-i2192879637.html", "https://www.lazada.vn/products/nuoc-uong-giai-ruou-han-quoc-condition-hop-10-chai-100ml-i2192879637.html")</f>
        <v>https://www.lazada.vn/products/nuoc-uong-giai-ruou-han-quoc-condition-hop-10-chai-100ml-i2192879637.html</v>
      </c>
      <c r="C7306" s="10" t="s">
        <v>7306</v>
      </c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>
      <c r="A7307" s="8">
        <v>12161.0</v>
      </c>
      <c r="B7307" s="9" t="str">
        <f>HYPERLINK("https://www.lazada.vn/products/combo-2-hop-banh-quy-gion-vi-sau-rieng-yoko-thuong-hieu-sbt250gr1-hop-i2853573014.html", "https://www.lazada.vn/products/combo-2-hop-banh-quy-gion-vi-sau-rieng-yoko-thuong-hieu-sbt250gr1-hop-i2853573014.html")</f>
        <v>https://www.lazada.vn/products/combo-2-hop-banh-quy-gion-vi-sau-rieng-yoko-thuong-hieu-sbt250gr1-hop-i2853573014.html</v>
      </c>
      <c r="C7307" s="10" t="s">
        <v>7307</v>
      </c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>
      <c r="A7308" s="8">
        <v>12162.0</v>
      </c>
      <c r="B7308" s="9" t="str">
        <f>HYPERLINK("https://www.lazada.vn/products/banh-bao-tao-hinh-nhan-pho-mai-mau-rong-2024-i2601882423.html", "https://www.lazada.vn/products/banh-bao-tao-hinh-nhan-pho-mai-mau-rong-2024-i2601882423.html")</f>
        <v>https://www.lazada.vn/products/banh-bao-tao-hinh-nhan-pho-mai-mau-rong-2024-i2601882423.html</v>
      </c>
      <c r="C7308" s="10" t="s">
        <v>7308</v>
      </c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>
      <c r="A7309" s="8">
        <v>12163.0</v>
      </c>
      <c r="B7309" s="9" t="str">
        <f>HYPERLINK("https://www.lazada.vn/products/snack-khoai-tay-slide-lon-100g-vi-tu-nhien-thom-cay-thit-nuong-pho-mai-ga-cay-i2674614151.html", "https://www.lazada.vn/products/snack-khoai-tay-slide-lon-100g-vi-tu-nhien-thom-cay-thit-nuong-pho-mai-ga-cay-i2674614151.html")</f>
        <v>https://www.lazada.vn/products/snack-khoai-tay-slide-lon-100g-vi-tu-nhien-thom-cay-thit-nuong-pho-mai-ga-cay-i2674614151.html</v>
      </c>
      <c r="C7309" s="10" t="s">
        <v>7309</v>
      </c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>
      <c r="A7310" s="8">
        <v>12164.0</v>
      </c>
      <c r="B7310" s="9" t="str">
        <f>HYPERLINK("https://www.lazada.vn/products/combo-ca-phe-pho-sua-ly-lon-hop-10-goi-i2660204322.html", "https://www.lazada.vn/products/combo-ca-phe-pho-sua-ly-lon-hop-10-goi-i2660204322.html")</f>
        <v>https://www.lazada.vn/products/combo-ca-phe-pho-sua-ly-lon-hop-10-goi-i2660204322.html</v>
      </c>
      <c r="C7310" s="10" t="s">
        <v>7310</v>
      </c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>
      <c r="A7311" s="8">
        <v>12165.0</v>
      </c>
      <c r="B7311" s="9" t="str">
        <f>HYPERLINK("https://www.lazada.vn/products/bom-qua-dua-kho-hoa-hau-tra-co-co-dua-kho-trai-cay-kho-trang-tri-trai-cay-kho-bom-nuoc-snack-dua-kho-bom-qua-dua-i2897112469.html", "https://www.lazada.vn/products/bom-qua-dua-kho-hoa-hau-tra-co-co-dua-kho-trai-cay-kho-trang-tri-trai-cay-kho-bom-nuoc-snack-dua-kho-bom-qua-dua-i2897112469.html")</f>
        <v>https://www.lazada.vn/products/bom-qua-dua-kho-hoa-hau-tra-co-co-dua-kho-trai-cay-kho-trang-tri-trai-cay-kho-bom-nuoc-snack-dua-kho-bom-qua-dua-i2897112469.html</v>
      </c>
      <c r="C7311" s="10" t="s">
        <v>7311</v>
      </c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>
      <c r="A7312" s="8">
        <v>12166.0</v>
      </c>
      <c r="B7312" s="9" t="str">
        <f>HYPERLINK("https://www.lazada.vn/products/bot-bo-tuy-5-loai-dau-khong-dau-nanh-tui-1-ki-uong-nong-hoac-nguoi-deu-duoc-i2652392950.html", "https://www.lazada.vn/products/bot-bo-tuy-5-loai-dau-khong-dau-nanh-tui-1-ki-uong-nong-hoac-nguoi-deu-duoc-i2652392950.html")</f>
        <v>https://www.lazada.vn/products/bot-bo-tuy-5-loai-dau-khong-dau-nanh-tui-1-ki-uong-nong-hoac-nguoi-deu-duoc-i2652392950.html</v>
      </c>
      <c r="C7312" s="10" t="s">
        <v>7312</v>
      </c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>
      <c r="A7313" s="8">
        <v>12167.0</v>
      </c>
      <c r="B7313" s="9" t="str">
        <f>HYPERLINK("https://www.lazada.vn/products/banh-trang-phoi-suong-deo-sate-hanh-phi-hanh-la-muoi-nhuyen-sieu-cay-quyen-tay-ninh-i2342563807.html", "https://www.lazada.vn/products/banh-trang-phoi-suong-deo-sate-hanh-phi-hanh-la-muoi-nhuyen-sieu-cay-quyen-tay-ninh-i2342563807.html")</f>
        <v>https://www.lazada.vn/products/banh-trang-phoi-suong-deo-sate-hanh-phi-hanh-la-muoi-nhuyen-sieu-cay-quyen-tay-ninh-i2342563807.html</v>
      </c>
      <c r="C7313" s="10" t="s">
        <v>7313</v>
      </c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>
      <c r="A7314" s="8">
        <v>12168.0</v>
      </c>
      <c r="B7314" s="9" t="str">
        <f>HYPERLINK("https://www.lazada.vn/products/hang-my-socol-hersheys-miniatures-158kg-180-vien-cua-my-i2885369805.html", "https://www.lazada.vn/products/hang-my-socol-hersheys-miniatures-158kg-180-vien-cua-my-i2885369805.html")</f>
        <v>https://www.lazada.vn/products/hang-my-socol-hersheys-miniatures-158kg-180-vien-cua-my-i2885369805.html</v>
      </c>
      <c r="C7314" s="10" t="s">
        <v>7314</v>
      </c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>
      <c r="A7315" s="8">
        <v>12169.0</v>
      </c>
      <c r="B7315" s="9" t="str">
        <f>HYPERLINK("https://www.lazada.vn/products/sirosyrup-mama-rosa-sam-dua-siro-golden-farm-sam-dua-700ml-i2473521439.html", "https://www.lazada.vn/products/sirosyrup-mama-rosa-sam-dua-siro-golden-farm-sam-dua-700ml-i2473521439.html")</f>
        <v>https://www.lazada.vn/products/sirosyrup-mama-rosa-sam-dua-siro-golden-farm-sam-dua-700ml-i2473521439.html</v>
      </c>
      <c r="C7315" s="10" t="s">
        <v>7315</v>
      </c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>
      <c r="A7316" s="8">
        <v>12170.0</v>
      </c>
      <c r="B7316" s="9" t="str">
        <f>HYPERLINK("https://www.lazada.vn/products/pho-bo-vifon-65g-goi-i2963473185.html", "https://www.lazada.vn/products/pho-bo-vifon-65g-goi-i2963473185.html")</f>
        <v>https://www.lazada.vn/products/pho-bo-vifon-65g-goi-i2963473185.html</v>
      </c>
      <c r="C7316" s="10" t="s">
        <v>7316</v>
      </c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>
      <c r="A7317" s="8">
        <v>12171.0</v>
      </c>
      <c r="B7317" s="9" t="str">
        <f>HYPERLINK("https://www.lazada.vn/products/thit-hop-bo-kho-tuyen-ky-mua-combo-4-hop-tang-1-hop-moi-hop-trong-luong-200-gram-i3006338411.html", "https://www.lazada.vn/products/thit-hop-bo-kho-tuyen-ky-mua-combo-4-hop-tang-1-hop-moi-hop-trong-luong-200-gram-i3006338411.html")</f>
        <v>https://www.lazada.vn/products/thit-hop-bo-kho-tuyen-ky-mua-combo-4-hop-tang-1-hop-moi-hop-trong-luong-200-gram-i3006338411.html</v>
      </c>
      <c r="C7317" s="10" t="s">
        <v>7317</v>
      </c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>
      <c r="A7318" s="8">
        <v>12172.0</v>
      </c>
      <c r="B7318" s="9" t="str">
        <f>HYPERLINK("https://www.lazada.vn/products/bot-suong-sao-den-krubo-goi-500g-nguyen-lieu-lam-thach-den-thach-trai-cay-thach-dai-deo-lam-topping-tra-suache-i2093317397.html", "https://www.lazada.vn/products/bot-suong-sao-den-krubo-goi-500g-nguyen-lieu-lam-thach-den-thach-trai-cay-thach-dai-deo-lam-topping-tra-suache-i2093317397.html")</f>
        <v>https://www.lazada.vn/products/bot-suong-sao-den-krubo-goi-500g-nguyen-lieu-lam-thach-den-thach-trai-cay-thach-dai-deo-lam-topping-tra-suache-i2093317397.html</v>
      </c>
      <c r="C7318" s="10" t="s">
        <v>7318</v>
      </c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>
      <c r="A7319" s="8">
        <v>12173.0</v>
      </c>
      <c r="B7319" s="9" t="str">
        <f>HYPERLINK("https://www.lazada.vn/products/bia-thu-cong-east-west-pale-ale-hop-6-chai-330ml-i1633286079.html", "https://www.lazada.vn/products/bia-thu-cong-east-west-pale-ale-hop-6-chai-330ml-i1633286079.html")</f>
        <v>https://www.lazada.vn/products/bia-thu-cong-east-west-pale-ale-hop-6-chai-330ml-i1633286079.html</v>
      </c>
      <c r="C7319" s="10" t="s">
        <v>7319</v>
      </c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>
      <c r="A7320" s="8">
        <v>12174.0</v>
      </c>
      <c r="B7320" s="9" t="str">
        <f>HYPERLINK("https://www.lazada.vn/products/chinh-hang-ruou-vang-do-vivo-shiraz-14-750ml-i2515891152.html", "https://www.lazada.vn/products/chinh-hang-ruou-vang-do-vivo-shiraz-14-750ml-i2515891152.html")</f>
        <v>https://www.lazada.vn/products/chinh-hang-ruou-vang-do-vivo-shiraz-14-750ml-i2515891152.html</v>
      </c>
      <c r="C7320" s="10" t="s">
        <v>7320</v>
      </c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>
      <c r="A7321" s="8">
        <v>12175.0</v>
      </c>
      <c r="B7321" s="9" t="str">
        <f>HYPERLINK("https://www.lazada.vn/products/thung-24-lon-bia-tiger-crystal-coolpack-250mllon-i2861294533.html", "https://www.lazada.vn/products/thung-24-lon-bia-tiger-crystal-coolpack-250mllon-i2861294533.html")</f>
        <v>https://www.lazada.vn/products/thung-24-lon-bia-tiger-crystal-coolpack-250mllon-i2861294533.html</v>
      </c>
      <c r="C7321" s="10" t="s">
        <v>7321</v>
      </c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>
      <c r="A7322" s="8">
        <v>12176.0</v>
      </c>
      <c r="B7322" s="9" t="str">
        <f>HYPERLINK("https://www.lazada.vn/products/thit-hop-dongwon-han-quoc-340g-i1766356895.html", "https://www.lazada.vn/products/thit-hop-dongwon-han-quoc-340g-i1766356895.html")</f>
        <v>https://www.lazada.vn/products/thit-hop-dongwon-han-quoc-340g-i1766356895.html</v>
      </c>
      <c r="C7322" s="10" t="s">
        <v>7322</v>
      </c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>
      <c r="A7323" s="8">
        <v>12177.0</v>
      </c>
      <c r="B7323" s="9" t="str">
        <f>HYPERLINK("https://www.lazada.vn/products/moi-ra-mat-three-squirrels-dried-strawberry-chocolate-oats-blocks-50g-snack-dried-fruit-milk-block-mixture-dried-fruit-i2896690561.html", "https://www.lazada.vn/products/moi-ra-mat-three-squirrels-dried-strawberry-chocolate-oats-blocks-50g-snack-dried-fruit-milk-block-mixture-dried-fruit-i2896690561.html")</f>
        <v>https://www.lazada.vn/products/moi-ra-mat-three-squirrels-dried-strawberry-chocolate-oats-blocks-50g-snack-dried-fruit-milk-block-mixture-dried-fruit-i2896690561.html</v>
      </c>
      <c r="C7323" s="10" t="s">
        <v>7323</v>
      </c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>
      <c r="A7324" s="8">
        <v>12178.0</v>
      </c>
      <c r="B7324" s="9" t="str">
        <f>HYPERLINK("https://www.lazada.vn/products/1kg-duong-thot-not-nguyen-chat-i1763753772.html", "https://www.lazada.vn/products/1kg-duong-thot-not-nguyen-chat-i1763753772.html")</f>
        <v>https://www.lazada.vn/products/1kg-duong-thot-not-nguyen-chat-i1763753772.html</v>
      </c>
      <c r="C7324" s="10" t="s">
        <v>7324</v>
      </c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>
      <c r="A7325" s="8">
        <v>12179.0</v>
      </c>
      <c r="B7325" s="9" t="str">
        <f>HYPERLINK("https://www.lazada.vn/products/thung-24-lon-bia-tiger-coolpack-250ml-i2861283757.html", "https://www.lazada.vn/products/thung-24-lon-bia-tiger-coolpack-250ml-i2861283757.html")</f>
        <v>https://www.lazada.vn/products/thung-24-lon-bia-tiger-coolpack-250ml-i2861283757.html</v>
      </c>
      <c r="C7325" s="10" t="s">
        <v>7325</v>
      </c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>
      <c r="A7326" s="8">
        <v>12180.0</v>
      </c>
      <c r="B7326" s="9" t="str">
        <f>HYPERLINK("https://www.lazada.vn/products/tao-mau-do-cho-nem-chua-xuc-xich-vmc-3s-i1758813675.html", "https://www.lazada.vn/products/tao-mau-do-cho-nem-chua-xuc-xich-vmc-3s-i1758813675.html")</f>
        <v>https://www.lazada.vn/products/tao-mau-do-cho-nem-chua-xuc-xich-vmc-3s-i1758813675.html</v>
      </c>
      <c r="C7326" s="10" t="s">
        <v>7326</v>
      </c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>
      <c r="A7327" s="8">
        <v>12181.0</v>
      </c>
      <c r="B7327" s="9" t="str">
        <f>HYPERLINK("https://www.lazada.vn/products/hat-giong-bong-cai-trang-tu-cuon-05gr-rau-mang-loi-suc-khoe-de-che-bien-i1756894837.html", "https://www.lazada.vn/products/hat-giong-bong-cai-trang-tu-cuon-05gr-rau-mang-loi-suc-khoe-de-che-bien-i1756894837.html")</f>
        <v>https://www.lazada.vn/products/hat-giong-bong-cai-trang-tu-cuon-05gr-rau-mang-loi-suc-khoe-de-che-bien-i1756894837.html</v>
      </c>
      <c r="C7327" s="10" t="s">
        <v>7327</v>
      </c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>
      <c r="A7328" s="8">
        <v>12182.0</v>
      </c>
      <c r="B7328" s="9" t="str">
        <f>HYPERLINK("https://www.lazada.vn/products/thit-hop-heo-ham-tieu-hat-tuyen-ky-mua-combo-4-hop-tang-1-hop-moi-hop-200-gram-i3006316473.html", "https://www.lazada.vn/products/thit-hop-heo-ham-tieu-hat-tuyen-ky-mua-combo-4-hop-tang-1-hop-moi-hop-200-gram-i3006316473.html")</f>
        <v>https://www.lazada.vn/products/thit-hop-heo-ham-tieu-hat-tuyen-ky-mua-combo-4-hop-tang-1-hop-moi-hop-200-gram-i3006316473.html</v>
      </c>
      <c r="C7328" s="10" t="s">
        <v>7328</v>
      </c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>
      <c r="A7329" s="8">
        <v>12183.0</v>
      </c>
      <c r="B7329" s="9" t="str">
        <f>HYPERLINK("https://www.lazada.vn/products/set-thap-coca-bao-gom-coca-lu-i2204237988.html", "https://www.lazada.vn/products/set-thap-coca-bao-gom-coca-lu-i2204237988.html")</f>
        <v>https://www.lazada.vn/products/set-thap-coca-bao-gom-coca-lu-i2204237988.html</v>
      </c>
      <c r="C7329" s="10" t="s">
        <v>7329</v>
      </c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>
      <c r="A7330" s="8">
        <v>12184.0</v>
      </c>
      <c r="B7330" s="9" t="str">
        <f>HYPERLINK("https://www.lazada.vn/products/combo-3-goi-mi-an-lien-miliket-sa-te-goi-65gr-i2960968121.html", "https://www.lazada.vn/products/combo-3-goi-mi-an-lien-miliket-sa-te-goi-65gr-i2960968121.html")</f>
        <v>https://www.lazada.vn/products/combo-3-goi-mi-an-lien-miliket-sa-te-goi-65gr-i2960968121.html</v>
      </c>
      <c r="C7330" s="10" t="s">
        <v>7330</v>
      </c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>
      <c r="A7331" s="8">
        <v>12185.0</v>
      </c>
      <c r="B7331" s="9" t="str">
        <f>HYPERLINK("https://www.lazada.vn/products/ruou-vang-nhap-khau-uc-olivia-i2514583639.html", "https://www.lazada.vn/products/ruou-vang-nhap-khau-uc-olivia-i2514583639.html")</f>
        <v>https://www.lazada.vn/products/ruou-vang-nhap-khau-uc-olivia-i2514583639.html</v>
      </c>
      <c r="C7331" s="10" t="s">
        <v>7331</v>
      </c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>
      <c r="A7332" s="8">
        <v>12186.0</v>
      </c>
      <c r="B7332" s="9" t="str">
        <f>HYPERLINK("https://www.lazada.vn/products/thach-zai-zai-tui-1kg-zai-zai-vi-tu-chon-hang-cong-ty-duc-hanh-an-vat-i2092737650.html", "https://www.lazada.vn/products/thach-zai-zai-tui-1kg-zai-zai-vi-tu-chon-hang-cong-ty-duc-hanh-an-vat-i2092737650.html")</f>
        <v>https://www.lazada.vn/products/thach-zai-zai-tui-1kg-zai-zai-vi-tu-chon-hang-cong-ty-duc-hanh-an-vat-i2092737650.html</v>
      </c>
      <c r="C7332" s="10" t="s">
        <v>7332</v>
      </c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>
      <c r="A7333" s="8">
        <v>12187.0</v>
      </c>
      <c r="B7333" s="9" t="str">
        <f>HYPERLINK("https://www.lazada.vn/products/combo-2-hop-banh-quy-gion-vi-trung-muoi-yoko-thuong-hieu-sbt250gr1-hop-i2853554074.html", "https://www.lazada.vn/products/combo-2-hop-banh-quy-gion-vi-trung-muoi-yoko-thuong-hieu-sbt250gr1-hop-i2853554074.html")</f>
        <v>https://www.lazada.vn/products/combo-2-hop-banh-quy-gion-vi-trung-muoi-yoko-thuong-hieu-sbt250gr1-hop-i2853554074.html</v>
      </c>
      <c r="C7333" s="10" t="s">
        <v>7333</v>
      </c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>
      <c r="A7334" s="8">
        <v>12188.0</v>
      </c>
      <c r="B7334" s="9" t="str">
        <f>HYPERLINK("https://www.lazada.vn/products/bot-ngu-coc-dinh-duong-cao-cap-nesvita-2-loai-co-duong-va-it-duong-moi-nestle-i1468655346.html", "https://www.lazada.vn/products/bot-ngu-coc-dinh-duong-cao-cap-nesvita-2-loai-co-duong-va-it-duong-moi-nestle-i1468655346.html")</f>
        <v>https://www.lazada.vn/products/bot-ngu-coc-dinh-duong-cao-cap-nesvita-2-loai-co-duong-va-it-duong-moi-nestle-i1468655346.html</v>
      </c>
      <c r="C7334" s="10" t="s">
        <v>7334</v>
      </c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>
      <c r="A7335" s="8">
        <v>12189.0</v>
      </c>
      <c r="B7335" s="9" t="str">
        <f>HYPERLINK("https://www.lazada.vn/products/1-loc-nuoc-tang-luc-sting-vi-dau-tay-chai-330-ml-i2183999591.html", "https://www.lazada.vn/products/1-loc-nuoc-tang-luc-sting-vi-dau-tay-chai-330-ml-i2183999591.html")</f>
        <v>https://www.lazada.vn/products/1-loc-nuoc-tang-luc-sting-vi-dau-tay-chai-330-ml-i2183999591.html</v>
      </c>
      <c r="C7335" s="10" t="s">
        <v>7335</v>
      </c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>
      <c r="A7336" s="8">
        <v>12190.0</v>
      </c>
      <c r="B7336" s="9" t="str">
        <f>HYPERLINK("https://www.lazada.vn/products/combo-3-goi-bim-bim-khoai-tay-mai-tonmai-ngoi-goi-300g-thom-ngon-gion-cay-sieu-hap-dan-snack-khoai-tay-vi-man-i2673363442.html", "https://www.lazada.vn/products/combo-3-goi-bim-bim-khoai-tay-mai-tonmai-ngoi-goi-300g-thom-ngon-gion-cay-sieu-hap-dan-snack-khoai-tay-vi-man-i2673363442.html")</f>
        <v>https://www.lazada.vn/products/combo-3-goi-bim-bim-khoai-tay-mai-tonmai-ngoi-goi-300g-thom-ngon-gion-cay-sieu-hap-dan-snack-khoai-tay-vi-man-i2673363442.html</v>
      </c>
      <c r="C7336" s="10" t="s">
        <v>7336</v>
      </c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>
      <c r="A7337" s="8">
        <v>12191.0</v>
      </c>
      <c r="B7337" s="9" t="str">
        <f>HYPERLINK("https://www.lazada.vn/products/combo-mut-tet-mut-gung-mut-dua-cha-la-o-mai-man-me-xi-muoi-doa-xi-muoi-khoai-lan-say-deo-i2893828452.html", "https://www.lazada.vn/products/combo-mut-tet-mut-gung-mut-dua-cha-la-o-mai-man-me-xi-muoi-doa-xi-muoi-khoai-lan-say-deo-i2893828452.html")</f>
        <v>https://www.lazada.vn/products/combo-mut-tet-mut-gung-mut-dua-cha-la-o-mai-man-me-xi-muoi-doa-xi-muoi-khoai-lan-say-deo-i2893828452.html</v>
      </c>
      <c r="C7337" s="10" t="s">
        <v>7337</v>
      </c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>
      <c r="A7338" s="8">
        <v>12192.0</v>
      </c>
      <c r="B7338" s="9" t="str">
        <f>HYPERLINK("https://www.lazada.vn/products/1kg-nui-ong-ngan-sadec-si-toan-quoc-i1756684058.html", "https://www.lazada.vn/products/1kg-nui-ong-ngan-sadec-si-toan-quoc-i1756684058.html")</f>
        <v>https://www.lazada.vn/products/1kg-nui-ong-ngan-sadec-si-toan-quoc-i1756684058.html</v>
      </c>
      <c r="C7338" s="10" t="s">
        <v>7338</v>
      </c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>
      <c r="A7339" s="8">
        <v>12193.0</v>
      </c>
      <c r="B7339" s="9" t="str">
        <f>HYPERLINK("https://www.lazada.vn/products/bot-chuoi-xanh-hop-500g-nguyen-chat-100-i2652004075.html", "https://www.lazada.vn/products/bot-chuoi-xanh-hop-500g-nguyen-chat-100-i2652004075.html")</f>
        <v>https://www.lazada.vn/products/bot-chuoi-xanh-hop-500g-nguyen-chat-100-i2652004075.html</v>
      </c>
      <c r="C7339" s="10" t="s">
        <v>7339</v>
      </c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>
      <c r="A7340" s="8">
        <v>12194.0</v>
      </c>
      <c r="B7340" s="9" t="str">
        <f>HYPERLINK("https://www.lazada.vn/products/bia-kaiserin-gold-lager-date-moi-i2860635264.html", "https://www.lazada.vn/products/bia-kaiserin-gold-lager-date-moi-i2860635264.html")</f>
        <v>https://www.lazada.vn/products/bia-kaiserin-gold-lager-date-moi-i2860635264.html</v>
      </c>
      <c r="C7340" s="10" t="s">
        <v>7340</v>
      </c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>
      <c r="A7341" s="8">
        <v>12195.0</v>
      </c>
      <c r="B7341" s="9" t="str">
        <f>HYPERLINK("https://www.lazada.vn/products/1-thung-gom-24-ly-modern-lau-tha-tom-65g-i3004573686.html", "https://www.lazada.vn/products/1-thung-gom-24-ly-modern-lau-tha-tom-65g-i3004573686.html")</f>
        <v>https://www.lazada.vn/products/1-thung-gom-24-ly-modern-lau-tha-tom-65g-i3004573686.html</v>
      </c>
      <c r="C7341" s="10" t="s">
        <v>7341</v>
      </c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>
      <c r="A7342" s="8">
        <v>12196.0</v>
      </c>
      <c r="B7342" s="9" t="str">
        <f>HYPERLINK("https://www.lazada.vn/products/combo-khung-banh-trang-phoi-suong-quyen-tay-ninh-mong-cuon-top-mo-hanh-phi-muoi-nhuyen-sate-ca-ngon-i2342561629.html", "https://www.lazada.vn/products/combo-khung-banh-trang-phoi-suong-quyen-tay-ninh-mong-cuon-top-mo-hanh-phi-muoi-nhuyen-sate-ca-ngon-i2342561629.html")</f>
        <v>https://www.lazada.vn/products/combo-khung-banh-trang-phoi-suong-quyen-tay-ninh-mong-cuon-top-mo-hanh-phi-muoi-nhuyen-sate-ca-ngon-i2342561629.html</v>
      </c>
      <c r="C7342" s="10" t="s">
        <v>7342</v>
      </c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>
      <c r="A7343" s="8">
        <v>12197.0</v>
      </c>
      <c r="B7343" s="9" t="str">
        <f>HYPERLINK("https://www.lazada.vn/products/bia-budweiser-budvar-lon-500ml-i1630149976.html", "https://www.lazada.vn/products/bia-budweiser-budvar-lon-500ml-i1630149976.html")</f>
        <v>https://www.lazada.vn/products/bia-budweiser-budvar-lon-500ml-i1630149976.html</v>
      </c>
      <c r="C7343" s="10" t="s">
        <v>7343</v>
      </c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>
      <c r="A7344" s="8">
        <v>12198.0</v>
      </c>
      <c r="B7344" s="9" t="str">
        <f>HYPERLINK("https://www.lazada.vn/products/sirosyrup-monin-vo-cam-monin-blue-curacao-700ml-i2473510605.html", "https://www.lazada.vn/products/sirosyrup-monin-vo-cam-monin-blue-curacao-700ml-i2473510605.html")</f>
        <v>https://www.lazada.vn/products/sirosyrup-monin-vo-cam-monin-blue-curacao-700ml-i2473510605.html</v>
      </c>
      <c r="C7344" s="10" t="s">
        <v>7344</v>
      </c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>
      <c r="A7345" s="8">
        <v>12199.0</v>
      </c>
      <c r="B7345" s="9" t="str">
        <f>HYPERLINK("https://www.lazada.vn/products/1-thung-vo-banh-roti-tortillas-wraps-mission-10-goi-i2601569688.html", "https://www.lazada.vn/products/1-thung-vo-banh-roti-tortillas-wraps-mission-10-goi-i2601569688.html")</f>
        <v>https://www.lazada.vn/products/1-thung-vo-banh-roti-tortillas-wraps-mission-10-goi-i2601569688.html</v>
      </c>
      <c r="C7345" s="10" t="s">
        <v>7345</v>
      </c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>
      <c r="A7346" s="8">
        <v>12200.0</v>
      </c>
      <c r="B7346" s="9" t="str">
        <f>HYPERLINK("https://www.lazada.vn/products/500gr-keo-nhong-socola-i2678184227.html", "https://www.lazada.vn/products/500gr-keo-nhong-socola-i2678184227.html")</f>
        <v>https://www.lazada.vn/products/500gr-keo-nhong-socola-i2678184227.html</v>
      </c>
      <c r="C7346" s="10" t="s">
        <v>7346</v>
      </c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>
      <c r="A7347" s="8">
        <v>12201.0</v>
      </c>
      <c r="B7347" s="9" t="str">
        <f>HYPERLINK("https://www.lazada.vn/products/3-hop-ca-phe-pho-ly-lon-1-hop-10-goi-ca-phe-i2660145799.html", "https://www.lazada.vn/products/3-hop-ca-phe-pho-ly-lon-1-hop-10-goi-ca-phe-i2660145799.html")</f>
        <v>https://www.lazada.vn/products/3-hop-ca-phe-pho-ly-lon-1-hop-10-goi-ca-phe-i2660145799.html</v>
      </c>
      <c r="C7347" s="10" t="s">
        <v>7347</v>
      </c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>
      <c r="A7348" s="8">
        <v>12202.0</v>
      </c>
      <c r="B7348" s="9" t="str">
        <f>HYPERLINK("https://www.lazada.vn/products/hang-tang-khong-ban-ly-mi-kokomi-i3001638174.html", "https://www.lazada.vn/products/hang-tang-khong-ban-ly-mi-kokomi-i3001638174.html")</f>
        <v>https://www.lazada.vn/products/hang-tang-khong-ban-ly-mi-kokomi-i3001638174.html</v>
      </c>
      <c r="C7348" s="10" t="s">
        <v>7348</v>
      </c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>
      <c r="A7349" s="8">
        <v>12203.0</v>
      </c>
      <c r="B7349" s="9" t="str">
        <f>HYPERLINK("https://www.lazada.vn/products/banh-trang-deo-sate-toi-muoi-nhuyen-sieu-ngon-sieu-cay-banh-trang-quyen-tay-ninh-i2342475819.html", "https://www.lazada.vn/products/banh-trang-deo-sate-toi-muoi-nhuyen-sieu-ngon-sieu-cay-banh-trang-quyen-tay-ninh-i2342475819.html")</f>
        <v>https://www.lazada.vn/products/banh-trang-deo-sate-toi-muoi-nhuyen-sieu-ngon-sieu-cay-banh-trang-quyen-tay-ninh-i2342475819.html</v>
      </c>
      <c r="C7349" s="10" t="s">
        <v>7349</v>
      </c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>
      <c r="A7350" s="8">
        <v>12204.0</v>
      </c>
      <c r="B7350" s="9" t="str">
        <f>HYPERLINK("https://www.lazada.vn/products/bia-sapporo-goku-zero-beer-sapporo-goku-zero-i1590486920.html", "https://www.lazada.vn/products/bia-sapporo-goku-zero-beer-sapporo-goku-zero-i1590486920.html")</f>
        <v>https://www.lazada.vn/products/bia-sapporo-goku-zero-beer-sapporo-goku-zero-i1590486920.html</v>
      </c>
      <c r="C7350" s="10" t="s">
        <v>7350</v>
      </c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>
      <c r="A7351" s="8">
        <v>12205.0</v>
      </c>
      <c r="B7351" s="9" t="str">
        <f>HYPERLINK("https://www.lazada.vn/products/banh-pia-hop-10-cai-nhan-dau-nhan-hieu-cong-phat-250g-i2663217445.html", "https://www.lazada.vn/products/banh-pia-hop-10-cai-nhan-dau-nhan-hieu-cong-phat-250g-i2663217445.html")</f>
        <v>https://www.lazada.vn/products/banh-pia-hop-10-cai-nhan-dau-nhan-hieu-cong-phat-250g-i2663217445.html</v>
      </c>
      <c r="C7351" s="10" t="s">
        <v>7351</v>
      </c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>
      <c r="A7352" s="8">
        <v>12206.0</v>
      </c>
      <c r="B7352" s="9" t="str">
        <f>HYPERLINK("https://www.lazada.vn/products/bia-kaiserin-gold-lager-date-moi-i2860430928.html", "https://www.lazada.vn/products/bia-kaiserin-gold-lager-date-moi-i2860430928.html")</f>
        <v>https://www.lazada.vn/products/bia-kaiserin-gold-lager-date-moi-i2860430928.html</v>
      </c>
      <c r="C7352" s="10" t="s">
        <v>7352</v>
      </c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>
      <c r="A7353" s="8">
        <v>12207.0</v>
      </c>
      <c r="B7353" s="9" t="str">
        <f>HYPERLINK("https://www.lazada.vn/products/banh-mi-trung-tyti-trang-an-162g-shop-thai-ha-i2600145535.html", "https://www.lazada.vn/products/banh-mi-trung-tyti-trang-an-162g-shop-thai-ha-i2600145535.html")</f>
        <v>https://www.lazada.vn/products/banh-mi-trung-tyti-trang-an-162g-shop-thai-ha-i2600145535.html</v>
      </c>
      <c r="C7353" s="10" t="s">
        <v>7353</v>
      </c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>
      <c r="A7354" s="8">
        <v>12208.0</v>
      </c>
      <c r="B7354" s="9" t="str">
        <f>HYPERLINK("https://www.lazada.vn/products/500gr-keo-soi-da-i2678172204.html", "https://www.lazada.vn/products/500gr-keo-soi-da-i2678172204.html")</f>
        <v>https://www.lazada.vn/products/500gr-keo-soi-da-i2678172204.html</v>
      </c>
      <c r="C7354" s="10" t="s">
        <v>7354</v>
      </c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>
      <c r="A7355" s="8">
        <v>12209.0</v>
      </c>
      <c r="B7355" s="9" t="str">
        <f>HYPERLINK("https://www.lazada.vn/products/nui-ong-tre-penne-sot-nam-firma-goi-175g-i2996839170.html", "https://www.lazada.vn/products/nui-ong-tre-penne-sot-nam-firma-goi-175g-i2996839170.html")</f>
        <v>https://www.lazada.vn/products/nui-ong-tre-penne-sot-nam-firma-goi-175g-i2996839170.html</v>
      </c>
      <c r="C7355" s="10" t="s">
        <v>7355</v>
      </c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>
      <c r="A7356" s="8">
        <v>12210.0</v>
      </c>
      <c r="B7356" s="9" t="str">
        <f>HYPERLINK("https://www.lazada.vn/products/hop-30-goi-bot-pha-nuoc-trai-cay-skittles-zero-sugar-variety-pack-singles-to-go-powdered-drink-mix-khong-duong-caffeine-beo-low-calorie-86g-i2651956603.html", "https://www.lazada.vn/products/hop-30-goi-bot-pha-nuoc-trai-cay-skittles-zero-sugar-variety-pack-singles-to-go-powdered-drink-mix-khong-duong-caffeine-beo-low-calorie-86g-i2651956603.html")</f>
        <v>https://www.lazada.vn/products/hop-30-goi-bot-pha-nuoc-trai-cay-skittles-zero-sugar-variety-pack-singles-to-go-powdered-drink-mix-khong-duong-caffeine-beo-low-calorie-86g-i2651956603.html</v>
      </c>
      <c r="C7356" s="10" t="s">
        <v>7356</v>
      </c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>
      <c r="A7357" s="8">
        <v>12211.0</v>
      </c>
      <c r="B7357" s="9" t="str">
        <f>HYPERLINK("https://www.lazada.vn/products/thung-6-tui-cat-dau-nanh-lapaw-cho-meo-huong-keo-lollipop-sua-dao-tofu-mix-dat-set-tofu-mix-sap-7l-i3006313981.html", "https://www.lazada.vn/products/thung-6-tui-cat-dau-nanh-lapaw-cho-meo-huong-keo-lollipop-sua-dao-tofu-mix-dat-set-tofu-mix-sap-7l-i3006313981.html")</f>
        <v>https://www.lazada.vn/products/thung-6-tui-cat-dau-nanh-lapaw-cho-meo-huong-keo-lollipop-sua-dao-tofu-mix-dat-set-tofu-mix-sap-7l-i3006313981.html</v>
      </c>
      <c r="C7357" s="10" t="s">
        <v>7357</v>
      </c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>
      <c r="A7358" s="8">
        <v>12212.0</v>
      </c>
      <c r="B7358" s="9" t="str">
        <f>HYPERLINK("https://www.lazada.vn/products/nuoc-ngot-coca-cola-thung-24-chai-loai-600ml-i2200039162.html", "https://www.lazada.vn/products/nuoc-ngot-coca-cola-thung-24-chai-loai-600ml-i2200039162.html")</f>
        <v>https://www.lazada.vn/products/nuoc-ngot-coca-cola-thung-24-chai-loai-600ml-i2200039162.html</v>
      </c>
      <c r="C7358" s="10" t="s">
        <v>7358</v>
      </c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>
      <c r="A7359" s="8">
        <v>12213.0</v>
      </c>
      <c r="B7359" s="9" t="str">
        <f>HYPERLINK("https://www.lazada.vn/products/xuat-khau-500gr-pho-ky-vifon-tinh-hoa-soi-gao-viet-nam-i2960909099.html", "https://www.lazada.vn/products/xuat-khau-500gr-pho-ky-vifon-tinh-hoa-soi-gao-viet-nam-i2960909099.html")</f>
        <v>https://www.lazada.vn/products/xuat-khau-500gr-pho-ky-vifon-tinh-hoa-soi-gao-viet-nam-i2960909099.html</v>
      </c>
      <c r="C7359" s="10" t="s">
        <v>7359</v>
      </c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>
      <c r="A7360" s="8">
        <v>12214.0</v>
      </c>
      <c r="B7360" s="9" t="str">
        <f>HYPERLINK("https://www.lazada.vn/products/vang-barefoot-750ml-my-i2513110746.html", "https://www.lazada.vn/products/vang-barefoot-750ml-my-i2513110746.html")</f>
        <v>https://www.lazada.vn/products/vang-barefoot-750ml-my-i2513110746.html</v>
      </c>
      <c r="C7360" s="10" t="s">
        <v>7360</v>
      </c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>
      <c r="A7361" s="8">
        <v>12215.0</v>
      </c>
      <c r="B7361" s="9" t="str">
        <f>HYPERLINK("https://www.lazada.vn/products/combo-2-hop-banh-quy-gion-sau-rieng-yoko-thuong-hieu-sbt250gr1-hop-i2853448297.html", "https://www.lazada.vn/products/combo-2-hop-banh-quy-gion-sau-rieng-yoko-thuong-hieu-sbt250gr1-hop-i2853448297.html")</f>
        <v>https://www.lazada.vn/products/combo-2-hop-banh-quy-gion-sau-rieng-yoko-thuong-hieu-sbt250gr1-hop-i2853448297.html</v>
      </c>
      <c r="C7361" s="10" t="s">
        <v>7361</v>
      </c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>
      <c r="A7362" s="8">
        <v>12216.0</v>
      </c>
      <c r="B7362" s="9" t="str">
        <f>HYPERLINK("https://www.lazada.vn/products/mit-say-gion-khong-duong-dong-thap-thuong-hang-dat-tieu-chuan-xuat-khau-lazen-i2892629786.html", "https://www.lazada.vn/products/mit-say-gion-khong-duong-dong-thap-thuong-hang-dat-tieu-chuan-xuat-khau-lazen-i2892629786.html")</f>
        <v>https://www.lazada.vn/products/mit-say-gion-khong-duong-dong-thap-thuong-hang-dat-tieu-chuan-xuat-khau-lazen-i2892629786.html</v>
      </c>
      <c r="C7362" s="10" t="s">
        <v>7362</v>
      </c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>
      <c r="A7363" s="8">
        <v>12217.0</v>
      </c>
      <c r="B7363" s="9" t="str">
        <f>HYPERLINK("https://www.lazada.vn/products/bot-ca-cao-nguyen-chat-organic-tu-trang-trai-daklak-linh-trang-dinh-duong-thom-ngon-dam-da-giup-giam-can-nguyen-lieu-nau-an-banh-chocolate-gia-tai-xuong-i1466835655.html", "https://www.lazada.vn/products/bot-ca-cao-nguyen-chat-organic-tu-trang-trai-daklak-linh-trang-dinh-duong-thom-ngon-dam-da-giup-giam-can-nguyen-lieu-nau-an-banh-chocolate-gia-tai-xuong-i1466835655.html")</f>
        <v>https://www.lazada.vn/products/bot-ca-cao-nguyen-chat-organic-tu-trang-trai-daklak-linh-trang-dinh-duong-thom-ngon-dam-da-giup-giam-can-nguyen-lieu-nau-an-banh-chocolate-gia-tai-xuong-i1466835655.html</v>
      </c>
      <c r="C7363" s="10" t="s">
        <v>7363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>
      <c r="A7364" s="8">
        <v>12218.0</v>
      </c>
      <c r="B7364" s="9" t="str">
        <f>HYPERLINK("https://www.lazada.vn/products/1-loc-nuoc-tang-luc-sting-vi-dau-tay-lon-330-ml-i2183993633.html", "https://www.lazada.vn/products/1-loc-nuoc-tang-luc-sting-vi-dau-tay-lon-330-ml-i2183993633.html")</f>
        <v>https://www.lazada.vn/products/1-loc-nuoc-tang-luc-sting-vi-dau-tay-lon-330-ml-i2183993633.html</v>
      </c>
      <c r="C7364" s="10" t="s">
        <v>7364</v>
      </c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>
      <c r="A7365" s="8">
        <v>12219.0</v>
      </c>
      <c r="B7365" s="9" t="str">
        <f>HYPERLINK("https://www.lazada.vn/products/1kg-nui-xoan-trang-sadec-si-toan-quoc-i1756630545.html", "https://www.lazada.vn/products/1kg-nui-xoan-trang-sadec-si-toan-quoc-i1756630545.html")</f>
        <v>https://www.lazada.vn/products/1kg-nui-xoan-trang-sadec-si-toan-quoc-i1756630545.html</v>
      </c>
      <c r="C7365" s="10" t="s">
        <v>7365</v>
      </c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>
      <c r="A7366" s="8">
        <v>12220.0</v>
      </c>
      <c r="B7366" s="9" t="str">
        <f>HYPERLINK("https://www.lazada.vn/products/coop-online-bia-budweiser-lon-500ml-i2860362284.html", "https://www.lazada.vn/products/coop-online-bia-budweiser-lon-500ml-i2860362284.html")</f>
        <v>https://www.lazada.vn/products/coop-online-bia-budweiser-lon-500ml-i2860362284.html</v>
      </c>
      <c r="C7366" s="10" t="s">
        <v>7366</v>
      </c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>
      <c r="A7367" s="8">
        <v>12221.0</v>
      </c>
      <c r="B7367" s="9" t="str">
        <f>HYPERLINK("https://www.lazada.vn/products/coop-online-bia-tiger-lon-cao-330ml-i2860357267.html", "https://www.lazada.vn/products/coop-online-bia-tiger-lon-cao-330ml-i2860357267.html")</f>
        <v>https://www.lazada.vn/products/coop-online-bia-tiger-lon-cao-330ml-i2860357267.html</v>
      </c>
      <c r="C7367" s="10" t="s">
        <v>7367</v>
      </c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>
      <c r="A7368" s="8">
        <v>12222.0</v>
      </c>
      <c r="B7368" s="9" t="str">
        <f>HYPERLINK("https://www.lazada.vn/products/mang-tay-dong-lon-430g-i1756568299.html", "https://www.lazada.vn/products/mang-tay-dong-lon-430g-i1756568299.html")</f>
        <v>https://www.lazada.vn/products/mang-tay-dong-lon-430g-i1756568299.html</v>
      </c>
      <c r="C7368" s="10" t="s">
        <v>7368</v>
      </c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>
      <c r="A7369" s="8">
        <v>12223.0</v>
      </c>
      <c r="B7369" s="9" t="str">
        <f>HYPERLINK("https://www.lazada.vn/products/500gr-khoai-lang-say-deo-da-lat-sieu-ngon-i2891401211.html", "https://www.lazada.vn/products/500gr-khoai-lang-say-deo-da-lat-sieu-ngon-i2891401211.html")</f>
        <v>https://www.lazada.vn/products/500gr-khoai-lang-say-deo-da-lat-sieu-ngon-i2891401211.html</v>
      </c>
      <c r="C7369" s="10" t="s">
        <v>7369</v>
      </c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>
      <c r="A7370" s="8">
        <v>12224.0</v>
      </c>
      <c r="B7370" s="9" t="str">
        <f>HYPERLINK("https://www.lazada.vn/products/hcmthuc-uong-lua-mach-milo-1-day-10-goi-x-22g-i1465945833.html", "https://www.lazada.vn/products/hcmthuc-uong-lua-mach-milo-1-day-10-goi-x-22g-i1465945833.html")</f>
        <v>https://www.lazada.vn/products/hcmthuc-uong-lua-mach-milo-1-day-10-goi-x-22g-i1465945833.html</v>
      </c>
      <c r="C7370" s="10" t="s">
        <v>7370</v>
      </c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>
      <c r="A7371" s="8">
        <v>12225.0</v>
      </c>
      <c r="B7371" s="9" t="str">
        <f>HYPERLINK("https://www.lazada.vn/products/thach-zai-zai-tui-1kg-zai-zai-vi-tu-chon-hang-cong-ty-duc-hanh-haimyonline-i2091873096.html", "https://www.lazada.vn/products/thach-zai-zai-tui-1kg-zai-zai-vi-tu-chon-hang-cong-ty-duc-hanh-haimyonline-i2091873096.html")</f>
        <v>https://www.lazada.vn/products/thach-zai-zai-tui-1kg-zai-zai-vi-tu-chon-hang-cong-ty-duc-hanh-haimyonline-i2091873096.html</v>
      </c>
      <c r="C7371" s="10" t="s">
        <v>7371</v>
      </c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>
      <c r="A7372" s="8">
        <v>12226.0</v>
      </c>
      <c r="B7372" s="9" t="str">
        <f>HYPERLINK("https://www.lazada.vn/products/gia-re-khoai-tay-lon-slide-kinh-do-du-vi_65gr-150gr-i2672893003.html", "https://www.lazada.vn/products/gia-re-khoai-tay-lon-slide-kinh-do-du-vi_65gr-150gr-i2672893003.html")</f>
        <v>https://www.lazada.vn/products/gia-re-khoai-tay-lon-slide-kinh-do-du-vi_65gr-150gr-i2672893003.html</v>
      </c>
      <c r="C7372" s="10" t="s">
        <v>7372</v>
      </c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>
      <c r="A7373" s="8">
        <v>12227.0</v>
      </c>
      <c r="B7373" s="9" t="str">
        <f>HYPERLINK("https://www.lazada.vn/products/thach-trai-cay-orihiro-nhat-ban-i2091047297.html", "https://www.lazada.vn/products/thach-trai-cay-orihiro-nhat-ban-i2091047297.html")</f>
        <v>https://www.lazada.vn/products/thach-trai-cay-orihiro-nhat-ban-i2091047297.html</v>
      </c>
      <c r="C7373" s="10" t="s">
        <v>7373</v>
      </c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>
      <c r="A7374" s="8">
        <v>12228.0</v>
      </c>
      <c r="B7374" s="9" t="str">
        <f>HYPERLINK("https://www.lazada.vn/products/keo-cung-trai-cay-fox-nhieu-vi-goi-125g-k68-tknk-beegin-i2677260114.html", "https://www.lazada.vn/products/keo-cung-trai-cay-fox-nhieu-vi-goi-125g-k68-tknk-beegin-i2677260114.html")</f>
        <v>https://www.lazada.vn/products/keo-cung-trai-cay-fox-nhieu-vi-goi-125g-k68-tknk-beegin-i2677260114.html</v>
      </c>
      <c r="C7374" s="10" t="s">
        <v>7374</v>
      </c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>
      <c r="A7375" s="8">
        <v>12229.0</v>
      </c>
      <c r="B7375" s="9" t="str">
        <f>HYPERLINK("https://www.lazada.vn/products/hop-gold-cafe-pho-290g-10-goi-ca-phe-sua-vi-muot-ma-sanh-dam-vn-maccoffee-3-in-1-coffee-halal-i2659948991.html", "https://www.lazada.vn/products/hop-gold-cafe-pho-290g-10-goi-ca-phe-sua-vi-muot-ma-sanh-dam-vn-maccoffee-3-in-1-coffee-halal-i2659948991.html")</f>
        <v>https://www.lazada.vn/products/hop-gold-cafe-pho-290g-10-goi-ca-phe-sua-vi-muot-ma-sanh-dam-vn-maccoffee-3-in-1-coffee-halal-i2659948991.html</v>
      </c>
      <c r="C7375" s="10" t="s">
        <v>7375</v>
      </c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>
      <c r="A7376" s="8">
        <v>12230.0</v>
      </c>
      <c r="B7376" s="9" t="str">
        <f>HYPERLINK("https://www.lazada.vn/products/nui-macaroni-sot-pho-mai-firma-goi-175g-i2996832295.html", "https://www.lazada.vn/products/nui-macaroni-sot-pho-mai-firma-goi-175g-i2996832295.html")</f>
        <v>https://www.lazada.vn/products/nui-macaroni-sot-pho-mai-firma-goi-175g-i2996832295.html</v>
      </c>
      <c r="C7376" s="10" t="s">
        <v>7376</v>
      </c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>
      <c r="A7377" s="8">
        <v>12231.0</v>
      </c>
      <c r="B7377" s="9" t="str">
        <f>HYPERLINK("https://www.lazada.vn/products/bia-suntory-nhat-ban-khong-con-beer-suntory-i1568070049.html", "https://www.lazada.vn/products/bia-suntory-nhat-ban-khong-con-beer-suntory-i1568070049.html")</f>
        <v>https://www.lazada.vn/products/bia-suntory-nhat-ban-khong-con-beer-suntory-i1568070049.html</v>
      </c>
      <c r="C7377" s="10" t="s">
        <v>7377</v>
      </c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>
      <c r="A7378" s="8">
        <v>12232.0</v>
      </c>
      <c r="B7378" s="9" t="str">
        <f>HYPERLINK("https://www.lazada.vn/products/banh-trang-phoi-suong-deo-hanh-phi-muoi-nhuyen-cuon-cham-sieu-ngon-i2342458967.html", "https://www.lazada.vn/products/banh-trang-phoi-suong-deo-hanh-phi-muoi-nhuyen-cuon-cham-sieu-ngon-i2342458967.html")</f>
        <v>https://www.lazada.vn/products/banh-trang-phoi-suong-deo-hanh-phi-muoi-nhuyen-cuon-cham-sieu-ngon-i2342458967.html</v>
      </c>
      <c r="C7378" s="10" t="s">
        <v>7378</v>
      </c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>
      <c r="A7379" s="8">
        <v>12233.0</v>
      </c>
      <c r="B7379" s="9" t="str">
        <f>HYPERLINK("https://www.lazada.vn/products/banh-bon-soi-thit-ga-vang-goi-lon-136g-co-8-goi-ben-trong-sieu-thi-lan-chi-i2600093495.html", "https://www.lazada.vn/products/banh-bon-soi-thit-ga-vang-goi-lon-136g-co-8-goi-ben-trong-sieu-thi-lan-chi-i2600093495.html")</f>
        <v>https://www.lazada.vn/products/banh-bon-soi-thit-ga-vang-goi-lon-136g-co-8-goi-ben-trong-sieu-thi-lan-chi-i2600093495.html</v>
      </c>
      <c r="C7379" s="10" t="s">
        <v>7379</v>
      </c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>
      <c r="A7380" s="8">
        <v>12234.0</v>
      </c>
      <c r="B7380" s="9" t="str">
        <f>HYPERLINK("https://www.lazada.vn/products/bot-chuoi-xanh-nguyen-chat-500g-i2651844632.html", "https://www.lazada.vn/products/bot-chuoi-xanh-nguyen-chat-500g-i2651844632.html")</f>
        <v>https://www.lazada.vn/products/bot-chuoi-xanh-nguyen-chat-500g-i2651844632.html</v>
      </c>
      <c r="C7380" s="10" t="s">
        <v>7380</v>
      </c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>
      <c r="A7381" s="8">
        <v>12235.0</v>
      </c>
      <c r="B7381" s="9" t="str">
        <f>HYPERLINK("https://www.lazada.vn/products/ca-ri-thai-do-mae-ploy-400gr-i3005786040.html", "https://www.lazada.vn/products/ca-ri-thai-do-mae-ploy-400gr-i3005786040.html")</f>
        <v>https://www.lazada.vn/products/ca-ri-thai-do-mae-ploy-400gr-i3005786040.html</v>
      </c>
      <c r="C7381" s="10" t="s">
        <v>7381</v>
      </c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>
      <c r="A7382" s="8">
        <v>12236.0</v>
      </c>
      <c r="B7382" s="9" t="str">
        <f>HYPERLINK("https://www.lazada.vn/products/nuoc-ngot-coca-cola-thung-24-chai-loai-390ml-i2199954239.html", "https://www.lazada.vn/products/nuoc-ngot-coca-cola-thung-24-chai-loai-390ml-i2199954239.html")</f>
        <v>https://www.lazada.vn/products/nuoc-ngot-coca-cola-thung-24-chai-loai-390ml-i2199954239.html</v>
      </c>
      <c r="C7382" s="10" t="s">
        <v>7382</v>
      </c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>
      <c r="A7383" s="8">
        <v>12237.0</v>
      </c>
      <c r="B7383" s="9" t="str">
        <f>HYPERLINK("https://www.lazada.vn/products/ruou-vang-dragon-f-14-750ml-i2512054160.html", "https://www.lazada.vn/products/ruou-vang-dragon-f-14-750ml-i2512054160.html")</f>
        <v>https://www.lazada.vn/products/ruou-vang-dragon-f-14-750ml-i2512054160.html</v>
      </c>
      <c r="C7383" s="10" t="s">
        <v>7383</v>
      </c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>
      <c r="A7384" s="8">
        <v>12238.0</v>
      </c>
      <c r="B7384" s="9" t="str">
        <f>HYPERLINK("https://www.lazada.vn/products/coop-online-mi-khoai-tay-omachi-tron-thit-xien-nuong-82g-i2860258545.html", "https://www.lazada.vn/products/coop-online-mi-khoai-tay-omachi-tron-thit-xien-nuong-82g-i2860258545.html")</f>
        <v>https://www.lazada.vn/products/coop-online-mi-khoai-tay-omachi-tron-thit-xien-nuong-82g-i2860258545.html</v>
      </c>
      <c r="C7384" s="10" t="s">
        <v>7384</v>
      </c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>
      <c r="A7385" s="8">
        <v>12239.0</v>
      </c>
      <c r="B7385" s="9" t="str">
        <f>HYPERLINK("https://www.lazada.vn/products/bot-cacao-sua-hieu-nesquik-chocolate-powder-nhap-khau-my-285gr-i1433505728.html", "https://www.lazada.vn/products/bot-cacao-sua-hieu-nesquik-chocolate-powder-nhap-khau-my-285gr-i1433505728.html")</f>
        <v>https://www.lazada.vn/products/bot-cacao-sua-hieu-nesquik-chocolate-powder-nhap-khau-my-285gr-i1433505728.html</v>
      </c>
      <c r="C7385" s="10" t="s">
        <v>7385</v>
      </c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>
      <c r="A7386" s="8">
        <v>12240.0</v>
      </c>
      <c r="B7386" s="9" t="str">
        <f>HYPERLINK("https://www.lazada.vn/products/khoai-lang-say-gion-vi-tu-nhien-500gram-i2891042764.html", "https://www.lazada.vn/products/khoai-lang-say-gion-vi-tu-nhien-500gram-i2891042764.html")</f>
        <v>https://www.lazada.vn/products/khoai-lang-say-gion-vi-tu-nhien-500gram-i2891042764.html</v>
      </c>
      <c r="C7386" s="10" t="s">
        <v>7386</v>
      </c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>
      <c r="A7387" s="8">
        <v>12241.0</v>
      </c>
      <c r="B7387" s="9" t="str">
        <f>HYPERLINK("https://www.lazada.vn/products/coop-online-bia-sapporo-premium-lon-330ml-i2860352273.html", "https://www.lazada.vn/products/coop-online-bia-sapporo-premium-lon-330ml-i2860352273.html")</f>
        <v>https://www.lazada.vn/products/coop-online-bia-sapporo-premium-lon-330ml-i2860352273.html</v>
      </c>
      <c r="C7387" s="10" t="s">
        <v>7387</v>
      </c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>
      <c r="A7388" s="8">
        <v>12242.0</v>
      </c>
      <c r="B7388" s="9" t="str">
        <f>HYPERLINK("https://www.lazada.vn/products/6-vat-pho-sa-dec-kho-480gram-dac-san-i1756428700.html", "https://www.lazada.vn/products/6-vat-pho-sa-dec-kho-480gram-dac-san-i1756428700.html")</f>
        <v>https://www.lazada.vn/products/6-vat-pho-sa-dec-kho-480gram-dac-san-i1756428700.html</v>
      </c>
      <c r="C7388" s="10" t="s">
        <v>7388</v>
      </c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>
      <c r="A7389" s="8">
        <v>12243.0</v>
      </c>
      <c r="B7389" s="9" t="str">
        <f>HYPERLINK("https://www.lazada.vn/products/6-lon-nuoc-tang-luc-carabao-i2180928968.html", "https://www.lazada.vn/products/6-lon-nuoc-tang-luc-carabao-i2180928968.html")</f>
        <v>https://www.lazada.vn/products/6-lon-nuoc-tang-luc-carabao-i2180928968.html</v>
      </c>
      <c r="C7389" s="10" t="s">
        <v>7389</v>
      </c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>
      <c r="A7390" s="8">
        <v>12244.0</v>
      </c>
      <c r="B7390" s="9" t="str">
        <f>HYPERLINK("https://www.lazada.vn/products/combo-2-hop-banh-quy-vi-gao-lut-happy-cookies-thuong-hieu-sbt250gr1-hop-i2853406775.html", "https://www.lazada.vn/products/combo-2-hop-banh-quy-vi-gao-lut-happy-cookies-thuong-hieu-sbt250gr1-hop-i2853406775.html")</f>
        <v>https://www.lazada.vn/products/combo-2-hop-banh-quy-vi-gao-lut-happy-cookies-thuong-hieu-sbt250gr1-hop-i2853406775.html</v>
      </c>
      <c r="C7390" s="10" t="s">
        <v>7390</v>
      </c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>
      <c r="A7391" s="8">
        <v>12245.0</v>
      </c>
      <c r="B7391" s="9" t="str">
        <f>HYPERLINK("https://www.lazada.vn/products/tach-le-bim-bim-bach-tuoc-nuong-cay-gion-rum-sieu-thom-ngon-goi-40g-snack-an-vat-noi-dia-trung-i2669304673.html", "https://www.lazada.vn/products/tach-le-bim-bim-bach-tuoc-nuong-cay-gion-rum-sieu-thom-ngon-goi-40g-snack-an-vat-noi-dia-trung-i2669304673.html")</f>
        <v>https://www.lazada.vn/products/tach-le-bim-bim-bach-tuoc-nuong-cay-gion-rum-sieu-thom-ngon-goi-40g-snack-an-vat-noi-dia-trung-i2669304673.html</v>
      </c>
      <c r="C7391" s="10" t="s">
        <v>7391</v>
      </c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>
      <c r="A7392" s="8">
        <v>12246.0</v>
      </c>
      <c r="B7392" s="9" t="str">
        <f>HYPERLINK("https://www.lazada.vn/products/keo-cung-trai-cay-fox-nhieu-vi-goi-125g-k68-beegin-mart-i2677209687.html", "https://www.lazada.vn/products/keo-cung-trai-cay-fox-nhieu-vi-goi-125g-k68-beegin-mart-i2677209687.html")</f>
        <v>https://www.lazada.vn/products/keo-cung-trai-cay-fox-nhieu-vi-goi-125g-k68-beegin-mart-i2677209687.html</v>
      </c>
      <c r="C7392" s="10" t="s">
        <v>7392</v>
      </c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>
      <c r="A7393" s="8">
        <v>12247.0</v>
      </c>
      <c r="B7393" s="9" t="str">
        <f>HYPERLINK("https://www.lazada.vn/products/thach-trai-cay-fruit-pudding-minion-goi-to-720gr-i2090109918.html", "https://www.lazada.vn/products/thach-trai-cay-fruit-pudding-minion-goi-to-720gr-i2090109918.html")</f>
        <v>https://www.lazada.vn/products/thach-trai-cay-fruit-pudding-minion-goi-to-720gr-i2090109918.html</v>
      </c>
      <c r="C7393" s="10" t="s">
        <v>7393</v>
      </c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>
      <c r="A7394" s="8">
        <v>12248.0</v>
      </c>
      <c r="B7394" s="9" t="str">
        <f>HYPERLINK("https://www.lazada.vn/products/keo-my-chinh-hang-10-vien-i2676972467.html", "https://www.lazada.vn/products/keo-my-chinh-hang-10-vien-i2676972467.html")</f>
        <v>https://www.lazada.vn/products/keo-my-chinh-hang-10-vien-i2676972467.html</v>
      </c>
      <c r="C7394" s="10" t="s">
        <v>7394</v>
      </c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>
      <c r="A7395" s="8">
        <v>12249.0</v>
      </c>
      <c r="B7395" s="9" t="str">
        <f>HYPERLINK("https://www.lazada.vn/products/banh-trang-xi-ke-tron-ca-theo-cap-do-sieu-thom-tom-cuc-ngon-i2342441900.html", "https://www.lazada.vn/products/banh-trang-xi-ke-tron-ca-theo-cap-do-sieu-thom-tom-cuc-ngon-i2342441900.html")</f>
        <v>https://www.lazada.vn/products/banh-trang-xi-ke-tron-ca-theo-cap-do-sieu-thom-tom-cuc-ngon-i2342441900.html</v>
      </c>
      <c r="C7395" s="10" t="s">
        <v>7395</v>
      </c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>
      <c r="A7396" s="8">
        <v>12250.0</v>
      </c>
      <c r="B7396" s="9" t="str">
        <f>HYPERLINK("https://www.lazada.vn/products/1kg-thach-zai-zai-duc-hanh-mix-vi-sieu-hot-ngon-hon-khi-de-lanh-do-an-vat-an-vat-online-uy-tin-i2089088287.html", "https://www.lazada.vn/products/1kg-thach-zai-zai-duc-hanh-mix-vi-sieu-hot-ngon-hon-khi-de-lanh-do-an-vat-an-vat-online-uy-tin-i2089088287.html")</f>
        <v>https://www.lazada.vn/products/1kg-thach-zai-zai-duc-hanh-mix-vi-sieu-hot-ngon-hon-khi-de-lanh-do-an-vat-an-vat-online-uy-tin-i2089088287.html</v>
      </c>
      <c r="C7396" s="10" t="s">
        <v>7396</v>
      </c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>
      <c r="A7397" s="8">
        <v>12251.0</v>
      </c>
      <c r="B7397" s="9" t="str">
        <f>HYPERLINK("https://www.lazada.vn/products/ca-phe-sau-rieng-rockcafe-tui-30-goi-x-20-g-rock-cafe-vi-sau-rieng-mau-moi-white-coffee-ruvask-i2659396158.html", "https://www.lazada.vn/products/ca-phe-sau-rieng-rockcafe-tui-30-goi-x-20-g-rock-cafe-vi-sau-rieng-mau-moi-white-coffee-ruvask-i2659396158.html")</f>
        <v>https://www.lazada.vn/products/ca-phe-sau-rieng-rockcafe-tui-30-goi-x-20-g-rock-cafe-vi-sau-rieng-mau-moi-white-coffee-ruvask-i2659396158.html</v>
      </c>
      <c r="C7397" s="10" t="s">
        <v>7397</v>
      </c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>
      <c r="A7398" s="8">
        <v>12252.0</v>
      </c>
      <c r="B7398" s="9" t="str">
        <f>HYPERLINK("https://www.lazada.vn/products/bia-den-asahi-beer-asahi-dry-black-i1567984260.html", "https://www.lazada.vn/products/bia-den-asahi-beer-asahi-dry-black-i1567984260.html")</f>
        <v>https://www.lazada.vn/products/bia-den-asahi-beer-asahi-dry-black-i1567984260.html</v>
      </c>
      <c r="C7398" s="10" t="s">
        <v>7398</v>
      </c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>
      <c r="A7399" s="8">
        <v>12253.0</v>
      </c>
      <c r="B7399" s="9" t="str">
        <f>HYPERLINK("https://www.lazada.vn/products/mi-dau-nanh-200g-i2996810211.html", "https://www.lazada.vn/products/mi-dau-nanh-200g-i2996810211.html")</f>
        <v>https://www.lazada.vn/products/mi-dau-nanh-200g-i2996810211.html</v>
      </c>
      <c r="C7399" s="10" t="s">
        <v>7399</v>
      </c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>
      <c r="A7400" s="8">
        <v>12254.0</v>
      </c>
      <c r="B7400" s="9" t="str">
        <f>HYPERLINK("https://www.lazada.vn/products/bich-chi-tui-350g-bot-dau-nanh-hat-sen-soy-bean-powder-with-lotus-seed-i2650593122.html", "https://www.lazada.vn/products/bich-chi-tui-350g-bot-dau-nanh-hat-sen-soy-bean-powder-with-lotus-seed-i2650593122.html")</f>
        <v>https://www.lazada.vn/products/bich-chi-tui-350g-bot-dau-nanh-hat-sen-soy-bean-powder-with-lotus-seed-i2650593122.html</v>
      </c>
      <c r="C7400" s="10" t="s">
        <v>7400</v>
      </c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>
      <c r="A7401" s="8">
        <v>12255.0</v>
      </c>
      <c r="B7401" s="9" t="str">
        <f>HYPERLINK("https://www.lazada.vn/products/banh-thuyen-mix-hat-tan-loc-phat-combo-2-bich-moi-bich-200g-i2599849775.html", "https://www.lazada.vn/products/banh-thuyen-mix-hat-tan-loc-phat-combo-2-bich-moi-bich-200g-i2599849775.html")</f>
        <v>https://www.lazada.vn/products/banh-thuyen-mix-hat-tan-loc-phat-combo-2-bich-moi-bich-200g-i2599849775.html</v>
      </c>
      <c r="C7401" s="10" t="s">
        <v>7401</v>
      </c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>
      <c r="A7402" s="8">
        <v>12256.0</v>
      </c>
      <c r="B7402" s="9" t="str">
        <f>HYPERLINK("https://www.lazada.vn/products/dry-bean-knot-dried-tofu-knot-bean-products-dry-bean-skin-knot-spicy-hot-pot-ingredients-snacks-seafood-instant-food-i3005726626.html", "https://www.lazada.vn/products/dry-bean-knot-dried-tofu-knot-bean-products-dry-bean-skin-knot-spicy-hot-pot-ingredients-snacks-seafood-instant-food-i3005726626.html")</f>
        <v>https://www.lazada.vn/products/dry-bean-knot-dried-tofu-knot-bean-products-dry-bean-skin-knot-spicy-hot-pot-ingredients-snacks-seafood-instant-food-i3005726626.html</v>
      </c>
      <c r="C7402" s="10" t="s">
        <v>7402</v>
      </c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>
      <c r="A7403" s="8">
        <v>12257.0</v>
      </c>
      <c r="B7403" s="9" t="str">
        <f>HYPERLINK("https://www.lazada.vn/products/nuoc-ngot-coca-cola-thung-24-lon-loai-320ml-i2197742124.html", "https://www.lazada.vn/products/nuoc-ngot-coca-cola-thung-24-lon-loai-320ml-i2197742124.html")</f>
        <v>https://www.lazada.vn/products/nuoc-ngot-coca-cola-thung-24-lon-loai-320ml-i2197742124.html</v>
      </c>
      <c r="C7403" s="10" t="s">
        <v>7403</v>
      </c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>
      <c r="A7404" s="8">
        <v>12258.0</v>
      </c>
      <c r="B7404" s="9" t="str">
        <f>HYPERLINK("https://www.lazada.vn/products/vang-do-bordeaux-bdx-i2510909145.html", "https://www.lazada.vn/products/vang-do-bordeaux-bdx-i2510909145.html")</f>
        <v>https://www.lazada.vn/products/vang-do-bordeaux-bdx-i2510909145.html</v>
      </c>
      <c r="C7404" s="10" t="s">
        <v>7404</v>
      </c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>
      <c r="A7405" s="8">
        <v>12259.0</v>
      </c>
      <c r="B7405" s="9" t="str">
        <f>HYPERLINK("https://www.lazada.vn/products/coop-online-bia-corona-extra-chai-300ml-i2860351273.html", "https://www.lazada.vn/products/coop-online-bia-corona-extra-chai-300ml-i2860351273.html")</f>
        <v>https://www.lazada.vn/products/coop-online-bia-corona-extra-chai-300ml-i2860351273.html</v>
      </c>
      <c r="C7405" s="10" t="s">
        <v>7405</v>
      </c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>
      <c r="A7406" s="8">
        <v>12260.0</v>
      </c>
      <c r="B7406" s="9" t="str">
        <f>HYPERLINK("https://www.lazada.vn/products/xoai-say-deo-nguyen-mieng-say-lanh-tot-cho-nguoi-an-kieng-loai-1-_-healthy-i2890426532.html", "https://www.lazada.vn/products/xoai-say-deo-nguyen-mieng-say-lanh-tot-cho-nguoi-an-kieng-loai-1-_-healthy-i2890426532.html")</f>
        <v>https://www.lazada.vn/products/xoai-say-deo-nguyen-mieng-say-lanh-tot-cho-nguoi-an-kieng-loai-1-_-healthy-i2890426532.html</v>
      </c>
      <c r="C7406" s="10" t="s">
        <v>7406</v>
      </c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>
      <c r="A7407" s="8">
        <v>12261.0</v>
      </c>
      <c r="B7407" s="9" t="str">
        <f>HYPERLINK("https://www.lazada.vn/products/chocolate-99-kakao-nga-i1415703927.html", "https://www.lazada.vn/products/chocolate-99-kakao-nga-i1415703927.html")</f>
        <v>https://www.lazada.vn/products/chocolate-99-kakao-nga-i1415703927.html</v>
      </c>
      <c r="C7407" s="10" t="s">
        <v>7407</v>
      </c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>
      <c r="A7408" s="8">
        <v>12262.0</v>
      </c>
      <c r="B7408" s="9" t="str">
        <f>HYPERLINK("https://www.lazada.vn/products/cao-ich-mau-opc-dang-nuoc-chai-lon-180-ml-100ml-i2179281640.html", "https://www.lazada.vn/products/cao-ich-mau-opc-dang-nuoc-chai-lon-180-ml-100ml-i2179281640.html")</f>
        <v>https://www.lazada.vn/products/cao-ich-mau-opc-dang-nuoc-chai-lon-180-ml-100ml-i2179281640.html</v>
      </c>
      <c r="C7408" s="10" t="s">
        <v>7408</v>
      </c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>
      <c r="A7409" s="8">
        <v>12263.0</v>
      </c>
      <c r="B7409" s="9" t="str">
        <f>HYPERLINK("https://www.lazada.vn/products/me-lao-mot-nang-kem-muoi-hop-500g-dac-san-an-giang-i1755347302.html", "https://www.lazada.vn/products/me-lao-mot-nang-kem-muoi-hop-500g-dac-san-an-giang-i1755347302.html")</f>
        <v>https://www.lazada.vn/products/me-lao-mot-nang-kem-muoi-hop-500g-dac-san-an-giang-i1755347302.html</v>
      </c>
      <c r="C7409" s="10" t="s">
        <v>7409</v>
      </c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>
      <c r="A7410" s="8">
        <v>12264.0</v>
      </c>
      <c r="B7410" s="9" t="str">
        <f>HYPERLINK("https://www.lazada.vn/products/combo-2-hop-banh-quy-vi-gao-lut-happy-cookies-thuong-hieu-sbt250gr1-hop-i2853361745.html", "https://www.lazada.vn/products/combo-2-hop-banh-quy-vi-gao-lut-happy-cookies-thuong-hieu-sbt250gr1-hop-i2853361745.html")</f>
        <v>https://www.lazada.vn/products/combo-2-hop-banh-quy-vi-gao-lut-happy-cookies-thuong-hieu-sbt250gr1-hop-i2853361745.html</v>
      </c>
      <c r="C7410" s="10" t="s">
        <v>7410</v>
      </c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>
      <c r="A7411" s="8">
        <v>12265.0</v>
      </c>
      <c r="B7411" s="9" t="str">
        <f>HYPERLINK("https://www.lazada.vn/products/sot-mi-nho-trung-khanh-gia-vi-mi-lanh-cay-nguyen-lieu-co-ban-mi-chinh-thong-mi-dandan-mi-xao-tuong-ot-i2838777126.html", "https://www.lazada.vn/products/sot-mi-nho-trung-khanh-gia-vi-mi-lanh-cay-nguyen-lieu-co-ban-mi-chinh-thong-mi-dandan-mi-xao-tuong-ot-i2838777126.html")</f>
        <v>https://www.lazada.vn/products/sot-mi-nho-trung-khanh-gia-vi-mi-lanh-cay-nguyen-lieu-co-ban-mi-chinh-thong-mi-dandan-mi-xao-tuong-ot-i2838777126.html</v>
      </c>
      <c r="C7411" s="10" t="s">
        <v>7411</v>
      </c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>
      <c r="A7412" s="8">
        <v>12266.0</v>
      </c>
      <c r="B7412" s="9" t="str">
        <f>HYPERLINK("https://www.lazada.vn/products/snack-chicky-canh-ga-chien-i2668256646.html", "https://www.lazada.vn/products/snack-chicky-canh-ga-chien-i2668256646.html")</f>
        <v>https://www.lazada.vn/products/snack-chicky-canh-ga-chien-i2668256646.html</v>
      </c>
      <c r="C7412" s="10" t="s">
        <v>7412</v>
      </c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>
      <c r="A7413" s="8">
        <v>12267.0</v>
      </c>
      <c r="B7413" s="9" t="str">
        <f>HYPERLINK("https://www.lazada.vn/products/tang-20-goi-tdua-combo-60-goi-snack-sieu-ngon-do-an-vat-snack-an-cung-ba-tuyet-do-an-vat-viet-nam-i2339633233.html", "https://www.lazada.vn/products/tang-20-goi-tdua-combo-60-goi-snack-sieu-ngon-do-an-vat-snack-an-cung-ba-tuyet-do-an-vat-viet-nam-i2339633233.html")</f>
        <v>https://www.lazada.vn/products/tang-20-goi-tdua-combo-60-goi-snack-sieu-ngon-do-an-vat-snack-an-cung-ba-tuyet-do-an-vat-viet-nam-i2339633233.html</v>
      </c>
      <c r="C7413" s="10" t="s">
        <v>7413</v>
      </c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>
      <c r="A7414" s="8">
        <v>12268.0</v>
      </c>
      <c r="B7414" s="9" t="str">
        <f>HYPERLINK("https://www.lazada.vn/products/1kg-bim-bim-lays-vi-suon-nuong-bbq-i2667997495.html", "https://www.lazada.vn/products/1kg-bim-bim-lays-vi-suon-nuong-bbq-i2667997495.html")</f>
        <v>https://www.lazada.vn/products/1kg-bim-bim-lays-vi-suon-nuong-bbq-i2667997495.html</v>
      </c>
      <c r="C7414" s="10" t="s">
        <v>7414</v>
      </c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>
      <c r="A7415" s="8">
        <v>12269.0</v>
      </c>
      <c r="B7415" s="9" t="str">
        <f>HYPERLINK("https://www.lazada.vn/products/thach-zai-zai-tui-1kg-zai-zai-thanh-dai-hang-cong-ty-duc-hanh-an-vat-do-an-vat-i2088958636.html", "https://www.lazada.vn/products/thach-zai-zai-tui-1kg-zai-zai-thanh-dai-hang-cong-ty-duc-hanh-an-vat-do-an-vat-i2088958636.html")</f>
        <v>https://www.lazada.vn/products/thach-zai-zai-tui-1kg-zai-zai-thanh-dai-hang-cong-ty-duc-hanh-an-vat-do-an-vat-i2088958636.html</v>
      </c>
      <c r="C7415" s="10" t="s">
        <v>7415</v>
      </c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>
      <c r="A7416" s="8">
        <v>12270.0</v>
      </c>
      <c r="B7416" s="9" t="str">
        <f>HYPERLINK("https://www.lazada.vn/products/hop-30-goi-snack-mi-an-lien-tre-em-vi-ga-shogun-han-quoc-540g-do-an-vat-ngon-re-sai-gon-i2337583608.html", "https://www.lazada.vn/products/hop-30-goi-snack-mi-an-lien-tre-em-vi-ga-shogun-han-quoc-540g-do-an-vat-ngon-re-sai-gon-i2337583608.html")</f>
        <v>https://www.lazada.vn/products/hop-30-goi-snack-mi-an-lien-tre-em-vi-ga-shogun-han-quoc-540g-do-an-vat-ngon-re-sai-gon-i2337583608.html</v>
      </c>
      <c r="C7416" s="10" t="s">
        <v>7416</v>
      </c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>
      <c r="A7417" s="8">
        <v>12271.0</v>
      </c>
      <c r="B7417" s="9" t="str">
        <f>HYPERLINK("https://www.lazada.vn/products/banh-trung-thu-tan-tan-200gr2-trung-muoi-dac-san-thanh-phu-ben-tre-chon-nhieu-nhan-i2661713795.html", "https://www.lazada.vn/products/banh-trung-thu-tan-tan-200gr2-trung-muoi-dac-san-thanh-phu-ben-tre-chon-nhieu-nhan-i2661713795.html")</f>
        <v>https://www.lazada.vn/products/banh-trung-thu-tan-tan-200gr2-trung-muoi-dac-san-thanh-phu-ben-tre-chon-nhieu-nhan-i2661713795.html</v>
      </c>
      <c r="C7417" s="10" t="s">
        <v>7417</v>
      </c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>
      <c r="A7418" s="8">
        <v>12272.0</v>
      </c>
      <c r="B7418" s="9" t="str">
        <f>HYPERLINK("https://www.lazada.vn/products/nguyen-hop-32-vien-keo-my-chinh-hang-i2676915904.html", "https://www.lazada.vn/products/nguyen-hop-32-vien-keo-my-chinh-hang-i2676915904.html")</f>
        <v>https://www.lazada.vn/products/nguyen-hop-32-vien-keo-my-chinh-hang-i2676915904.html</v>
      </c>
      <c r="C7418" s="10" t="s">
        <v>7418</v>
      </c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>
      <c r="A7419" s="8">
        <v>12273.0</v>
      </c>
      <c r="B7419" s="9" t="str">
        <f>HYPERLINK("https://www.lazada.vn/products/12-goi-my-thuan-chay-du-vi-62g-i2996806241.html", "https://www.lazada.vn/products/12-goi-my-thuan-chay-du-vi-62g-i2996806241.html")</f>
        <v>https://www.lazada.vn/products/12-goi-my-thuan-chay-du-vi-62g-i2996806241.html</v>
      </c>
      <c r="C7419" s="10" t="s">
        <v>7419</v>
      </c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>
      <c r="A7420" s="8">
        <v>12274.0</v>
      </c>
      <c r="B7420" s="9" t="str">
        <f>HYPERLINK("https://www.lazada.vn/products/bot-dau-nanh-rang-tay-nguyen-chat-hop-500-gr-i2649749930.html", "https://www.lazada.vn/products/bot-dau-nanh-rang-tay-nguyen-chat-hop-500-gr-i2649749930.html")</f>
        <v>https://www.lazada.vn/products/bot-dau-nanh-rang-tay-nguyen-chat-hop-500-gr-i2649749930.html</v>
      </c>
      <c r="C7420" s="10" t="s">
        <v>7420</v>
      </c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>
      <c r="A7421" s="8">
        <v>12275.0</v>
      </c>
      <c r="B7421" s="9" t="str">
        <f>HYPERLINK("https://www.lazada.vn/products/banh-sua-dau-nanh-banh-mi-sandwich-nhan-sua-dau-nanh-thom-ngon-do-an-sang-an-nhe-day-du-dinh-duong-cho-ca-nha-i2599416118.html", "https://www.lazada.vn/products/banh-sua-dau-nanh-banh-mi-sandwich-nhan-sua-dau-nanh-thom-ngon-do-an-sang-an-nhe-day-du-dinh-duong-cho-ca-nha-i2599416118.html")</f>
        <v>https://www.lazada.vn/products/banh-sua-dau-nanh-banh-mi-sandwich-nhan-sua-dau-nanh-thom-ngon-do-an-sang-an-nhe-day-du-dinh-duong-cho-ca-nha-i2599416118.html</v>
      </c>
      <c r="C7421" s="10" t="s">
        <v>7421</v>
      </c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>
      <c r="A7422" s="8">
        <v>12276.0</v>
      </c>
      <c r="B7422" s="9" t="str">
        <f>HYPERLINK("https://www.lazada.vn/products/mrhay-timothy-grass-rabbit-guinea-pig-chinchilla-hay-substitue-dry-grass-pet-food-and-supplies-rabbit-category-rabbit-feeder-i3005607445.html", "https://www.lazada.vn/products/mrhay-timothy-grass-rabbit-guinea-pig-chinchilla-hay-substitue-dry-grass-pet-food-and-supplies-rabbit-category-rabbit-feeder-i3005607445.html")</f>
        <v>https://www.lazada.vn/products/mrhay-timothy-grass-rabbit-guinea-pig-chinchilla-hay-substitue-dry-grass-pet-food-and-supplies-rabbit-category-rabbit-feeder-i3005607445.html</v>
      </c>
      <c r="C7422" s="10" t="s">
        <v>7422</v>
      </c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>
      <c r="A7423" s="8">
        <v>12277.0</v>
      </c>
      <c r="B7423" s="9" t="str">
        <f>HYPERLINK("https://www.lazada.vn/products/1kg-2-bich-mit-thaisay-gion-ngot-thom-ngon-i2886125424.html", "https://www.lazada.vn/products/1kg-2-bich-mit-thaisay-gion-ngot-thom-ngon-i2886125424.html")</f>
        <v>https://www.lazada.vn/products/1kg-2-bich-mit-thaisay-gion-ngot-thom-ngon-i2886125424.html</v>
      </c>
      <c r="C7423" s="10" t="s">
        <v>7423</v>
      </c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>
      <c r="A7424" s="8">
        <v>12278.0</v>
      </c>
      <c r="B7424" s="9" t="str">
        <f>HYPERLINK("https://www.lazada.vn/products/hcmngu-coc-gao-lut-an-kieng-best-choice-cong-thuc-dac-biet-cho-nguoi-tieu-duong-an-kieng-giam-can-nguoi-tap-gym-the-thao-me-bau-tieu-duong-thai-ki-tui-480g-gom-16-goi-nho-pha-uong-lien-i1402877474.html", "https://www.lazada.vn/products/hcmngu-coc-gao-lut-an-kieng-best-choice-cong-thuc-dac-biet-cho-nguoi-tieu-duong-an-kieng-giam-can-nguoi-tap-gym-the-thao-me-bau-tieu-duong-thai-ki-tui-480g-gom-16-goi-nho-pha-uong-lien-i1402877474.html")</f>
        <v>https://www.lazada.vn/products/hcmngu-coc-gao-lut-an-kieng-best-choice-cong-thuc-dac-biet-cho-nguoi-tieu-duong-an-kieng-giam-can-nguoi-tap-gym-the-thao-me-bau-tieu-duong-thai-ki-tui-480g-gom-16-goi-nho-pha-uong-lien-i1402877474.html</v>
      </c>
      <c r="C7424" s="10" t="s">
        <v>7424</v>
      </c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>
      <c r="A7425" s="8">
        <v>12279.0</v>
      </c>
      <c r="B7425" s="9" t="str">
        <f>HYPERLINK("https://www.lazada.vn/products/nuoc-ngot-sa-xi-chuong-duong-thung-24-lon-loai-330ml-i2197140216.html", "https://www.lazada.vn/products/nuoc-ngot-sa-xi-chuong-duong-thung-24-lon-loai-330ml-i2197140216.html")</f>
        <v>https://www.lazada.vn/products/nuoc-ngot-sa-xi-chuong-duong-thung-24-lon-loai-330ml-i2197140216.html</v>
      </c>
      <c r="C7425" s="10" t="s">
        <v>7425</v>
      </c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>
      <c r="A7426" s="8">
        <v>12280.0</v>
      </c>
      <c r="B7426" s="9" t="str">
        <f>HYPERLINK("https://www.lazada.vn/products/nuoc-suntory-old-whisky-700ml-hang-noi-dia-nhatco-giao-hoa-toc-i2161675465.html", "https://www.lazada.vn/products/nuoc-suntory-old-whisky-700ml-hang-noi-dia-nhatco-giao-hoa-toc-i2161675465.html")</f>
        <v>https://www.lazada.vn/products/nuoc-suntory-old-whisky-700ml-hang-noi-dia-nhatco-giao-hoa-toc-i2161675465.html</v>
      </c>
      <c r="C7426" s="10" t="s">
        <v>7426</v>
      </c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>
      <c r="A7427" s="8">
        <v>12281.0</v>
      </c>
      <c r="B7427" s="9" t="str">
        <f>HYPERLINK("https://www.lazada.vn/products/tran-chau-den-dou-xian-tui-1kg-topping-lam-tra-sua-tran-chau-ngon-hat-to-dai-deo-i2082606405.html", "https://www.lazada.vn/products/tran-chau-den-dou-xian-tui-1kg-topping-lam-tra-sua-tran-chau-ngon-hat-to-dai-deo-i2082606405.html")</f>
        <v>https://www.lazada.vn/products/tran-chau-den-dou-xian-tui-1kg-topping-lam-tra-sua-tran-chau-ngon-hat-to-dai-deo-i2082606405.html</v>
      </c>
      <c r="C7427" s="10" t="s">
        <v>7427</v>
      </c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>
      <c r="A7428" s="8">
        <v>12282.0</v>
      </c>
      <c r="B7428" s="9" t="str">
        <f>HYPERLINK("https://www.lazada.vn/products/banh-quy-cuon-3-lop-nhan-kem-chay-nhieu-vi-franzzi-an-vat-100gr-sieu-hot-tet-2025-i2852788192.html", "https://www.lazada.vn/products/banh-quy-cuon-3-lop-nhan-kem-chay-nhieu-vi-franzzi-an-vat-100gr-sieu-hot-tet-2025-i2852788192.html")</f>
        <v>https://www.lazada.vn/products/banh-quy-cuon-3-lop-nhan-kem-chay-nhieu-vi-franzzi-an-vat-100gr-sieu-hot-tet-2025-i2852788192.html</v>
      </c>
      <c r="C7428" s="10" t="s">
        <v>7428</v>
      </c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>
      <c r="A7429" s="8">
        <v>12283.0</v>
      </c>
      <c r="B7429" s="9" t="str">
        <f>HYPERLINK("https://www.lazada.vn/products/nui-rau-cu-thuong-hang-nuffam-350g-i2996794012.html", "https://www.lazada.vn/products/nui-rau-cu-thuong-hang-nuffam-350g-i2996794012.html")</f>
        <v>https://www.lazada.vn/products/nui-rau-cu-thuong-hang-nuffam-350g-i2996794012.html</v>
      </c>
      <c r="C7429" s="10" t="s">
        <v>7429</v>
      </c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>
      <c r="A7430" s="8">
        <v>12284.0</v>
      </c>
      <c r="B7430" s="9" t="str">
        <f>HYPERLINK("https://www.lazada.vn/products/thung-20-goi-mi-hoanh-thanh-tom-acecook-79-g-09343-i2792482410.html", "https://www.lazada.vn/products/thung-20-goi-mi-hoanh-thanh-tom-acecook-79-g-09343-i2792482410.html")</f>
        <v>https://www.lazada.vn/products/thung-20-goi-mi-hoanh-thanh-tom-acecook-79-g-09343-i2792482410.html</v>
      </c>
      <c r="C7430" s="10" t="s">
        <v>7430</v>
      </c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>
      <c r="A7431" s="8">
        <v>12285.0</v>
      </c>
      <c r="B7431" s="9" t="str">
        <f>HYPERLINK("https://www.lazada.vn/products/430g-chao-mon-chau-phuong-sieu-ngon-i1755310056.html", "https://www.lazada.vn/products/430g-chao-mon-chau-phuong-sieu-ngon-i1755310056.html")</f>
        <v>https://www.lazada.vn/products/430g-chao-mon-chau-phuong-sieu-ngon-i1755310056.html</v>
      </c>
      <c r="C7431" s="10" t="s">
        <v>7431</v>
      </c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>
      <c r="A7432" s="8">
        <v>12286.0</v>
      </c>
      <c r="B7432" s="9" t="str">
        <f>HYPERLINK("https://www.lazada.vn/products/vang-colores-santos-750ml-i2510832777.html", "https://www.lazada.vn/products/vang-colores-santos-750ml-i2510832777.html")</f>
        <v>https://www.lazada.vn/products/vang-colores-santos-750ml-i2510832777.html</v>
      </c>
      <c r="C7432" s="10" t="s">
        <v>7432</v>
      </c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>
      <c r="A7433" s="8">
        <v>12287.0</v>
      </c>
      <c r="B7433" s="9" t="str">
        <f>HYPERLINK("https://www.lazada.vn/products/430g-chao-mon-chau-phuong-bao-ngon-i1751280036.html", "https://www.lazada.vn/products/430g-chao-mon-chau-phuong-bao-ngon-i1751280036.html")</f>
        <v>https://www.lazada.vn/products/430g-chao-mon-chau-phuong-bao-ngon-i1751280036.html</v>
      </c>
      <c r="C7433" s="10" t="s">
        <v>7433</v>
      </c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>
      <c r="A7434" s="8">
        <v>12288.0</v>
      </c>
      <c r="B7434" s="9" t="str">
        <f>HYPERLINK("https://www.lazada.vn/products/vang-san-clemente-reserva-cabernet-sauvignon-i2510802503.html", "https://www.lazada.vn/products/vang-san-clemente-reserva-cabernet-sauvignon-i2510802503.html")</f>
        <v>https://www.lazada.vn/products/vang-san-clemente-reserva-cabernet-sauvignon-i2510802503.html</v>
      </c>
      <c r="C7434" s="10" t="s">
        <v>7434</v>
      </c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>
      <c r="A7435" s="8">
        <v>12289.0</v>
      </c>
      <c r="B7435" s="9" t="str">
        <f>HYPERLINK("https://www.lazada.vn/products/ban-si-snack-hinh-muc-chien-bo-splatoon-bich-50-goi-gion-cay-thom-ngondo-an-vat-gia-re-do-an-vat-cong-truong-hot-i2665702584.html", "https://www.lazada.vn/products/ban-si-snack-hinh-muc-chien-bo-splatoon-bich-50-goi-gion-cay-thom-ngondo-an-vat-gia-re-do-an-vat-cong-truong-hot-i2665702584.html")</f>
        <v>https://www.lazada.vn/products/ban-si-snack-hinh-muc-chien-bo-splatoon-bich-50-goi-gion-cay-thom-ngondo-an-vat-gia-re-do-an-vat-cong-truong-hot-i2665702584.html</v>
      </c>
      <c r="C7435" s="10" t="s">
        <v>7435</v>
      </c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>
      <c r="A7436" s="8">
        <v>12290.0</v>
      </c>
      <c r="B7436" s="9" t="str">
        <f>HYPERLINK("https://www.lazada.vn/products/keo-cung-trai-cay-fox-nhieu-vi-goi-125g-k68-an-vat-beegin-i2676794866.html", "https://www.lazada.vn/products/keo-cung-trai-cay-fox-nhieu-vi-goi-125g-k68-an-vat-beegin-i2676794866.html")</f>
        <v>https://www.lazada.vn/products/keo-cung-trai-cay-fox-nhieu-vi-goi-125g-k68-an-vat-beegin-i2676794866.html</v>
      </c>
      <c r="C7436" s="10" t="s">
        <v>7436</v>
      </c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>
      <c r="A7437" s="8">
        <v>12291.0</v>
      </c>
      <c r="B7437" s="9" t="str">
        <f>HYPERLINK("https://www.lazada.vn/products/tui-200g-banh-trang-phoi-suong-cao-cap-deo-mem-ngon-thuong-hieu-dang-cap-hang-dau-banh-trang-ngoc-trinh-i2661625984.html", "https://www.lazada.vn/products/tui-200g-banh-trang-phoi-suong-cao-cap-deo-mem-ngon-thuong-hieu-dang-cap-hang-dau-banh-trang-ngoc-trinh-i2661625984.html")</f>
        <v>https://www.lazada.vn/products/tui-200g-banh-trang-phoi-suong-cao-cap-deo-mem-ngon-thuong-hieu-dang-cap-hang-dau-banh-trang-ngoc-trinh-i2661625984.html</v>
      </c>
      <c r="C7437" s="10" t="s">
        <v>7437</v>
      </c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>
      <c r="A7438" s="8">
        <v>12292.0</v>
      </c>
      <c r="B7438" s="9" t="str">
        <f>HYPERLINK("https://www.lazada.vn/products/bot-la-nep-bot-la-dua-goi-1kg-nguyen-chat-tu-la-nep-la-dua-tuoi-mau-xanh-tao-mui-thom-i2649519155.html", "https://www.lazada.vn/products/bot-la-nep-bot-la-dua-goi-1kg-nguyen-chat-tu-la-nep-la-dua-tuoi-mau-xanh-tao-mui-thom-i2649519155.html")</f>
        <v>https://www.lazada.vn/products/bot-la-nep-bot-la-dua-goi-1kg-nguyen-chat-tu-la-nep-la-dua-tuoi-mau-xanh-tao-mui-thom-i2649519155.html</v>
      </c>
      <c r="C7438" s="10" t="s">
        <v>7438</v>
      </c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>
      <c r="A7439" s="8">
        <v>12293.0</v>
      </c>
      <c r="B7439" s="9" t="str">
        <f>HYPERLINK("https://www.lazada.vn/products/1kg-banh-trang-soi-ria-deo-phoi-suong-u-bo-thom-ngon-i2332740199.html", "https://www.lazada.vn/products/1kg-banh-trang-soi-ria-deo-phoi-suong-u-bo-thom-ngon-i2332740199.html")</f>
        <v>https://www.lazada.vn/products/1kg-banh-trang-soi-ria-deo-phoi-suong-u-bo-thom-ngon-i2332740199.html</v>
      </c>
      <c r="C7439" s="10" t="s">
        <v>7439</v>
      </c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>
      <c r="A7440" s="8">
        <v>12294.0</v>
      </c>
      <c r="B7440" s="9" t="str">
        <f>HYPERLINK("https://www.lazada.vn/products/hoa-da-cot-thong-don-hop-30-v-chinh-hang-i3061593993.html", "https://www.lazada.vn/products/hoa-da-cot-thong-don-hop-30-v-chinh-hang-i3061593993.html")</f>
        <v>https://www.lazada.vn/products/hoa-da-cot-thong-don-hop-30-v-chinh-hang-i3061593993.html</v>
      </c>
      <c r="C7440" s="10" t="s">
        <v>7440</v>
      </c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>
      <c r="A7441" s="8">
        <v>12295.0</v>
      </c>
      <c r="B7441" s="9" t="str">
        <f>HYPERLINK("https://www.lazada.vn/products/coop-online-bia-saigon-export-premium-lon-330ml-i2860324331.html", "https://www.lazada.vn/products/coop-online-bia-saigon-export-premium-lon-330ml-i2860324331.html")</f>
        <v>https://www.lazada.vn/products/coop-online-bia-saigon-export-premium-lon-330ml-i2860324331.html</v>
      </c>
      <c r="C7441" s="10" t="s">
        <v>7441</v>
      </c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>
      <c r="A7442" s="8">
        <v>12296.0</v>
      </c>
      <c r="B7442" s="9" t="str">
        <f>HYPERLINK("https://www.lazada.vn/products/banh-sua-dau-nanh-banh-mi-nhan-sua-hop-350g-gom-9-banh-nho-day-du-dinh-duong-cho-bua-sang-ca-nha-cung-thuong-thuc-i2599310387.html", "https://www.lazada.vn/products/banh-sua-dau-nanh-banh-mi-nhan-sua-hop-350g-gom-9-banh-nho-day-du-dinh-duong-cho-bua-sang-ca-nha-cung-thuong-thuc-i2599310387.html")</f>
        <v>https://www.lazada.vn/products/banh-sua-dau-nanh-banh-mi-nhan-sua-hop-350g-gom-9-banh-nho-day-du-dinh-duong-cho-bua-sang-ca-nha-cung-thuong-thuc-i2599310387.html</v>
      </c>
      <c r="C7442" s="10" t="s">
        <v>7442</v>
      </c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>
      <c r="A7443" s="8">
        <v>12297.0</v>
      </c>
      <c r="B7443" s="9" t="str">
        <f>HYPERLINK("https://www.lazada.vn/products/thanh-ly-thung-han-su-dung-1942025-kirkland-44-goi-935g-bap-no-bo-bang-lo-vi-song-usa-microwave-popcorn-movie-theater-butter-i3050351098.html", "https://www.lazada.vn/products/thanh-ly-thung-han-su-dung-1942025-kirkland-44-goi-935g-bap-no-bo-bang-lo-vi-song-usa-microwave-popcorn-movie-theater-butter-i3050351098.html")</f>
        <v>https://www.lazada.vn/products/thanh-ly-thung-han-su-dung-1942025-kirkland-44-goi-935g-bap-no-bo-bang-lo-vi-song-usa-microwave-popcorn-movie-theater-butter-i3050351098.html</v>
      </c>
      <c r="C7443" s="10" t="s">
        <v>7443</v>
      </c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>
      <c r="A7444" s="8">
        <v>12298.0</v>
      </c>
      <c r="B7444" s="9" t="str">
        <f>HYPERLINK("https://www.lazada.vn/products/burgess-timothy-hay-pet-rabbit-food-mint-flavor-catnip-for-adult-rabbits-pet-supplies-rabbit-food-other-rabbit-products-i3005426850.html", "https://www.lazada.vn/products/burgess-timothy-hay-pet-rabbit-food-mint-flavor-catnip-for-adult-rabbits-pet-supplies-rabbit-food-other-rabbit-products-i3005426850.html")</f>
        <v>https://www.lazada.vn/products/burgess-timothy-hay-pet-rabbit-food-mint-flavor-catnip-for-adult-rabbits-pet-supplies-rabbit-food-other-rabbit-products-i3005426850.html</v>
      </c>
      <c r="C7444" s="10" t="s">
        <v>7444</v>
      </c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>
      <c r="A7445" s="8">
        <v>12299.0</v>
      </c>
      <c r="B7445" s="9" t="str">
        <f>HYPERLINK("https://www.lazada.vn/products/chivas-18-gold-chivas-18-signature-kem-hop-i3028403634.html", "https://www.lazada.vn/products/chivas-18-gold-chivas-18-signature-kem-hop-i3028403634.html")</f>
        <v>https://www.lazada.vn/products/chivas-18-gold-chivas-18-signature-kem-hop-i3028403634.html</v>
      </c>
      <c r="C7445" s="10" t="s">
        <v>7445</v>
      </c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>
      <c r="A7446" s="8">
        <v>12300.0</v>
      </c>
      <c r="B7446" s="9" t="str">
        <f>HYPERLINK("https://www.lazada.vn/products/thanh-ly-hsd-1942025-kirkland-goi-le-935g-bap-no-bo-lo-vi-song-usa-microwave-popcorn-movie-theater-butter-i3050091633.html", "https://www.lazada.vn/products/thanh-ly-hsd-1942025-kirkland-goi-le-935g-bap-no-bo-lo-vi-song-usa-microwave-popcorn-movie-theater-butter-i3050091633.html")</f>
        <v>https://www.lazada.vn/products/thanh-ly-hsd-1942025-kirkland-goi-le-935g-bap-no-bo-lo-vi-song-usa-microwave-popcorn-movie-theater-butter-i3050091633.html</v>
      </c>
      <c r="C7446" s="10" t="s">
        <v>7446</v>
      </c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>
      <c r="A7447" s="8">
        <v>12301.0</v>
      </c>
      <c r="B7447" s="9" t="str">
        <f>HYPERLINK("https://www.lazada.vn/products/250gr-chuoi-say-gion-an-vat-shop-haimy-01-do-an-vat-i2881914411.html", "https://www.lazada.vn/products/250gr-chuoi-say-gion-an-vat-shop-haimy-01-do-an-vat-i2881914411.html")</f>
        <v>https://www.lazada.vn/products/250gr-chuoi-say-gion-an-vat-shop-haimy-01-do-an-vat-i2881914411.html</v>
      </c>
      <c r="C7447" s="10" t="s">
        <v>7447</v>
      </c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>
      <c r="A7448" s="8">
        <v>12302.0</v>
      </c>
      <c r="B7448" s="9" t="str">
        <f>HYPERLINK("https://www.lazada.vn/products/nuoc-ngot-soda-khong-duong-genki-forest-330ml-thung-24-lon-nho-i2194265257.html", "https://www.lazada.vn/products/nuoc-ngot-soda-khong-duong-genki-forest-330ml-thung-24-lon-nho-i2194265257.html")</f>
        <v>https://www.lazada.vn/products/nuoc-ngot-soda-khong-duong-genki-forest-330ml-thung-24-lon-nho-i2194265257.html</v>
      </c>
      <c r="C7448" s="10" t="s">
        <v>7448</v>
      </c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>
      <c r="A7449" s="8">
        <v>12303.0</v>
      </c>
      <c r="B7449" s="9" t="str">
        <f>HYPERLINK("https://www.lazada.vn/products/tong-40g-bot-cacao-sua-heyday-khong-cholesterone-combo-2-goi-tien-loi-20g-vi-chan-that-cua-cacao-sua-dam-vi-socola-nguyen-ban-khong-dung-huong-lieu-heyday-cacao-i1396694549.html", "https://www.lazada.vn/products/tong-40g-bot-cacao-sua-heyday-khong-cholesterone-combo-2-goi-tien-loi-20g-vi-chan-that-cua-cacao-sua-dam-vi-socola-nguyen-ban-khong-dung-huong-lieu-heyday-cacao-i1396694549.html")</f>
        <v>https://www.lazada.vn/products/tong-40g-bot-cacao-sua-heyday-khong-cholesterone-combo-2-goi-tien-loi-20g-vi-chan-that-cua-cacao-sua-dam-vi-socola-nguyen-ban-khong-dung-huong-lieu-heyday-cacao-i1396694549.html</v>
      </c>
      <c r="C7449" s="10" t="s">
        <v>7449</v>
      </c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>
      <c r="A7450" s="8">
        <v>12304.0</v>
      </c>
      <c r="B7450" s="9" t="str">
        <f>HYPERLINK("https://www.lazada.vn/products/xi-muoi-oliu-chua-ngot-an-vat-trai-cay-que-dau-ha-lan-rong-bien-trung-muoi-i2881797045.html", "https://www.lazada.vn/products/xi-muoi-oliu-chua-ngot-an-vat-trai-cay-que-dau-ha-lan-rong-bien-trung-muoi-i2881797045.html")</f>
        <v>https://www.lazada.vn/products/xi-muoi-oliu-chua-ngot-an-vat-trai-cay-que-dau-ha-lan-rong-bien-trung-muoi-i2881797045.html</v>
      </c>
      <c r="C7450" s="10" t="s">
        <v>7450</v>
      </c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>
      <c r="A7451" s="8">
        <v>12305.0</v>
      </c>
      <c r="B7451" s="9" t="str">
        <f>HYPERLINK("https://www.lazada.vn/products/nuoc-giai-khat-suntory-pepsico-vi-number-one-330ml-i2155826445.html", "https://www.lazada.vn/products/nuoc-giai-khat-suntory-pepsico-vi-number-one-330ml-i2155826445.html")</f>
        <v>https://www.lazada.vn/products/nuoc-giai-khat-suntory-pepsico-vi-number-one-330ml-i2155826445.html</v>
      </c>
      <c r="C7451" s="10" t="s">
        <v>7451</v>
      </c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>
      <c r="A7452" s="8">
        <v>12306.0</v>
      </c>
      <c r="B7452" s="9" t="str">
        <f>HYPERLINK("https://www.lazada.vn/products/thom-ngon-combo-500g-banh-sua-de-dau-tay-say-kho-mem-ngon-an-ngon-dinh-duong-tot-cho-suc-khoe-i2850099190.html", "https://www.lazada.vn/products/thom-ngon-combo-500g-banh-sua-de-dau-tay-say-kho-mem-ngon-an-ngon-dinh-duong-tot-cho-suc-khoe-i2850099190.html")</f>
        <v>https://www.lazada.vn/products/thom-ngon-combo-500g-banh-sua-de-dau-tay-say-kho-mem-ngon-an-ngon-dinh-duong-tot-cho-suc-khoe-i2850099190.html</v>
      </c>
      <c r="C7452" s="10" t="s">
        <v>7452</v>
      </c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>
      <c r="A7453" s="8">
        <v>12307.0</v>
      </c>
      <c r="B7453" s="9" t="str">
        <f>HYPERLINK("https://www.lazada.vn/products/thach-topping-dau-khong-chat-bao-quan-andros-top-up-nguyen-lieu-pha-che-1-kg-i2082183045.html", "https://www.lazada.vn/products/thach-topping-dau-khong-chat-bao-quan-andros-top-up-nguyen-lieu-pha-che-1-kg-i2082183045.html")</f>
        <v>https://www.lazada.vn/products/thach-topping-dau-khong-chat-bao-quan-andros-top-up-nguyen-lieu-pha-che-1-kg-i2082183045.html</v>
      </c>
      <c r="C7453" s="10" t="s">
        <v>7453</v>
      </c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>
      <c r="A7454" s="8">
        <v>12308.0</v>
      </c>
      <c r="B7454" s="9" t="str">
        <f>HYPERLINK("https://www.lazada.vn/products/pho-ky-vifon-goi-500g-shop_japangood-i2772583447.html", "https://www.lazada.vn/products/pho-ky-vifon-goi-500g-shop_japangood-i2772583447.html")</f>
        <v>https://www.lazada.vn/products/pho-ky-vifon-goi-500g-shop_japangood-i2772583447.html</v>
      </c>
      <c r="C7454" s="10" t="s">
        <v>7454</v>
      </c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>
      <c r="A7455" s="8">
        <v>12309.0</v>
      </c>
      <c r="B7455" s="9" t="str">
        <f>HYPERLINK("https://www.lazada.vn/products/mi-dau-nanh-1kg-i2996793050.html", "https://www.lazada.vn/products/mi-dau-nanh-1kg-i2996793050.html")</f>
        <v>https://www.lazada.vn/products/mi-dau-nanh-1kg-i2996793050.html</v>
      </c>
      <c r="C7455" s="10" t="s">
        <v>7455</v>
      </c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>
      <c r="A7456" s="8">
        <v>12310.0</v>
      </c>
      <c r="B7456" s="9" t="str">
        <f>HYPERLINK("https://www.lazada.vn/products/vang-roche-mazet-750ml-i2504880961.html", "https://www.lazada.vn/products/vang-roche-mazet-750ml-i2504880961.html")</f>
        <v>https://www.lazada.vn/products/vang-roche-mazet-750ml-i2504880961.html</v>
      </c>
      <c r="C7456" s="10" t="s">
        <v>7456</v>
      </c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>
      <c r="A7457" s="8">
        <v>12311.0</v>
      </c>
      <c r="B7457" s="9" t="str">
        <f>HYPERLINK("https://www.lazada.vn/products/qua-oliu-den-tach-hat-la-pedriza-340gr-i1751172530.html", "https://www.lazada.vn/products/qua-oliu-den-tach-hat-la-pedriza-340gr-i1751172530.html")</f>
        <v>https://www.lazada.vn/products/qua-oliu-den-tach-hat-la-pedriza-340gr-i1751172530.html</v>
      </c>
      <c r="C7457" s="10" t="s">
        <v>7457</v>
      </c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>
      <c r="A7458" s="8">
        <v>12312.0</v>
      </c>
      <c r="B7458" s="9" t="str">
        <f>HYPERLINK("https://www.lazada.vn/products/ban-si-snack-nem-tom-bich-30-goi-thom-ngon-hap-dan-do-an-vat-tuoi-tho-do-an-vat-cong-truong-hot-nhat-do-an-vat-gia-re-i2665694625.html", "https://www.lazada.vn/products/ban-si-snack-nem-tom-bich-30-goi-thom-ngon-hap-dan-do-an-vat-tuoi-tho-do-an-vat-cong-truong-hot-nhat-do-an-vat-gia-re-i2665694625.html")</f>
        <v>https://www.lazada.vn/products/ban-si-snack-nem-tom-bich-30-goi-thom-ngon-hap-dan-do-an-vat-tuoi-tho-do-an-vat-cong-truong-hot-nhat-do-an-vat-gia-re-i2665694625.html</v>
      </c>
      <c r="C7458" s="10" t="s">
        <v>7458</v>
      </c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>
      <c r="A7459" s="8">
        <v>12313.0</v>
      </c>
      <c r="B7459" s="9" t="str">
        <f>HYPERLINK("https://www.lazada.vn/products/keo-mut-alpenliebe-huong-dau-bach-hoa-tong-hop-dung-mo-i2676693319.html", "https://www.lazada.vn/products/keo-mut-alpenliebe-huong-dau-bach-hoa-tong-hop-dung-mo-i2676693319.html")</f>
        <v>https://www.lazada.vn/products/keo-mut-alpenliebe-huong-dau-bach-hoa-tong-hop-dung-mo-i2676693319.html</v>
      </c>
      <c r="C7459" s="10" t="s">
        <v>7459</v>
      </c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>
      <c r="A7460" s="8">
        <v>12314.0</v>
      </c>
      <c r="B7460" s="9" t="str">
        <f>HYPERLINK("https://www.lazada.vn/products/cao-mu-tun-i2649475989.html", "https://www.lazada.vn/products/cao-mu-tun-i2649475989.html")</f>
        <v>https://www.lazada.vn/products/cao-mu-tun-i2649475989.html</v>
      </c>
      <c r="C7460" s="10" t="s">
        <v>7460</v>
      </c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>
      <c r="A7461" s="8">
        <v>12315.0</v>
      </c>
      <c r="B7461" s="9" t="str">
        <f>HYPERLINK("https://www.lazada.vn/products/banh-trang-deo-hanh-ot-lai-1-500g-250g-i2328985297.html", "https://www.lazada.vn/products/banh-trang-deo-hanh-ot-lai-1-500g-250g-i2328985297.html")</f>
        <v>https://www.lazada.vn/products/banh-trang-deo-hanh-ot-lai-1-500g-250g-i2328985297.html</v>
      </c>
      <c r="C7461" s="10" t="s">
        <v>7461</v>
      </c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>
      <c r="A7462" s="8">
        <v>12316.0</v>
      </c>
      <c r="B7462" s="9" t="str">
        <f>HYPERLINK("https://www.lazada.vn/products/banh-sua-dau-nanh-day-thom-vi-sua-voi-lop-vo-banh-tuoi-mem-min-phu-hop-voi-nguoi-an-kieng-day-du-chat-dinh-duong-i2599129633.html", "https://www.lazada.vn/products/banh-sua-dau-nanh-day-thom-vi-sua-voi-lop-vo-banh-tuoi-mem-min-phu-hop-voi-nguoi-an-kieng-day-du-chat-dinh-duong-i2599129633.html")</f>
        <v>https://www.lazada.vn/products/banh-sua-dau-nanh-day-thom-vi-sua-voi-lop-vo-banh-tuoi-mem-min-phu-hop-voi-nguoi-an-kieng-day-du-chat-dinh-duong-i2599129633.html</v>
      </c>
      <c r="C7462" s="10" t="s">
        <v>7462</v>
      </c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>
      <c r="A7463" s="8">
        <v>12317.0</v>
      </c>
      <c r="B7463" s="9" t="str">
        <f>HYPERLINK("https://www.lazada.vn/products/coop-online-bia-budweiser-aluminum-chai-355ml-i2860294452.html", "https://www.lazada.vn/products/coop-online-bia-budweiser-aluminum-chai-355ml-i2860294452.html")</f>
        <v>https://www.lazada.vn/products/coop-online-bia-budweiser-aluminum-chai-355ml-i2860294452.html</v>
      </c>
      <c r="C7463" s="10" t="s">
        <v>7463</v>
      </c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>
      <c r="A7464" s="8">
        <v>12318.0</v>
      </c>
      <c r="B7464" s="9" t="str">
        <f>HYPERLINK("https://www.lazada.vn/products/classic-lon-390g-nam-mo-dong-hop-france-carrefour-champignons-i3004677399.html", "https://www.lazada.vn/products/classic-lon-390g-nam-mo-dong-hop-france-carrefour-champignons-i3004677399.html")</f>
        <v>https://www.lazada.vn/products/classic-lon-390g-nam-mo-dong-hop-france-carrefour-champignons-i3004677399.html</v>
      </c>
      <c r="C7464" s="10" t="s">
        <v>7464</v>
      </c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>
      <c r="A7465" s="8">
        <v>12319.0</v>
      </c>
      <c r="B7465" s="9" t="str">
        <f>HYPERLINK("https://www.lazada.vn/products/nuoc-uong-tinh-khiet-aquafina-5l-thung-4-chai-i3026891439.html", "https://www.lazada.vn/products/nuoc-uong-tinh-khiet-aquafina-5l-thung-4-chai-i3026891439.html")</f>
        <v>https://www.lazada.vn/products/nuoc-uong-tinh-khiet-aquafina-5l-thung-4-chai-i3026891439.html</v>
      </c>
      <c r="C7465" s="10" t="s">
        <v>7465</v>
      </c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>
      <c r="A7466" s="8">
        <v>12320.0</v>
      </c>
      <c r="B7466" s="9" t="str">
        <f>HYPERLINK("https://www.lazada.vn/products/thanh-ly-hsd-1942025-goi-le-935g-bap-no-my-bong-ngo-bo-bang-lo-vi-song-kirkland-i3048970433.html", "https://www.lazada.vn/products/thanh-ly-hsd-1942025-goi-le-935g-bap-no-my-bong-ngo-bo-bang-lo-vi-song-kirkland-i3048970433.html")</f>
        <v>https://www.lazada.vn/products/thanh-ly-hsd-1942025-goi-le-935g-bap-no-my-bong-ngo-bo-bang-lo-vi-song-kirkland-i3048970433.html</v>
      </c>
      <c r="C7466" s="10" t="s">
        <v>7466</v>
      </c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>
      <c r="A7467" s="8">
        <v>12321.0</v>
      </c>
      <c r="B7467" s="9" t="str">
        <f>HYPERLINK("https://www.lazada.vn/products/nuoc-ngot-soda-khong-duong-genki-forest-330ml-thung-24-lon-vai-i2194232458.html", "https://www.lazada.vn/products/nuoc-ngot-soda-khong-duong-genki-forest-330ml-thung-24-lon-vai-i2194232458.html")</f>
        <v>https://www.lazada.vn/products/nuoc-ngot-soda-khong-duong-genki-forest-330ml-thung-24-lon-vai-i2194232458.html</v>
      </c>
      <c r="C7467" s="10" t="s">
        <v>7467</v>
      </c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>
      <c r="A7468" s="8">
        <v>12322.0</v>
      </c>
      <c r="B7468" s="9" t="str">
        <f>HYPERLINK("https://www.lazada.vn/products/ba-roi-say-gion-sot-mam-toi-an-vat-trai-cay-chan-ga-gan-bo-i2881694559.html", "https://www.lazada.vn/products/ba-roi-say-gion-sot-mam-toi-an-vat-trai-cay-chan-ga-gan-bo-i2881694559.html")</f>
        <v>https://www.lazada.vn/products/ba-roi-say-gion-sot-mam-toi-an-vat-trai-cay-chan-ga-gan-bo-i2881694559.html</v>
      </c>
      <c r="C7468" s="10" t="s">
        <v>7468</v>
      </c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>
      <c r="A7469" s="8">
        <v>12323.0</v>
      </c>
      <c r="B7469" s="9" t="str">
        <f>HYPERLINK("https://www.lazada.vn/products/hcmset-milo-dam-tran-chau-duong-den-ca-cao-sieu-ngon-lam-tai-nha-i1390529022.html", "https://www.lazada.vn/products/hcmset-milo-dam-tran-chau-duong-den-ca-cao-sieu-ngon-lam-tai-nha-i1390529022.html")</f>
        <v>https://www.lazada.vn/products/hcmset-milo-dam-tran-chau-duong-den-ca-cao-sieu-ngon-lam-tai-nha-i1390529022.html</v>
      </c>
      <c r="C7469" s="10" t="s">
        <v>7469</v>
      </c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>
      <c r="A7470" s="8">
        <v>12324.0</v>
      </c>
      <c r="B7470" s="9" t="str">
        <f>HYPERLINK("https://www.lazada.vn/products/sting-thai-lannoi-dia-thung-24lon-i2143225405.html", "https://www.lazada.vn/products/sting-thai-lannoi-dia-thung-24lon-i2143225405.html")</f>
        <v>https://www.lazada.vn/products/sting-thai-lannoi-dia-thung-24lon-i2143225405.html</v>
      </c>
      <c r="C7470" s="10" t="s">
        <v>7470</v>
      </c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>
      <c r="A7471" s="8">
        <v>12325.0</v>
      </c>
      <c r="B7471" s="9" t="str">
        <f>HYPERLINK("https://www.lazada.vn/products/thach-topping-vai-khong-chat-bao-quan-andros-top-up-nguyen-lieu-pha-che-1-kg-i2082152159.html", "https://www.lazada.vn/products/thach-topping-vai-khong-chat-bao-quan-andros-top-up-nguyen-lieu-pha-che-1-kg-i2082152159.html")</f>
        <v>https://www.lazada.vn/products/thach-topping-vai-khong-chat-bao-quan-andros-top-up-nguyen-lieu-pha-che-1-kg-i2082152159.html</v>
      </c>
      <c r="C7471" s="10" t="s">
        <v>7471</v>
      </c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>
      <c r="A7472" s="8">
        <v>12326.0</v>
      </c>
      <c r="B7472" s="9" t="str">
        <f>HYPERLINK("https://www.lazada.vn/products/cuc-ngon-combo-300g-banh-sua-de-dau-tay-say-kho-mem-ngon-an-ngon-dinh-duong-tot-cho-suc-khoe-i2849999598.html", "https://www.lazada.vn/products/cuc-ngon-combo-300g-banh-sua-de-dau-tay-say-kho-mem-ngon-an-ngon-dinh-duong-tot-cho-suc-khoe-i2849999598.html")</f>
        <v>https://www.lazada.vn/products/cuc-ngon-combo-300g-banh-sua-de-dau-tay-say-kho-mem-ngon-an-ngon-dinh-duong-tot-cho-suc-khoe-i2849999598.html</v>
      </c>
      <c r="C7472" s="10" t="s">
        <v>7472</v>
      </c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>
      <c r="A7473" s="8">
        <v>12327.0</v>
      </c>
      <c r="B7473" s="9" t="str">
        <f>HYPERLINK("https://www.lazada.vn/products/pho-thin-bo-ho-story-chinsu-vi-bo-goi-72g-131g-shop_japangood-i2772525728.html", "https://www.lazada.vn/products/pho-thin-bo-ho-story-chinsu-vi-bo-goi-72g-131g-shop_japangood-i2772525728.html")</f>
        <v>https://www.lazada.vn/products/pho-thin-bo-ho-story-chinsu-vi-bo-goi-72g-131g-shop_japangood-i2772525728.html</v>
      </c>
      <c r="C7473" s="10" t="s">
        <v>7473</v>
      </c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>
      <c r="A7474" s="8">
        <v>12328.0</v>
      </c>
      <c r="B7474" s="9" t="str">
        <f>HYPERLINK("https://www.lazada.vn/products/nui-xoan-fusilli-sot-ca-chua-firma-goi-175g-i2996771563.html", "https://www.lazada.vn/products/nui-xoan-fusilli-sot-ca-chua-firma-goi-175g-i2996771563.html")</f>
        <v>https://www.lazada.vn/products/nui-xoan-fusilli-sot-ca-chua-firma-goi-175g-i2996771563.html</v>
      </c>
      <c r="C7474" s="10" t="s">
        <v>7474</v>
      </c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>
      <c r="A7475" s="8">
        <v>12329.0</v>
      </c>
      <c r="B7475" s="9" t="str">
        <f>HYPERLINK("https://www.lazada.vn/products/nui-so-coop-select-dac-biet-350g-i2996738131.html", "https://www.lazada.vn/products/nui-so-coop-select-dac-biet-350g-i2996738131.html")</f>
        <v>https://www.lazada.vn/products/nui-so-coop-select-dac-biet-350g-i2996738131.html</v>
      </c>
      <c r="C7475" s="10" t="s">
        <v>7475</v>
      </c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>
      <c r="A7476" s="8">
        <v>12330.0</v>
      </c>
      <c r="B7476" s="9" t="str">
        <f>HYPERLINK("https://www.lazada.vn/products/vang-y-sun-primitivo-i2501389024.html", "https://www.lazada.vn/products/vang-y-sun-primitivo-i2501389024.html")</f>
        <v>https://www.lazada.vn/products/vang-y-sun-primitivo-i2501389024.html</v>
      </c>
      <c r="C7476" s="10" t="s">
        <v>7476</v>
      </c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>
      <c r="A7477" s="8">
        <v>12331.0</v>
      </c>
      <c r="B7477" s="9" t="str">
        <f>HYPERLINK("https://www.lazada.vn/products/freeship-max-mat-ong-nghe-den-ban-me-thuot-250gr-ho-tro-viem-loet-da-day-100-tu-nhien-i1750662808.html", "https://www.lazada.vn/products/freeship-max-mat-ong-nghe-den-ban-me-thuot-250gr-ho-tro-viem-loet-da-day-100-tu-nhien-i1750662808.html")</f>
        <v>https://www.lazada.vn/products/freeship-max-mat-ong-nghe-den-ban-me-thuot-250gr-ho-tro-viem-loet-da-day-100-tu-nhien-i1750662808.html</v>
      </c>
      <c r="C7477" s="10" t="s">
        <v>7477</v>
      </c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>
      <c r="A7478" s="8">
        <v>12332.0</v>
      </c>
      <c r="B7478" s="9" t="str">
        <f>HYPERLINK("https://www.lazada.vn/products/ban-si-bim-bim-quay-gion-gion-3k-bim-bim-tam-ong-bich-30-hop-thom-cay-ngon-hap-dando-an-vat-cong-truong-hot-nhat-i2665642909.html", "https://www.lazada.vn/products/ban-si-bim-bim-quay-gion-gion-3k-bim-bim-tam-ong-bich-30-hop-thom-cay-ngon-hap-dando-an-vat-cong-truong-hot-nhat-i2665642909.html")</f>
        <v>https://www.lazada.vn/products/ban-si-bim-bim-quay-gion-gion-3k-bim-bim-tam-ong-bich-30-hop-thom-cay-ngon-hap-dando-an-vat-cong-truong-hot-nhat-i2665642909.html</v>
      </c>
      <c r="C7478" s="10" t="s">
        <v>7478</v>
      </c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>
      <c r="A7479" s="8">
        <v>12333.0</v>
      </c>
      <c r="B7479" s="9" t="str">
        <f>HYPERLINK("https://www.lazada.vn/products/vang-y-salice-salentino-i2501236455.html", "https://www.lazada.vn/products/vang-y-salice-salentino-i2501236455.html")</f>
        <v>https://www.lazada.vn/products/vang-y-salice-salentino-i2501236455.html</v>
      </c>
      <c r="C7479" s="10" t="s">
        <v>7479</v>
      </c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>
      <c r="A7480" s="8">
        <v>12334.0</v>
      </c>
      <c r="B7480" s="9" t="str">
        <f>HYPERLINK("https://www.lazada.vn/products/1kg-banh-pho-sa-dec-dong-thap-13-vat-dac-san-i1747756133.html", "https://www.lazada.vn/products/1kg-banh-pho-sa-dec-dong-thap-13-vat-dac-san-i1747756133.html")</f>
        <v>https://www.lazada.vn/products/1kg-banh-pho-sa-dec-dong-thap-13-vat-dac-san-i1747756133.html</v>
      </c>
      <c r="C7480" s="10" t="s">
        <v>7480</v>
      </c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>
      <c r="A7481" s="8">
        <v>12335.0</v>
      </c>
      <c r="B7481" s="9" t="str">
        <f>HYPERLINK("https://www.lazada.vn/products/keo-cung-trai-cay-fox-nhieu-vi-goi-125g-k68-beegin-food-i2676634748.html", "https://www.lazada.vn/products/keo-cung-trai-cay-fox-nhieu-vi-goi-125g-k68-beegin-food-i2676634748.html")</f>
        <v>https://www.lazada.vn/products/keo-cung-trai-cay-fox-nhieu-vi-goi-125g-k68-beegin-food-i2676634748.html</v>
      </c>
      <c r="C7481" s="10" t="s">
        <v>7481</v>
      </c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>
      <c r="A7482" s="8">
        <v>12336.0</v>
      </c>
      <c r="B7482" s="9" t="str">
        <f>HYPERLINK("https://www.lazada.vn/products/bim-bim-bo-mieng-hang-dai-320g-huong-vi-bo-cay-thom-ngon-hap-dan-do-an-vat-cong-truong-do-an-vat-hot-nhat-i2665118213.html", "https://www.lazada.vn/products/bim-bim-bo-mieng-hang-dai-320g-huong-vi-bo-cay-thom-ngon-hap-dan-do-an-vat-cong-truong-do-an-vat-hot-nhat-i2665118213.html")</f>
        <v>https://www.lazada.vn/products/bim-bim-bo-mieng-hang-dai-320g-huong-vi-bo-cay-thom-ngon-hap-dan-do-an-vat-cong-truong-do-an-vat-hot-nhat-i2665118213.html</v>
      </c>
      <c r="C7482" s="10" t="s">
        <v>7482</v>
      </c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>
      <c r="A7483" s="8">
        <v>12337.0</v>
      </c>
      <c r="B7483" s="9" t="str">
        <f>HYPERLINK("https://www.lazada.vn/products/banh-cha-bong-ga-va-heo-jambon-md-thai-lan-i2660070183.html", "https://www.lazada.vn/products/banh-cha-bong-ga-va-heo-jambon-md-thai-lan-i2660070183.html")</f>
        <v>https://www.lazada.vn/products/banh-cha-bong-ga-va-heo-jambon-md-thai-lan-i2660070183.html</v>
      </c>
      <c r="C7483" s="10" t="s">
        <v>7483</v>
      </c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>
      <c r="A7484" s="8">
        <v>12338.0</v>
      </c>
      <c r="B7484" s="9" t="str">
        <f>HYPERLINK("https://www.lazada.vn/products/bot-dau-xanh-nguyen-chat-hop-to-500-gr-i2649336337.html", "https://www.lazada.vn/products/bot-dau-xanh-nguyen-chat-hop-to-500-gr-i2649336337.html")</f>
        <v>https://www.lazada.vn/products/bot-dau-xanh-nguyen-chat-hop-to-500-gr-i2649336337.html</v>
      </c>
      <c r="C7484" s="10" t="s">
        <v>7484</v>
      </c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>
      <c r="A7485" s="8">
        <v>12339.0</v>
      </c>
      <c r="B7485" s="9" t="str">
        <f>HYPERLINK("https://www.lazada.vn/products/thung-2kg-banh-sua-chua-ong-gia-horsh-dai-loan-an-vat-shop-haimy-i2598998961.html", "https://www.lazada.vn/products/thung-2kg-banh-sua-chua-ong-gia-horsh-dai-loan-an-vat-shop-haimy-i2598998961.html")</f>
        <v>https://www.lazada.vn/products/thung-2kg-banh-sua-chua-ong-gia-horsh-dai-loan-an-vat-shop-haimy-i2598998961.html</v>
      </c>
      <c r="C7485" s="10" t="s">
        <v>7485</v>
      </c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>
      <c r="A7486" s="8">
        <v>12340.0</v>
      </c>
      <c r="B7486" s="9" t="str">
        <f>HYPERLINK("https://www.lazada.vn/products/10b-banh-trang-phoi-suong-vo-sate-muoi-nhuyen-i2328956440.html", "https://www.lazada.vn/products/10b-banh-trang-phoi-suong-vo-sate-muoi-nhuyen-i2328956440.html")</f>
        <v>https://www.lazada.vn/products/10b-banh-trang-phoi-suong-vo-sate-muoi-nhuyen-i2328956440.html</v>
      </c>
      <c r="C7486" s="10" t="s">
        <v>7486</v>
      </c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>
      <c r="A7487" s="8">
        <v>12341.0</v>
      </c>
      <c r="B7487" s="9" t="str">
        <f>HYPERLINK("https://www.lazada.vn/products/coop-online-bia-huda-gold-lon-330ml-i2860268530.html", "https://www.lazada.vn/products/coop-online-bia-huda-gold-lon-330ml-i2860268530.html")</f>
        <v>https://www.lazada.vn/products/coop-online-bia-huda-gold-lon-330ml-i2860268530.html</v>
      </c>
      <c r="C7487" s="10" t="s">
        <v>7487</v>
      </c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>
      <c r="A7488" s="8">
        <v>12342.0</v>
      </c>
      <c r="B7488" s="9" t="str">
        <f>HYPERLINK("https://www.lazada.vn/products/xa-kho_thuc-an-cho-meo-con-whiskas-dang-hat-vi-ca-bien-11-kg-i2999455140.html", "https://www.lazada.vn/products/xa-kho_thuc-an-cho-meo-con-whiskas-dang-hat-vi-ca-bien-11-kg-i2999455140.html")</f>
        <v>https://www.lazada.vn/products/xa-kho_thuc-an-cho-meo-con-whiskas-dang-hat-vi-ca-bien-11-kg-i2999455140.html</v>
      </c>
      <c r="C7488" s="10" t="s">
        <v>7488</v>
      </c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>
      <c r="A7489" s="8">
        <v>12343.0</v>
      </c>
      <c r="B7489" s="9" t="str">
        <f>HYPERLINK("https://www.lazada.vn/products/thuc-uong-thach-suong-sao-an-lien-3k-560gr-90513-i3008291461.html", "https://www.lazada.vn/products/thuc-uong-thach-suong-sao-an-lien-3k-560gr-90513-i3008291461.html")</f>
        <v>https://www.lazada.vn/products/thuc-uong-thach-suong-sao-an-lien-3k-560gr-90513-i3008291461.html</v>
      </c>
      <c r="C7489" s="10" t="s">
        <v>7489</v>
      </c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>
      <c r="A7490" s="8">
        <v>12344.0</v>
      </c>
      <c r="B7490" s="9" t="str">
        <f>HYPERLINK("https://www.lazada.vn/products/thanh-ly-thung-han-su-dung-1942025-kirkland-44-goi-x-935g-bap-no-bong-ngo-bo-bang-lo-vi-song-usa-microwave-popcorn-movie-theater-butter-i3036271249.html", "https://www.lazada.vn/products/thanh-ly-thung-han-su-dung-1942025-kirkland-44-goi-x-935g-bap-no-bong-ngo-bo-bang-lo-vi-song-usa-microwave-popcorn-movie-theater-butter-i3036271249.html")</f>
        <v>https://www.lazada.vn/products/thanh-ly-thung-han-su-dung-1942025-kirkland-44-goi-x-935g-bap-no-bong-ngo-bo-bang-lo-vi-song-usa-microwave-popcorn-movie-theater-butter-i3036271249.html</v>
      </c>
      <c r="C7490" s="10" t="s">
        <v>7490</v>
      </c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>
      <c r="A7491" s="8">
        <v>12345.0</v>
      </c>
      <c r="B7491" s="9" t="str">
        <f>HYPERLINK("https://www.lazada.vn/products/nhung-huou-tuoi-thai-lat-ngam-mat-ong-i2711299786.html", "https://www.lazada.vn/products/nhung-huou-tuoi-thai-lat-ngam-mat-ong-i2711299786.html")</f>
        <v>https://www.lazada.vn/products/nhung-huou-tuoi-thai-lat-ngam-mat-ong-i2711299786.html</v>
      </c>
      <c r="C7491" s="10" t="s">
        <v>7491</v>
      </c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>
      <c r="A7492" s="8">
        <v>12346.0</v>
      </c>
      <c r="B7492" s="9" t="str">
        <f>HYPERLINK("https://www.lazada.vn/products/xoai-say-deo-an-vat-trai-cay-o-mai-ca-thieu-i2881656707.html", "https://www.lazada.vn/products/xoai-say-deo-an-vat-trai-cay-o-mai-ca-thieu-i2881656707.html")</f>
        <v>https://www.lazada.vn/products/xoai-say-deo-an-vat-trai-cay-o-mai-ca-thieu-i2881656707.html</v>
      </c>
      <c r="C7492" s="10" t="s">
        <v>7492</v>
      </c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>
      <c r="A7493" s="8">
        <v>12347.0</v>
      </c>
      <c r="B7493" s="9" t="str">
        <f>HYPERLINK("https://www.lazada.vn/products/nuoc-ngot-soda-khong-duong-genki-forest-330ml-thung-24-lon-dao-i2194223835.html", "https://www.lazada.vn/products/nuoc-ngot-soda-khong-duong-genki-forest-330ml-thung-24-lon-dao-i2194223835.html")</f>
        <v>https://www.lazada.vn/products/nuoc-ngot-soda-khong-duong-genki-forest-330ml-thung-24-lon-dao-i2194223835.html</v>
      </c>
      <c r="C7493" s="10" t="s">
        <v>7493</v>
      </c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>
      <c r="A7494" s="8">
        <v>12348.0</v>
      </c>
      <c r="B7494" s="9" t="str">
        <f>HYPERLINK("https://www.lazada.vn/products/bot-ca-cao-nguyen-chat-ngoc-thao-goi-500-gram-khong-duong-i1381937345.html", "https://www.lazada.vn/products/bot-ca-cao-nguyen-chat-ngoc-thao-goi-500-gram-khong-duong-i1381937345.html")</f>
        <v>https://www.lazada.vn/products/bot-ca-cao-nguyen-chat-ngoc-thao-goi-500-gram-khong-duong-i1381937345.html</v>
      </c>
      <c r="C7494" s="10" t="s">
        <v>7494</v>
      </c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>
      <c r="A7495" s="8">
        <v>12349.0</v>
      </c>
      <c r="B7495" s="9" t="str">
        <f>HYPERLINK("https://www.lazada.vn/products/chinh-hang-hong-sam-tang-luc-hop-20goi-x-10ml-i2133381819.html", "https://www.lazada.vn/products/chinh-hang-hong-sam-tang-luc-hop-20goi-x-10ml-i2133381819.html")</f>
        <v>https://www.lazada.vn/products/chinh-hang-hong-sam-tang-luc-hop-20goi-x-10ml-i2133381819.html</v>
      </c>
      <c r="C7495" s="10" t="s">
        <v>7495</v>
      </c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>
      <c r="A7496" s="8">
        <v>12350.0</v>
      </c>
      <c r="B7496" s="9" t="str">
        <f>HYPERLINK("https://www.lazada.vn/products/thom-ngon-combo-1000g-banh-sua-de-dau-tay-say-kho-mem-ngon-an-ngon-dinh-duong-tot-cho-suc-khoe-i2849967621.html", "https://www.lazada.vn/products/thom-ngon-combo-1000g-banh-sua-de-dau-tay-say-kho-mem-ngon-an-ngon-dinh-duong-tot-cho-suc-khoe-i2849967621.html")</f>
        <v>https://www.lazada.vn/products/thom-ngon-combo-1000g-banh-sua-de-dau-tay-say-kho-mem-ngon-an-ngon-dinh-duong-tot-cho-suc-khoe-i2849967621.html</v>
      </c>
      <c r="C7496" s="10" t="s">
        <v>7496</v>
      </c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>
      <c r="A7497" s="8">
        <v>12351.0</v>
      </c>
      <c r="B7497" s="9" t="str">
        <f>HYPERLINK("https://www.lazada.vn/products/chao-bong-mai-370g-i2768693990.html", "https://www.lazada.vn/products/chao-bong-mai-370g-i2768693990.html")</f>
        <v>https://www.lazada.vn/products/chao-bong-mai-370g-i2768693990.html</v>
      </c>
      <c r="C7497" s="10" t="s">
        <v>7497</v>
      </c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>
      <c r="A7498" s="8">
        <v>12352.0</v>
      </c>
      <c r="B7498" s="9" t="str">
        <f>HYPERLINK("https://www.lazada.vn/products/thach-topping-dao-khong-chat-bao-quan-andros-top-up-nguyen-lieu-pha-che-1-kg-i2082116257.html", "https://www.lazada.vn/products/thach-topping-dao-khong-chat-bao-quan-andros-top-up-nguyen-lieu-pha-che-1-kg-i2082116257.html")</f>
        <v>https://www.lazada.vn/products/thach-topping-dao-khong-chat-bao-quan-andros-top-up-nguyen-lieu-pha-che-1-kg-i2082116257.html</v>
      </c>
      <c r="C7498" s="10" t="s">
        <v>7498</v>
      </c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>
      <c r="A7499" s="8">
        <v>12353.0</v>
      </c>
      <c r="B7499" s="9" t="str">
        <f>HYPERLINK("https://www.lazada.vn/products/hot-thung-mi-to-bo-cay-noi-dia-han-quoc-86g-x-24-nongshim-86g-24box-i2996684070.html", "https://www.lazada.vn/products/hot-thung-mi-to-bo-cay-noi-dia-han-quoc-86g-x-24-nongshim-86g-24box-i2996684070.html")</f>
        <v>https://www.lazada.vn/products/hot-thung-mi-to-bo-cay-noi-dia-han-quoc-86g-x-24-nongshim-86g-24box-i2996684070.html</v>
      </c>
      <c r="C7499" s="10" t="s">
        <v>7499</v>
      </c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>
      <c r="A7500" s="8">
        <v>12354.0</v>
      </c>
      <c r="B7500" s="9" t="str">
        <f>HYPERLINK("https://www.lazada.vn/products/vang-y-juliet-i2499818144.html", "https://www.lazada.vn/products/vang-y-juliet-i2499818144.html")</f>
        <v>https://www.lazada.vn/products/vang-y-juliet-i2499818144.html</v>
      </c>
      <c r="C7500" s="10" t="s">
        <v>7500</v>
      </c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>
      <c r="A7501" s="8">
        <v>12355.0</v>
      </c>
      <c r="B7501" s="9" t="str">
        <f>HYPERLINK("https://www.lazada.vn/products/da-vi-banh-dau-xanh-rong-vang-ky-anh-vi-than-tre-170g-mung-bean-cake-takesumi-vi-dua-ngayngot-thanhtan-nhanh-i2265592159.html", "https://www.lazada.vn/products/da-vi-banh-dau-xanh-rong-vang-ky-anh-vi-than-tre-170g-mung-bean-cake-takesumi-vi-dua-ngayngot-thanhtan-nhanh-i2265592159.html")</f>
        <v>https://www.lazada.vn/products/da-vi-banh-dau-xanh-rong-vang-ky-anh-vi-than-tre-170g-mung-bean-cake-takesumi-vi-dua-ngayngot-thanhtan-nhanh-i2265592159.html</v>
      </c>
      <c r="C7501" s="10" t="s">
        <v>7501</v>
      </c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>
      <c r="A7502" s="8">
        <v>12356.0</v>
      </c>
      <c r="B7502" s="9" t="str">
        <f>HYPERLINK("https://www.lazada.vn/products/combo-2-hu-dac-rim-thom-500ghu-dac-san-que-i1747472047.html", "https://www.lazada.vn/products/combo-2-hu-dac-rim-thom-500ghu-dac-san-que-i1747472047.html")</f>
        <v>https://www.lazada.vn/products/combo-2-hu-dac-rim-thom-500ghu-dac-san-que-i1747472047.html</v>
      </c>
      <c r="C7502" s="10" t="s">
        <v>7502</v>
      </c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>
      <c r="A7503" s="8">
        <v>12357.0</v>
      </c>
      <c r="B7503" s="9" t="str">
        <f>HYPERLINK("https://www.lazada.vn/products/500gr-keo-soi-tuoi-tho-i2676567295.html", "https://www.lazada.vn/products/500gr-keo-soi-tuoi-tho-i2676567295.html")</f>
        <v>https://www.lazada.vn/products/500gr-keo-soi-tuoi-tho-i2676567295.html</v>
      </c>
      <c r="C7503" s="10" t="s">
        <v>7503</v>
      </c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>
      <c r="A7504" s="8">
        <v>12358.0</v>
      </c>
      <c r="B7504" s="9" t="str">
        <f>HYPERLINK("https://www.lazada.vn/products/ban-si-snack-khoai-tay-potato-vela-bich-30-goi-gion-ngon-hap-dan-do-an-vat-gia-re-do-an-vat-cong-truong-hot-nhat-i2664633344.html", "https://www.lazada.vn/products/ban-si-snack-khoai-tay-potato-vela-bich-30-goi-gion-ngon-hap-dan-do-an-vat-gia-re-do-an-vat-cong-truong-hot-nhat-i2664633344.html")</f>
        <v>https://www.lazada.vn/products/ban-si-snack-khoai-tay-potato-vela-bich-30-goi-gion-ngon-hap-dan-do-an-vat-gia-re-do-an-vat-cong-truong-hot-nhat-i2664633344.html</v>
      </c>
      <c r="C7504" s="10" t="s">
        <v>7504</v>
      </c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>
      <c r="A7505" s="8">
        <v>12359.0</v>
      </c>
      <c r="B7505" s="9" t="str">
        <f>HYPERLINK("https://www.lazada.vn/products/luong-kho-mini-sbt-vi-hoa-qua-tong-hop-goi-285gr-i2659755461.html", "https://www.lazada.vn/products/luong-kho-mini-sbt-vi-hoa-qua-tong-hop-goi-285gr-i2659755461.html")</f>
        <v>https://www.lazada.vn/products/luong-kho-mini-sbt-vi-hoa-qua-tong-hop-goi-285gr-i2659755461.html</v>
      </c>
      <c r="C7505" s="10" t="s">
        <v>7505</v>
      </c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>
      <c r="A7506" s="8">
        <v>12360.0</v>
      </c>
      <c r="B7506" s="9" t="str">
        <f>HYPERLINK("https://www.lazada.vn/products/thung-24-lon-nuoc-tang-luc-rockstar-250mllon-i2122969697.html", "https://www.lazada.vn/products/thung-24-lon-nuoc-tang-luc-rockstar-250mllon-i2122969697.html")</f>
        <v>https://www.lazada.vn/products/thung-24-lon-nuoc-tang-luc-rockstar-250mllon-i2122969697.html</v>
      </c>
      <c r="C7506" s="10" t="s">
        <v>7506</v>
      </c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>
      <c r="A7507" s="8">
        <v>12361.0</v>
      </c>
      <c r="B7507" s="9" t="str">
        <f>HYPERLINK("https://www.lazada.vn/products/cuc-ngon-combo-1000g-banh-sua-de-dau-tay-say-kho-mem-ngon-an-ngon-dinh-duong-tot-cho-suc-khoe-i2849926985.html", "https://www.lazada.vn/products/cuc-ngon-combo-1000g-banh-sua-de-dau-tay-say-kho-mem-ngon-an-ngon-dinh-duong-tot-cho-suc-khoe-i2849926985.html")</f>
        <v>https://www.lazada.vn/products/cuc-ngon-combo-1000g-banh-sua-de-dau-tay-say-kho-mem-ngon-an-ngon-dinh-duong-tot-cho-suc-khoe-i2849926985.html</v>
      </c>
      <c r="C7507" s="10" t="s">
        <v>7507</v>
      </c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>
      <c r="A7508" s="8">
        <v>12362.0</v>
      </c>
      <c r="B7508" s="9" t="str">
        <f>HYPERLINK("https://www.lazada.vn/products/mi-ly-nuoc-chay-nongshim-han-quoc-67g-i2996389113.html", "https://www.lazada.vn/products/mi-ly-nuoc-chay-nongshim-han-quoc-67g-i2996389113.html")</f>
        <v>https://www.lazada.vn/products/mi-ly-nuoc-chay-nongshim-han-quoc-67g-i2996389113.html</v>
      </c>
      <c r="C7508" s="10" t="s">
        <v>7508</v>
      </c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>
      <c r="A7509" s="8">
        <v>12363.0</v>
      </c>
      <c r="B7509" s="9" t="str">
        <f>HYPERLINK("https://www.lazada.vn/products/nuoc-ngot-fanta-thai24lon1thung-i2171173299.html", "https://www.lazada.vn/products/nuoc-ngot-fanta-thai24lon1thung-i2171173299.html")</f>
        <v>https://www.lazada.vn/products/nuoc-ngot-fanta-thai24lon1thung-i2171173299.html</v>
      </c>
      <c r="C7509" s="10" t="s">
        <v>7509</v>
      </c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>
      <c r="A7510" s="8">
        <v>12364.0</v>
      </c>
      <c r="B7510" s="9" t="str">
        <f>HYPERLINK("https://www.lazada.vn/products/mi-hao-hao-tom-chua-cay-75gr-thung-30-goi-i2768379240.html", "https://www.lazada.vn/products/mi-hao-hao-tom-chua-cay-75gr-thung-30-goi-i2768379240.html")</f>
        <v>https://www.lazada.vn/products/mi-hao-hao-tom-chua-cay-75gr-thung-30-goi-i2768379240.html</v>
      </c>
      <c r="C7510" s="10" t="s">
        <v>7510</v>
      </c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>
      <c r="A7511" s="8">
        <v>12365.0</v>
      </c>
      <c r="B7511" s="9" t="str">
        <f>HYPERLINK("https://www.lazada.vn/products/xoai-say-muoi-ot-xoai-say-cay-an-vat-trai-cay-mang-cau-xiem-muoi-nhu-y-i2881649684.html", "https://www.lazada.vn/products/xoai-say-muoi-ot-xoai-say-cay-an-vat-trai-cay-mang-cau-xiem-muoi-nhu-y-i2881649684.html")</f>
        <v>https://www.lazada.vn/products/xoai-say-muoi-ot-xoai-say-cay-an-vat-trai-cay-mang-cau-xiem-muoi-nhu-y-i2881649684.html</v>
      </c>
      <c r="C7511" s="10" t="s">
        <v>7511</v>
      </c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>
      <c r="A7512" s="8">
        <v>12366.0</v>
      </c>
      <c r="B7512" s="9" t="str">
        <f>HYPERLINK("https://www.lazada.vn/products/nuoc-ep-dua-nguyen-chat-rauch-200ml-nhap-khau-klever-fruit-i2709893723.html", "https://www.lazada.vn/products/nuoc-ep-dua-nguyen-chat-rauch-200ml-nhap-khau-klever-fruit-i2709893723.html")</f>
        <v>https://www.lazada.vn/products/nuoc-ep-dua-nguyen-chat-rauch-200ml-nhap-khau-klever-fruit-i2709893723.html</v>
      </c>
      <c r="C7512" s="10" t="s">
        <v>7512</v>
      </c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>
      <c r="A7513" s="8">
        <v>12367.0</v>
      </c>
      <c r="B7513" s="9" t="str">
        <f>HYPERLINK("https://www.lazada.vn/products/thach-zai-zai-tui-1kg-zai-zai-thanh-dai-hang-cong-ty-duc-hanh-i2080569656.html", "https://www.lazada.vn/products/thach-zai-zai-tui-1kg-zai-zai-thanh-dai-hang-cong-ty-duc-hanh-i2080569656.html")</f>
        <v>https://www.lazada.vn/products/thach-zai-zai-tui-1kg-zai-zai-thanh-dai-hang-cong-ty-duc-hanh-i2080569656.html</v>
      </c>
      <c r="C7513" s="10" t="s">
        <v>7513</v>
      </c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>
      <c r="A7514" s="8">
        <v>12368.0</v>
      </c>
      <c r="B7514" s="9" t="str">
        <f>HYPERLINK("https://www.lazada.vn/products/coop-online-bia-carlsberg-dpilsner-330ml-i2860247638.html", "https://www.lazada.vn/products/coop-online-bia-carlsberg-dpilsner-330ml-i2860247638.html")</f>
        <v>https://www.lazada.vn/products/coop-online-bia-carlsberg-dpilsner-330ml-i2860247638.html</v>
      </c>
      <c r="C7514" s="10" t="s">
        <v>7514</v>
      </c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>
      <c r="A7515" s="8">
        <v>12369.0</v>
      </c>
      <c r="B7515" s="9" t="str">
        <f>HYPERLINK("https://www.lazada.vn/products/xa-kho_hat-catsrang-5kg-cho-meo-bao-bi-moi-chinh-hang-i2999408460.html", "https://www.lazada.vn/products/xa-kho_hat-catsrang-5kg-cho-meo-bao-bi-moi-chinh-hang-i2999408460.html")</f>
        <v>https://www.lazada.vn/products/xa-kho_hat-catsrang-5kg-cho-meo-bao-bi-moi-chinh-hang-i2999408460.html</v>
      </c>
      <c r="C7515" s="10" t="s">
        <v>7515</v>
      </c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>
      <c r="A7516" s="8">
        <v>12370.0</v>
      </c>
      <c r="B7516" s="9" t="str">
        <f>HYPERLINK("https://www.lazada.vn/products/bap-ngo-no-lo-vi-song-jolly-time-healthy-pop-microwave-popcorn-hop-3-tui-255g-9-oz-i3001795401.html", "https://www.lazada.vn/products/bap-ngo-no-lo-vi-song-jolly-time-healthy-pop-microwave-popcorn-hop-3-tui-255g-9-oz-i3001795401.html")</f>
        <v>https://www.lazada.vn/products/bap-ngo-no-lo-vi-song-jolly-time-healthy-pop-microwave-popcorn-hop-3-tui-255g-9-oz-i3001795401.html</v>
      </c>
      <c r="C7516" s="10" t="s">
        <v>7516</v>
      </c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>
      <c r="A7517" s="8">
        <v>12371.0</v>
      </c>
      <c r="B7517" s="9" t="str">
        <f>HYPERLINK("https://www.lazada.vn/products/bot-pha-nuoc-cam-tang-my-orange-naranja-566gr-204kg-i2648339933.html", "https://www.lazada.vn/products/bot-pha-nuoc-cam-tang-my-orange-naranja-566gr-204kg-i2648339933.html")</f>
        <v>https://www.lazada.vn/products/bot-pha-nuoc-cam-tang-my-orange-naranja-566gr-204kg-i2648339933.html</v>
      </c>
      <c r="C7517" s="10" t="s">
        <v>7517</v>
      </c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>
      <c r="A7518" s="8">
        <v>12372.0</v>
      </c>
      <c r="B7518" s="9" t="str">
        <f>HYPERLINK("https://www.lazada.vn/products/banh-thuyen-mix-hat-combo-2-bich-moi-bich-400g-i2598476982.html", "https://www.lazada.vn/products/banh-thuyen-mix-hat-combo-2-bich-moi-bich-400g-i2598476982.html")</f>
        <v>https://www.lazada.vn/products/banh-thuyen-mix-hat-combo-2-bich-moi-bich-400g-i2598476982.html</v>
      </c>
      <c r="C7518" s="10" t="s">
        <v>7518</v>
      </c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>
      <c r="A7519" s="8">
        <v>12373.0</v>
      </c>
      <c r="B7519" s="9" t="str">
        <f>HYPERLINK("https://www.lazada.vn/products/vang-y-romeo-i2499805166.html", "https://www.lazada.vn/products/vang-y-romeo-i2499805166.html")</f>
        <v>https://www.lazada.vn/products/vang-y-romeo-i2499805166.html</v>
      </c>
      <c r="C7519" s="10" t="s">
        <v>7519</v>
      </c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>
      <c r="A7520" s="8">
        <v>12374.0</v>
      </c>
      <c r="B7520" s="9" t="str">
        <f>HYPERLINK("https://www.lazada.vn/products/banh-trang-deo-hanh-ot-lai-1-500g-250g-i2328852424.html", "https://www.lazada.vn/products/banh-trang-deo-hanh-ot-lai-1-500g-250g-i2328852424.html")</f>
        <v>https://www.lazada.vn/products/banh-trang-deo-hanh-ot-lai-1-500g-250g-i2328852424.html</v>
      </c>
      <c r="C7520" s="10" t="s">
        <v>7520</v>
      </c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>
      <c r="A7521" s="8">
        <v>12375.0</v>
      </c>
      <c r="B7521" s="9" t="str">
        <f>HYPERLINK("https://www.lazada.vn/products/mau-moi-banh-tong-hop-cao-cap-nhieu-loai-bourbon-high-selection-cookies-wafers-33-cai-i2126510549.html", "https://www.lazada.vn/products/mau-moi-banh-tong-hop-cao-cap-nhieu-loai-bourbon-high-selection-cookies-wafers-33-cai-i2126510549.html")</f>
        <v>https://www.lazada.vn/products/mau-moi-banh-tong-hop-cao-cap-nhieu-loai-bourbon-high-selection-cookies-wafers-33-cai-i2126510549.html</v>
      </c>
      <c r="C7521" s="10" t="s">
        <v>7521</v>
      </c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>
      <c r="A7522" s="8">
        <v>12376.0</v>
      </c>
      <c r="B7522" s="9" t="str">
        <f>HYPERLINK("https://www.lazada.vn/products/dac-rim-chanh-day-thom-dac-san-que-i1747433093.html", "https://www.lazada.vn/products/dac-rim-chanh-day-thom-dac-san-que-i1747433093.html")</f>
        <v>https://www.lazada.vn/products/dac-rim-chanh-day-thom-dac-san-que-i1747433093.html</v>
      </c>
      <c r="C7522" s="10" t="s">
        <v>7522</v>
      </c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>
      <c r="A7523" s="8">
        <v>12377.0</v>
      </c>
      <c r="B7523" s="9" t="str">
        <f>HYPERLINK("https://www.lazada.vn/products/tra-sam-dua-bao-ngan-350-gram-i2999560296.html", "https://www.lazada.vn/products/tra-sam-dua-bao-ngan-350-gram-i2999560296.html")</f>
        <v>https://www.lazada.vn/products/tra-sam-dua-bao-ngan-350-gram-i2999560296.html</v>
      </c>
      <c r="C7523" s="10" t="s">
        <v>7523</v>
      </c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>
      <c r="A7524" s="8">
        <v>12378.0</v>
      </c>
      <c r="B7524" s="9" t="str">
        <f>HYPERLINK("https://www.lazada.vn/products/hcmngu-coc-dinh-duong-canxi-it-duong-400g-i1367910029.html", "https://www.lazada.vn/products/hcmngu-coc-dinh-duong-canxi-it-duong-400g-i1367910029.html")</f>
        <v>https://www.lazada.vn/products/hcmngu-coc-dinh-duong-canxi-it-duong-400g-i1367910029.html</v>
      </c>
      <c r="C7524" s="10" t="s">
        <v>7524</v>
      </c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>
      <c r="A7525" s="8">
        <v>12379.0</v>
      </c>
      <c r="B7525" s="9" t="str">
        <f>HYPERLINK("https://www.lazada.vn/products/combo-500g-banh-trang-phoi-suong-mem-deo-100g-muoi-bo-loai-ngon-ben-an-vat-i2664429656.html", "https://www.lazada.vn/products/combo-500g-banh-trang-phoi-suong-mem-deo-100g-muoi-bo-loai-ngon-ben-an-vat-i2664429656.html")</f>
        <v>https://www.lazada.vn/products/combo-500g-banh-trang-phoi-suong-mem-deo-100g-muoi-bo-loai-ngon-ben-an-vat-i2664429656.html</v>
      </c>
      <c r="C7525" s="10" t="s">
        <v>7525</v>
      </c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>
      <c r="A7526" s="8">
        <v>12380.0</v>
      </c>
      <c r="B7526" s="9" t="str">
        <f>HYPERLINK("https://www.lazada.vn/products/500gr-keo-chip-chip-tuoi-tho-i2675562251.html", "https://www.lazada.vn/products/500gr-keo-chip-chip-tuoi-tho-i2675562251.html")</f>
        <v>https://www.lazada.vn/products/500gr-keo-chip-chip-tuoi-tho-i2675562251.html</v>
      </c>
      <c r="C7526" s="10" t="s">
        <v>7526</v>
      </c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>
      <c r="A7527" s="8">
        <v>12381.0</v>
      </c>
      <c r="B7527" s="9" t="str">
        <f>HYPERLINK("https://www.lazada.vn/products/nuoc-tang-luc-asahi-monster-mango-loco-355ml-vi-xoai-du-hang-noi-dia-nhat-100-i2118113681.html", "https://www.lazada.vn/products/nuoc-tang-luc-asahi-monster-mango-loco-355ml-vi-xoai-du-hang-noi-dia-nhat-100-i2118113681.html")</f>
        <v>https://www.lazada.vn/products/nuoc-tang-luc-asahi-monster-mango-loco-355ml-vi-xoai-du-hang-noi-dia-nhat-100-i2118113681.html</v>
      </c>
      <c r="C7527" s="10" t="s">
        <v>7527</v>
      </c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>
      <c r="A7528" s="8">
        <v>12382.0</v>
      </c>
      <c r="B7528" s="9" t="str">
        <f>HYPERLINK("https://www.lazada.vn/products/500g-banh-quy-bo-sua-man-hinh-tron-200g-i2849889177.html", "https://www.lazada.vn/products/500g-banh-quy-bo-sua-man-hinh-tron-200g-i2849889177.html")</f>
        <v>https://www.lazada.vn/products/500g-banh-quy-bo-sua-man-hinh-tron-200g-i2849889177.html</v>
      </c>
      <c r="C7528" s="10" t="s">
        <v>7528</v>
      </c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>
      <c r="A7529" s="8">
        <v>12383.0</v>
      </c>
      <c r="B7529" s="9" t="str">
        <f>HYPERLINK("https://www.lazada.vn/products/mi-ly-nuoc-chay-nongshim-han-quoc-67g-i2996354231.html", "https://www.lazada.vn/products/mi-ly-nuoc-chay-nongshim-han-quoc-67g-i2996354231.html")</f>
        <v>https://www.lazada.vn/products/mi-ly-nuoc-chay-nongshim-han-quoc-67g-i2996354231.html</v>
      </c>
      <c r="C7529" s="10" t="s">
        <v>7529</v>
      </c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>
      <c r="A7530" s="8">
        <v>12384.0</v>
      </c>
      <c r="B7530" s="9" t="str">
        <f>HYPERLINK("https://www.lazada.vn/products/coca-cola-nhi-size-mini-original-taste-vi-nguyen-ban-nhat-ban-160ml-thung-30-lon-i2138288833.html", "https://www.lazada.vn/products/coca-cola-nhi-size-mini-original-taste-vi-nguyen-ban-nhat-ban-160ml-thung-30-lon-i2138288833.html")</f>
        <v>https://www.lazada.vn/products/coca-cola-nhi-size-mini-original-taste-vi-nguyen-ban-nhat-ban-160ml-thung-30-lon-i2138288833.html</v>
      </c>
      <c r="C7530" s="10" t="s">
        <v>7530</v>
      </c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>
      <c r="A7531" s="8">
        <v>12385.0</v>
      </c>
      <c r="B7531" s="9" t="str">
        <f>HYPERLINK("https://www.lazada.vn/products/nuoc-ngot-coca-chai-nhom-coca-orginal-taste-i2132335183.html", "https://www.lazada.vn/products/nuoc-ngot-coca-chai-nhom-coca-orginal-taste-i2132335183.html")</f>
        <v>https://www.lazada.vn/products/nuoc-ngot-coca-chai-nhom-coca-orginal-taste-i2132335183.html</v>
      </c>
      <c r="C7531" s="10" t="s">
        <v>7531</v>
      </c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>
      <c r="A7532" s="8">
        <v>12386.0</v>
      </c>
      <c r="B7532" s="9" t="str">
        <f>HYPERLINK("https://www.lazada.vn/products/nuoc-ngot-fanta-nhat-300ml-nhieu-vi-i2709373670.html", "https://www.lazada.vn/products/nuoc-ngot-fanta-nhat-300ml-nhieu-vi-i2709373670.html")</f>
        <v>https://www.lazada.vn/products/nuoc-ngot-fanta-nhat-300ml-nhieu-vi-i2709373670.html</v>
      </c>
      <c r="C7532" s="10" t="s">
        <v>7532</v>
      </c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>
      <c r="A7533" s="8">
        <v>12387.0</v>
      </c>
      <c r="B7533" s="9" t="str">
        <f>HYPERLINK("https://www.lazada.vn/products/mi-ky-miliket-1kg-i2767919957.html", "https://www.lazada.vn/products/mi-ky-miliket-1kg-i2767919957.html")</f>
        <v>https://www.lazada.vn/products/mi-ky-miliket-1kg-i2767919957.html</v>
      </c>
      <c r="C7533" s="10" t="s">
        <v>7533</v>
      </c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>
      <c r="A7534" s="8">
        <v>12388.0</v>
      </c>
      <c r="B7534" s="9" t="str">
        <f>HYPERLINK("https://www.lazada.vn/products/vang-y-moon-i2499639407.html", "https://www.lazada.vn/products/vang-y-moon-i2499639407.html")</f>
        <v>https://www.lazada.vn/products/vang-y-moon-i2499639407.html</v>
      </c>
      <c r="C7534" s="10" t="s">
        <v>7534</v>
      </c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>
      <c r="A7535" s="8">
        <v>12389.0</v>
      </c>
      <c r="B7535" s="9" t="str">
        <f>HYPERLINK("https://www.lazada.vn/products/whiskas-combo-1-hat-cho-meo-lon-whiskas-vi-ca-bien-12kg-6-goi-pate-cho-meo-lon-whiskas-vi-ca-bien-80ggoi-i2999235954.html", "https://www.lazada.vn/products/whiskas-combo-1-hat-cho-meo-lon-whiskas-vi-ca-bien-12kg-6-goi-pate-cho-meo-lon-whiskas-vi-ca-bien-80ggoi-i2999235954.html")</f>
        <v>https://www.lazada.vn/products/whiskas-combo-1-hat-cho-meo-lon-whiskas-vi-ca-bien-12kg-6-goi-pate-cho-meo-lon-whiskas-vi-ca-bien-80ggoi-i2999235954.html</v>
      </c>
      <c r="C7535" s="10" t="s">
        <v>7535</v>
      </c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>
      <c r="A7536" s="8">
        <v>12390.0</v>
      </c>
      <c r="B7536" s="9" t="str">
        <f>HYPERLINK("https://www.lazada.vn/products/mi-hao-hao-kim-chi-thung-30-goi-72g-i2766907706.html", "https://www.lazada.vn/products/mi-hao-hao-kim-chi-thung-30-goi-72g-i2766907706.html")</f>
        <v>https://www.lazada.vn/products/mi-hao-hao-kim-chi-thung-30-goi-72g-i2766907706.html</v>
      </c>
      <c r="C7536" s="10" t="s">
        <v>7536</v>
      </c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>
      <c r="A7537" s="8">
        <v>12391.0</v>
      </c>
      <c r="B7537" s="9" t="str">
        <f>HYPERLINK("https://www.lazada.vn/products/coop-online-bia-tiger-crystal-lon-330ml-i2860207788.html", "https://www.lazada.vn/products/coop-online-bia-tiger-crystal-lon-330ml-i2860207788.html")</f>
        <v>https://www.lazada.vn/products/coop-online-bia-tiger-crystal-lon-330ml-i2860207788.html</v>
      </c>
      <c r="C7537" s="10" t="s">
        <v>7537</v>
      </c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>
      <c r="A7538" s="8">
        <v>12392.0</v>
      </c>
      <c r="B7538" s="9" t="str">
        <f>HYPERLINK("https://www.lazada.vn/products/khoai-mon-cong-say-gion-xuat-khau-100g-250g-500g-i2880761328.html", "https://www.lazada.vn/products/khoai-mon-cong-say-gion-xuat-khau-100g-250g-500g-i2880761328.html")</f>
        <v>https://www.lazada.vn/products/khoai-mon-cong-say-gion-xuat-khau-100g-250g-500g-i2880761328.html</v>
      </c>
      <c r="C7538" s="10" t="s">
        <v>7538</v>
      </c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>
      <c r="A7539" s="8">
        <v>12393.0</v>
      </c>
      <c r="B7539" s="9" t="str">
        <f>HYPERLINK("https://www.lazada.vn/products/500g-thach-zai-zai-duc-hanh-phien-ban-moi-zai-zai-dai-i2073256304.html", "https://www.lazada.vn/products/500g-thach-zai-zai-duc-hanh-phien-ban-moi-zai-zai-dai-i2073256304.html")</f>
        <v>https://www.lazada.vn/products/500g-thach-zai-zai-duc-hanh-phien-ban-moi-zai-zai-dai-i2073256304.html</v>
      </c>
      <c r="C7539" s="10" t="s">
        <v>7539</v>
      </c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>
      <c r="A7540" s="8">
        <v>12394.0</v>
      </c>
      <c r="B7540" s="9" t="str">
        <f>HYPERLINK("https://www.lazada.vn/products/bot-ca-cao-nguyen-chat-premier-win-pure-cacao-powder-dung-lam-banh-bong-lan-banh-cookies-banh-keo-do-trang-mieng-va-nuoc-uong-ca-cao-lon-350-gram-i2648302082.html", "https://www.lazada.vn/products/bot-ca-cao-nguyen-chat-premier-win-pure-cacao-powder-dung-lam-banh-bong-lan-banh-cookies-banh-keo-do-trang-mieng-va-nuoc-uong-ca-cao-lon-350-gram-i2648302082.html")</f>
        <v>https://www.lazada.vn/products/bot-ca-cao-nguyen-chat-premier-win-pure-cacao-powder-dung-lam-banh-bong-lan-banh-cookies-banh-keo-do-trang-mieng-va-nuoc-uong-ca-cao-lon-350-gram-i2648302082.html</v>
      </c>
      <c r="C7540" s="10" t="s">
        <v>7540</v>
      </c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>
      <c r="A7541" s="8">
        <v>12395.0</v>
      </c>
      <c r="B7541" s="9" t="str">
        <f>HYPERLINK("https://www.lazada.vn/products/bap-rang-bo-mitoms-popcorn-bong-ngo-my-chuan-rap-phim-vi-pho-mai-cam-caramel-rong-bien-i2870140632.html", "https://www.lazada.vn/products/bap-rang-bo-mitoms-popcorn-bong-ngo-my-chuan-rap-phim-vi-pho-mai-cam-caramel-rong-bien-i2870140632.html")</f>
        <v>https://www.lazada.vn/products/bap-rang-bo-mitoms-popcorn-bong-ngo-my-chuan-rap-phim-vi-pho-mai-cam-caramel-rong-bien-i2870140632.html</v>
      </c>
      <c r="C7541" s="10" t="s">
        <v>7541</v>
      </c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>
      <c r="A7542" s="8">
        <v>12396.0</v>
      </c>
      <c r="B7542" s="9" t="str">
        <f>HYPERLINK("https://www.lazada.vn/products/banh-le-hop-thiec-gpr-114g-du-mau-sieu-thi-lan-chi-i2598235858.html", "https://www.lazada.vn/products/banh-le-hop-thiec-gpr-114g-du-mau-sieu-thi-lan-chi-i2598235858.html")</f>
        <v>https://www.lazada.vn/products/banh-le-hop-thiec-gpr-114g-du-mau-sieu-thi-lan-chi-i2598235858.html</v>
      </c>
      <c r="C7542" s="10" t="s">
        <v>7542</v>
      </c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>
      <c r="A7543" s="8">
        <v>12397.0</v>
      </c>
      <c r="B7543" s="9" t="str">
        <f>HYPERLINK("https://www.lazada.vn/products/1kg-banh-trang-xi-ke-cay-xe-sieu-ngon-chuan-tay-ninh-an-la-ghien-i2327663275.html", "https://www.lazada.vn/products/1kg-banh-trang-xi-ke-cay-xe-sieu-ngon-chuan-tay-ninh-an-la-ghien-i2327663275.html")</f>
        <v>https://www.lazada.vn/products/1kg-banh-trang-xi-ke-cay-xe-sieu-ngon-chuan-tay-ninh-an-la-ghien-i2327663275.html</v>
      </c>
      <c r="C7543" s="10" t="s">
        <v>7543</v>
      </c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>
      <c r="A7544" s="8">
        <v>12398.0</v>
      </c>
      <c r="B7544" s="9" t="str">
        <f>HYPERLINK("https://www.lazada.vn/products/banh-trung-chay-liu-xin-su-hop-6-chiec-date-luon-moi-hot-i2659245578.html", "https://www.lazada.vn/products/banh-trung-chay-liu-xin-su-hop-6-chiec-date-luon-moi-hot-i2659245578.html")</f>
        <v>https://www.lazada.vn/products/banh-trung-chay-liu-xin-su-hop-6-chiec-date-luon-moi-hot-i2659245578.html</v>
      </c>
      <c r="C7544" s="10" t="s">
        <v>7544</v>
      </c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>
      <c r="A7545" s="8">
        <v>12399.0</v>
      </c>
      <c r="B7545" s="9" t="str">
        <f>HYPERLINK("https://www.lazada.vn/products/dac-rim-thom-hu-500g-dac-san-que-i1747366332.html", "https://www.lazada.vn/products/dac-rim-thom-hu-500g-dac-san-que-i1747366332.html")</f>
        <v>https://www.lazada.vn/products/dac-rim-thom-hu-500g-dac-san-que-i1747366332.html</v>
      </c>
      <c r="C7545" s="10" t="s">
        <v>7545</v>
      </c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>
      <c r="A7546" s="8">
        <v>12400.0</v>
      </c>
      <c r="B7546" s="9" t="str">
        <f>HYPERLINK("https://www.lazada.vn/products/1ky-banh-bong-lan-mochi-phu-the-dai-loan-18_23c-banh-mochi-phu-the-deo-nhan-bong-lan-i2111133110.html", "https://www.lazada.vn/products/1ky-banh-bong-lan-mochi-phu-the-dai-loan-18_23c-banh-mochi-phu-the-deo-nhan-bong-lan-i2111133110.html")</f>
        <v>https://www.lazada.vn/products/1ky-banh-bong-lan-mochi-phu-the-dai-loan-18_23c-banh-mochi-phu-the-deo-nhan-bong-lan-i2111133110.html</v>
      </c>
      <c r="C7546" s="10" t="s">
        <v>7546</v>
      </c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>
      <c r="A7547" s="8">
        <v>12401.0</v>
      </c>
      <c r="B7547" s="9" t="str">
        <f>HYPERLINK("https://www.lazada.vn/products/bot-cacao-sua-dua-cocofarm-i1363051145.html", "https://www.lazada.vn/products/bot-cacao-sua-dua-cocofarm-i1363051145.html")</f>
        <v>https://www.lazada.vn/products/bot-cacao-sua-dua-cocofarm-i1363051145.html</v>
      </c>
      <c r="C7547" s="10" t="s">
        <v>7547</v>
      </c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>
      <c r="A7548" s="8">
        <v>12402.0</v>
      </c>
      <c r="B7548" s="9" t="str">
        <f>HYPERLINK("https://www.lazada.vn/products/khoai-mon-cong-say-mam-hanh-tam-vi-co-video-i2664376570.html", "https://www.lazada.vn/products/khoai-mon-cong-say-mam-hanh-tam-vi-co-video-i2664376570.html")</f>
        <v>https://www.lazada.vn/products/khoai-mon-cong-say-mam-hanh-tam-vi-co-video-i2664376570.html</v>
      </c>
      <c r="C7548" s="10" t="s">
        <v>7548</v>
      </c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>
      <c r="A7549" s="8">
        <v>12403.0</v>
      </c>
      <c r="B7549" s="9" t="str">
        <f>HYPERLINK("https://www.lazada.vn/products/ruou-nep-nguyen-chat-nha-nau-cam-ket-khong-pha-i2892022464.html", "https://www.lazada.vn/products/ruou-nep-nguyen-chat-nha-nau-cam-ket-khong-pha-i2892022464.html")</f>
        <v>https://www.lazada.vn/products/ruou-nep-nguyen-chat-nha-nau-cam-ket-khong-pha-i2892022464.html</v>
      </c>
      <c r="C7549" s="10" t="s">
        <v>7549</v>
      </c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>
      <c r="A7550" s="8">
        <v>12404.0</v>
      </c>
      <c r="B7550" s="9" t="str">
        <f>HYPERLINK("https://www.lazada.vn/products/combo-20-cay-keo-mut-trai-cay-gau-dau-lotso-i2674197194.html", "https://www.lazada.vn/products/combo-20-cay-keo-mut-trai-cay-gau-dau-lotso-i2674197194.html")</f>
        <v>https://www.lazada.vn/products/combo-20-cay-keo-mut-trai-cay-gau-dau-lotso-i2674197194.html</v>
      </c>
      <c r="C7550" s="10" t="s">
        <v>7550</v>
      </c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>
      <c r="A7551" s="8">
        <v>12405.0</v>
      </c>
      <c r="B7551" s="9" t="str">
        <f>HYPERLINK("https://www.lazada.vn/products/thung-24-chai-nuoc-tang-luc-abben-vi-chanh-chai-350ml-i2101725230.html", "https://www.lazada.vn/products/thung-24-chai-nuoc-tang-luc-abben-vi-chanh-chai-350ml-i2101725230.html")</f>
        <v>https://www.lazada.vn/products/thung-24-chai-nuoc-tang-luc-abben-vi-chanh-chai-350ml-i2101725230.html</v>
      </c>
      <c r="C7551" s="10" t="s">
        <v>7551</v>
      </c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>
      <c r="A7552" s="8">
        <v>12406.0</v>
      </c>
      <c r="B7552" s="9" t="str">
        <f>HYPERLINK("https://www.lazada.vn/products/1kg-banh-quy-bo-sua-man-hinh-tron-500g-i2849782501.html", "https://www.lazada.vn/products/1kg-banh-quy-bo-sua-man-hinh-tron-500g-i2849782501.html")</f>
        <v>https://www.lazada.vn/products/1kg-banh-quy-bo-sua-man-hinh-tron-500g-i2849782501.html</v>
      </c>
      <c r="C7552" s="10" t="s">
        <v>7552</v>
      </c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>
      <c r="A7553" s="8">
        <v>12407.0</v>
      </c>
      <c r="B7553" s="9" t="str">
        <f>HYPERLINK("https://www.lazada.vn/products/combo-6-mi-ly-modern-lau-thai-tom-chua-cay-loai-65g-i2995729516.html", "https://www.lazada.vn/products/combo-6-mi-ly-modern-lau-thai-tom-chua-cay-loai-65g-i2995729516.html")</f>
        <v>https://www.lazada.vn/products/combo-6-mi-ly-modern-lau-thai-tom-chua-cay-loai-65g-i2995729516.html</v>
      </c>
      <c r="C7553" s="10" t="s">
        <v>7553</v>
      </c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>
      <c r="A7554" s="8">
        <v>12408.0</v>
      </c>
      <c r="B7554" s="9" t="str">
        <f>HYPERLINK("https://www.lazada.vn/products/ca-sac-dong-1-nang-500g-i2998377167.html", "https://www.lazada.vn/products/ca-sac-dong-1-nang-500g-i2998377167.html")</f>
        <v>https://www.lazada.vn/products/ca-sac-dong-1-nang-500g-i2998377167.html</v>
      </c>
      <c r="C7554" s="10" t="s">
        <v>7554</v>
      </c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>
      <c r="A7555" s="8">
        <v>12409.0</v>
      </c>
      <c r="B7555" s="9" t="str">
        <f>HYPERLINK("https://www.lazada.vn/products/loc-6-lon-nuoc-giai-khat-mirinda-xa-xi-sleek-330mllon-i2127602194.html", "https://www.lazada.vn/products/loc-6-lon-nuoc-giai-khat-mirinda-xa-xi-sleek-330mllon-i2127602194.html")</f>
        <v>https://www.lazada.vn/products/loc-6-lon-nuoc-giai-khat-mirinda-xa-xi-sleek-330mllon-i2127602194.html</v>
      </c>
      <c r="C7555" s="10" t="s">
        <v>7555</v>
      </c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>
      <c r="A7556" s="8">
        <v>12410.0</v>
      </c>
      <c r="B7556" s="9" t="str">
        <f>HYPERLINK("https://www.lazada.vn/products/ruou-vang-do-chile-montgras-day-one-carmenere-i2493617374.html", "https://www.lazada.vn/products/ruou-vang-do-chile-montgras-day-one-carmenere-i2493617374.html")</f>
        <v>https://www.lazada.vn/products/ruou-vang-do-chile-montgras-day-one-carmenere-i2493617374.html</v>
      </c>
      <c r="C7556" s="10" t="s">
        <v>7556</v>
      </c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>
      <c r="A7557" s="8">
        <v>12411.0</v>
      </c>
      <c r="B7557" s="9" t="str">
        <f>HYPERLINK("https://www.lazada.vn/products/hu-900gr-da-me-hat-deo-da-me-thanh-binh-tac-xi-muoi-thanh-binh-thuc-uong-giai-khat-mien-tay-i2707364392.html", "https://www.lazada.vn/products/hu-900gr-da-me-hat-deo-da-me-thanh-binh-tac-xi-muoi-thanh-binh-thuc-uong-giai-khat-mien-tay-i2707364392.html")</f>
        <v>https://www.lazada.vn/products/hu-900gr-da-me-hat-deo-da-me-thanh-binh-tac-xi-muoi-thanh-binh-thuc-uong-giai-khat-mien-tay-i2707364392.html</v>
      </c>
      <c r="C7557" s="10" t="s">
        <v>7557</v>
      </c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>
      <c r="A7558" s="8">
        <v>12412.0</v>
      </c>
      <c r="B7558" s="9" t="str">
        <f>HYPERLINK("https://www.lazada.vn/products/bap-say-mam-hanh-250g-500g-1-kg-i2880658836.html", "https://www.lazada.vn/products/bap-say-mam-hanh-250g-500g-1-kg-i2880658836.html")</f>
        <v>https://www.lazada.vn/products/bap-say-mam-hanh-250g-500g-1-kg-i2880658836.html</v>
      </c>
      <c r="C7558" s="10" t="s">
        <v>7558</v>
      </c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>
      <c r="A7559" s="8">
        <v>12413.0</v>
      </c>
      <c r="B7559" s="9" t="str">
        <f>HYPERLINK("https://www.lazada.vn/products/xuc-xich-winner-xuc-xich-an-lien-winer-hieu-cp-chien-ran-tha-lau-sieu-re-tien-loi-500gr-10c-i2766711751.html", "https://www.lazada.vn/products/xuc-xich-winner-xuc-xich-an-lien-winer-hieu-cp-chien-ran-tha-lau-sieu-re-tien-loi-500gr-10c-i2766711751.html")</f>
        <v>https://www.lazada.vn/products/xuc-xich-winner-xuc-xich-an-lien-winer-hieu-cp-chien-ran-tha-lau-sieu-re-tien-loi-500gr-10c-i2766711751.html</v>
      </c>
      <c r="C7559" s="10" t="s">
        <v>7559</v>
      </c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>
      <c r="A7560" s="8">
        <v>12414.0</v>
      </c>
      <c r="B7560" s="9" t="str">
        <f>HYPERLINK("https://www.lazada.vn/products/tinh-bot-diep-luc-unia-a90-i2647597150.html", "https://www.lazada.vn/products/tinh-bot-diep-luc-unia-a90-i2647597150.html")</f>
        <v>https://www.lazada.vn/products/tinh-bot-diep-luc-unia-a90-i2647597150.html</v>
      </c>
      <c r="C7560" s="10" t="s">
        <v>7560</v>
      </c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>
      <c r="A7561" s="8">
        <v>12415.0</v>
      </c>
      <c r="B7561" s="9" t="str">
        <f>HYPERLINK("https://www.lazada.vn/products/500g-thach-zai-zai-duc-hanh-phien-ban-moi-zai-zai-dai-i2073135905.html", "https://www.lazada.vn/products/500g-thach-zai-zai-duc-hanh-phien-ban-moi-zai-zai-dai-i2073135905.html")</f>
        <v>https://www.lazada.vn/products/500g-thach-zai-zai-duc-hanh-phien-ban-moi-zai-zai-dai-i2073135905.html</v>
      </c>
      <c r="C7561" s="10" t="s">
        <v>7561</v>
      </c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>
      <c r="A7562" s="8">
        <v>12416.0</v>
      </c>
      <c r="B7562" s="9" t="str">
        <f>HYPERLINK("https://www.lazada.vn/products/coop-online-bia-heineken-silver-cool-pack-lon-250ml-i2860182819.html", "https://www.lazada.vn/products/coop-online-bia-heineken-silver-cool-pack-lon-250ml-i2860182819.html")</f>
        <v>https://www.lazada.vn/products/coop-online-bia-heineken-silver-cool-pack-lon-250ml-i2860182819.html</v>
      </c>
      <c r="C7562" s="10" t="s">
        <v>7562</v>
      </c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>
      <c r="A7563" s="8">
        <v>12417.0</v>
      </c>
      <c r="B7563" s="9" t="str">
        <f>HYPERLINK("https://www.lazada.vn/products/hang-uc-bap-rang-bo-lo-vi-song-poppin-microwave-popcorn-100g-i2866364507.html", "https://www.lazada.vn/products/hang-uc-bap-rang-bo-lo-vi-song-poppin-microwave-popcorn-100g-i2866364507.html")</f>
        <v>https://www.lazada.vn/products/hang-uc-bap-rang-bo-lo-vi-song-poppin-microwave-popcorn-100g-i2866364507.html</v>
      </c>
      <c r="C7563" s="10" t="s">
        <v>7563</v>
      </c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>
      <c r="A7564" s="8">
        <v>12418.0</v>
      </c>
      <c r="B7564" s="9" t="str">
        <f>HYPERLINK("https://www.lazada.vn/products/banh-my-sandwich-kem-sua-chua-shika-1-chiec-85g-shop-thai-ha-i2598078727.html", "https://www.lazada.vn/products/banh-my-sandwich-kem-sua-chua-shika-1-chiec-85g-shop-thai-ha-i2598078727.html")</f>
        <v>https://www.lazada.vn/products/banh-my-sandwich-kem-sua-chua-shika-1-chiec-85g-shop-thai-ha-i2598078727.html</v>
      </c>
      <c r="C7564" s="10" t="s">
        <v>7564</v>
      </c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>
      <c r="A7565" s="8">
        <v>12419.0</v>
      </c>
      <c r="B7565" s="9" t="str">
        <f>HYPERLINK("https://www.lazada.vn/products/500gr-banh-trang-rong-bien-chay-toi-thom-ngon-chuan-tay-ninh-i2327620554.html", "https://www.lazada.vn/products/500gr-banh-trang-rong-bien-chay-toi-thom-ngon-chuan-tay-ninh-i2327620554.html")</f>
        <v>https://www.lazada.vn/products/500gr-banh-trang-rong-bien-chay-toi-thom-ngon-chuan-tay-ninh-i2327620554.html</v>
      </c>
      <c r="C7565" s="10" t="s">
        <v>7565</v>
      </c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>
      <c r="A7566" s="8">
        <v>12420.0</v>
      </c>
      <c r="B7566" s="9" t="str">
        <f>HYPERLINK("https://www.lazada.vn/products/luong-kho-nang-luong-cao-datrex-my-1-goi-720g-i2658835505.html", "https://www.lazada.vn/products/luong-kho-nang-luong-cao-datrex-my-1-goi-720g-i2658835505.html")</f>
        <v>https://www.lazada.vn/products/luong-kho-nang-luong-cao-datrex-my-1-goi-720g-i2658835505.html</v>
      </c>
      <c r="C7566" s="10" t="s">
        <v>7566</v>
      </c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>
      <c r="A7567" s="8">
        <v>12421.0</v>
      </c>
      <c r="B7567" s="9" t="str">
        <f>HYPERLINK("https://www.lazada.vn/products/hop-220g454g681g908g-banh-quy-bo-thap-cam-danisa-butter-i2005622318.html", "https://www.lazada.vn/products/hop-220g454g681g908g-banh-quy-bo-thap-cam-danisa-butter-i2005622318.html")</f>
        <v>https://www.lazada.vn/products/hop-220g454g681g908g-banh-quy-bo-thap-cam-danisa-butter-i2005622318.html</v>
      </c>
      <c r="C7567" s="10" t="s">
        <v>7567</v>
      </c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>
      <c r="A7568" s="8">
        <v>12422.0</v>
      </c>
      <c r="B7568" s="9" t="str">
        <f>HYPERLINK("https://www.lazada.vn/products/sot-viet-quat-boduo-hop-13kg-i1745391536.html", "https://www.lazada.vn/products/sot-viet-quat-boduo-hop-13kg-i1745391536.html")</f>
        <v>https://www.lazada.vn/products/sot-viet-quat-boduo-hop-13kg-i1745391536.html</v>
      </c>
      <c r="C7568" s="10" t="s">
        <v>7568</v>
      </c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>
      <c r="A7569" s="8">
        <v>12423.0</v>
      </c>
      <c r="B7569" s="9" t="str">
        <f>HYPERLINK("https://www.lazada.vn/products/bot-cacao-nguyen-chat-luaverg-500g-i1361839192.html", "https://www.lazada.vn/products/bot-cacao-nguyen-chat-luaverg-500g-i1361839192.html")</f>
        <v>https://www.lazada.vn/products/bot-cacao-nguyen-chat-luaverg-500g-i1361839192.html</v>
      </c>
      <c r="C7569" s="10" t="s">
        <v>7569</v>
      </c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>
      <c r="A7570" s="8">
        <v>12424.0</v>
      </c>
      <c r="B7570" s="9" t="str">
        <f>HYPERLINK("https://www.lazada.vn/products/vang-phap-sparkling-wine-beau-rocher-vang-sui-nhap-khau-i2793588503.html", "https://www.lazada.vn/products/vang-phap-sparkling-wine-beau-rocher-vang-sui-nhap-khau-i2793588503.html")</f>
        <v>https://www.lazada.vn/products/vang-phap-sparkling-wine-beau-rocher-vang-sui-nhap-khau-i2793588503.html</v>
      </c>
      <c r="C7570" s="10" t="s">
        <v>7570</v>
      </c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>
      <c r="A7571" s="8">
        <v>12425.0</v>
      </c>
      <c r="B7571" s="9" t="str">
        <f>HYPERLINK("https://www.lazada.vn/products/chinh-hang-keo-bo-sua-milk-malt-tablet-roscela-thai-lan-i2674171445.html", "https://www.lazada.vn/products/chinh-hang-keo-bo-sua-milk-malt-tablet-roscela-thai-lan-i2674171445.html")</f>
        <v>https://www.lazada.vn/products/chinh-hang-keo-bo-sua-milk-malt-tablet-roscela-thai-lan-i2674171445.html</v>
      </c>
      <c r="C7571" s="10" t="s">
        <v>7571</v>
      </c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>
      <c r="A7572" s="8">
        <v>12426.0</v>
      </c>
      <c r="B7572" s="9" t="str">
        <f>HYPERLINK("https://www.lazada.vn/products/1-loc-6-lon-nuoc-tang-luc-warrior-dau-lon-i2091337433.html", "https://www.lazada.vn/products/1-loc-6-lon-nuoc-tang-luc-warrior-dau-lon-i2091337433.html")</f>
        <v>https://www.lazada.vn/products/1-loc-6-lon-nuoc-tang-luc-warrior-dau-lon-i2091337433.html</v>
      </c>
      <c r="C7572" s="10" t="s">
        <v>7572</v>
      </c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>
      <c r="A7573" s="8">
        <v>12427.0</v>
      </c>
      <c r="B7573" s="9" t="str">
        <f>HYPERLINK("https://www.lazada.vn/products/1kg-banh-quy-bo-man-hinh-vien-bi-ngoc-thom-ngon500g-i2849758728.html", "https://www.lazada.vn/products/1kg-banh-quy-bo-man-hinh-vien-bi-ngoc-thom-ngon500g-i2849758728.html")</f>
        <v>https://www.lazada.vn/products/1kg-banh-quy-bo-man-hinh-vien-bi-ngoc-thom-ngon500g-i2849758728.html</v>
      </c>
      <c r="C7573" s="10" t="s">
        <v>7573</v>
      </c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>
      <c r="A7574" s="8">
        <v>12428.0</v>
      </c>
      <c r="B7574" s="9" t="str">
        <f>HYPERLINK("https://www.lazada.vn/products/ne-1-goi-snack-an-vat-cung-ba-tuyet-bimbim-mai-ton-bo-lo-mai-ngoi-dui-ga-lan-chi-i2663749516.html", "https://www.lazada.vn/products/ne-1-goi-snack-an-vat-cung-ba-tuyet-bimbim-mai-ton-bo-lo-mai-ngoi-dui-ga-lan-chi-i2663749516.html")</f>
        <v>https://www.lazada.vn/products/ne-1-goi-snack-an-vat-cung-ba-tuyet-bimbim-mai-ton-bo-lo-mai-ngoi-dui-ga-lan-chi-i2663749516.html</v>
      </c>
      <c r="C7574" s="10" t="s">
        <v>7574</v>
      </c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>
      <c r="A7575" s="8">
        <v>12429.0</v>
      </c>
      <c r="B7575" s="9" t="str">
        <f>HYPERLINK("https://www.lazada.vn/products/bia-khong-con-asahi-dry-zero-i1567906852.html", "https://www.lazada.vn/products/bia-khong-con-asahi-dry-zero-i1567906852.html")</f>
        <v>https://www.lazada.vn/products/bia-khong-con-asahi-dry-zero-i1567906852.html</v>
      </c>
      <c r="C7575" s="10" t="s">
        <v>7575</v>
      </c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>
      <c r="A7576" s="8">
        <v>12430.0</v>
      </c>
      <c r="B7576" s="9" t="str">
        <f>HYPERLINK("https://www.lazada.vn/products/sirosyrup-dingfong-tha-lan-nhieu-vi-760ml-ding-fong-i2473504403.html", "https://www.lazada.vn/products/sirosyrup-dingfong-tha-lan-nhieu-vi-760ml-ding-fong-i2473504403.html")</f>
        <v>https://www.lazada.vn/products/sirosyrup-dingfong-tha-lan-nhieu-vi-760ml-ding-fong-i2473504403.html</v>
      </c>
      <c r="C7576" s="10" t="s">
        <v>7576</v>
      </c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>
      <c r="A7577" s="8">
        <v>12431.0</v>
      </c>
      <c r="B7577" s="9" t="str">
        <f>HYPERLINK("https://www.lazada.vn/products/mua-3-hop-tang-1-kem-qua-ca-phe-xanh-cafe-xanh-khang-mo-giam-can-hieu-qua-i3029832967.html", "https://www.lazada.vn/products/mua-3-hop-tang-1-kem-qua-ca-phe-xanh-cafe-xanh-khang-mo-giam-can-hieu-qua-i3029832967.html")</f>
        <v>https://www.lazada.vn/products/mua-3-hop-tang-1-kem-qua-ca-phe-xanh-cafe-xanh-khang-mo-giam-can-hieu-qua-i3029832967.html</v>
      </c>
      <c r="C7577" s="10" t="s">
        <v>7577</v>
      </c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>
      <c r="A7578" s="8">
        <v>12432.0</v>
      </c>
      <c r="B7578" s="9" t="str">
        <f>HYPERLINK("https://www.lazada.vn/products/ca-mi-size-lon-28cm-ca-mi-an-lau-noi-lau-dien-da-nang-i2995043090.html", "https://www.lazada.vn/products/ca-mi-size-lon-28cm-ca-mi-an-lau-noi-lau-dien-da-nang-i2995043090.html")</f>
        <v>https://www.lazada.vn/products/ca-mi-size-lon-28cm-ca-mi-an-lau-noi-lau-dien-da-nang-i2995043090.html</v>
      </c>
      <c r="C7578" s="10" t="s">
        <v>7578</v>
      </c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>
      <c r="A7579" s="8">
        <v>12433.0</v>
      </c>
      <c r="B7579" s="9" t="str">
        <f>HYPERLINK("https://www.lazada.vn/products/ca-sac-dong-1-nang-khay-500gr-i2998366086.html", "https://www.lazada.vn/products/ca-sac-dong-1-nang-khay-500gr-i2998366086.html")</f>
        <v>https://www.lazada.vn/products/ca-sac-dong-1-nang-khay-500gr-i2998366086.html</v>
      </c>
      <c r="C7579" s="10" t="s">
        <v>7579</v>
      </c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>
      <c r="A7580" s="8">
        <v>12434.0</v>
      </c>
      <c r="B7580" s="9" t="str">
        <f>HYPERLINK("https://www.lazada.vn/products/500g-bong-ong-ngo-khong-duong-i2811765357.html", "https://www.lazada.vn/products/500g-bong-ong-ngo-khong-duong-i2811765357.html")</f>
        <v>https://www.lazada.vn/products/500g-bong-ong-ngo-khong-duong-i2811765357.html</v>
      </c>
      <c r="C7580" s="10" t="s">
        <v>7580</v>
      </c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>
      <c r="A7581" s="8">
        <v>12435.0</v>
      </c>
      <c r="B7581" s="9" t="str">
        <f>HYPERLINK("https://www.lazada.vn/products/chao-to-yen-gau-do-thung-30-goi-65g-i2766549663.html", "https://www.lazada.vn/products/chao-to-yen-gau-do-thung-30-goi-65g-i2766549663.html")</f>
        <v>https://www.lazada.vn/products/chao-to-yen-gau-do-thung-30-goi-65g-i2766549663.html</v>
      </c>
      <c r="C7581" s="10" t="s">
        <v>7581</v>
      </c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>
      <c r="A7582" s="8">
        <v>12436.0</v>
      </c>
      <c r="B7582" s="9" t="str">
        <f>HYPERLINK("https://www.lazada.vn/products/thung-24-lon-nuoc-ngot-co-gaz-pepsi-235mllon-i2122924798.html", "https://www.lazada.vn/products/thung-24-lon-nuoc-ngot-co-gaz-pepsi-235mllon-i2122924798.html")</f>
        <v>https://www.lazada.vn/products/thung-24-lon-nuoc-ngot-co-gaz-pepsi-235mllon-i2122924798.html</v>
      </c>
      <c r="C7582" s="10" t="s">
        <v>7582</v>
      </c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>
      <c r="A7583" s="8">
        <v>12437.0</v>
      </c>
      <c r="B7583" s="9" t="str">
        <f>HYPERLINK("https://www.lazada.vn/products/noi-lau-mini-3-tang-keo-deo-marshmallow-kem-siro-dau-i2070824164.html", "https://www.lazada.vn/products/noi-lau-mini-3-tang-keo-deo-marshmallow-kem-siro-dau-i2070824164.html")</f>
        <v>https://www.lazada.vn/products/noi-lau-mini-3-tang-keo-deo-marshmallow-kem-siro-dau-i2070824164.html</v>
      </c>
      <c r="C7583" s="10" t="s">
        <v>7583</v>
      </c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>
      <c r="A7584" s="8">
        <v>12438.0</v>
      </c>
      <c r="B7584" s="9" t="str">
        <f>HYPERLINK("https://www.lazada.vn/products/snacks-dried-fruit-and-vegetable-crisps-non-fried-dehydrated-baby-food-dry-fruit-vegetable-snacks-healthy-and-delicious-i2877508129.html", "https://www.lazada.vn/products/snacks-dried-fruit-and-vegetable-crisps-non-fried-dehydrated-baby-food-dry-fruit-vegetable-snacks-healthy-and-delicious-i2877508129.html")</f>
        <v>https://www.lazada.vn/products/snacks-dried-fruit-and-vegetable-crisps-non-fried-dehydrated-baby-food-dry-fruit-vegetable-snacks-healthy-and-delicious-i2877508129.html</v>
      </c>
      <c r="C7584" s="10" t="s">
        <v>7584</v>
      </c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>
      <c r="A7585" s="8">
        <v>12439.0</v>
      </c>
      <c r="B7585" s="9" t="str">
        <f>HYPERLINK("https://www.lazada.vn/products/bich-bim-bim-oishi-du-vi-12g10-goi-6g20-goi-snack-bi-do-dau-xanh-nuoc-dua-bap-ngot-snack-tomati-snack-hanh-i2661793619.html", "https://www.lazada.vn/products/bich-bim-bim-oishi-du-vi-12g10-goi-6g20-goi-snack-bi-do-dau-xanh-nuoc-dua-bap-ngot-snack-tomati-snack-hanh-i2661793619.html")</f>
        <v>https://www.lazada.vn/products/bich-bim-bim-oishi-du-vi-12g10-goi-6g20-goi-snack-bi-do-dau-xanh-nuoc-dua-bap-ngot-snack-tomati-snack-hanh-i2661793619.html</v>
      </c>
      <c r="C7585" s="10" t="s">
        <v>7585</v>
      </c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>
      <c r="A7586" s="8">
        <v>12440.0</v>
      </c>
      <c r="B7586" s="9" t="str">
        <f>HYPERLINK("https://www.lazada.vn/products/panna-cotta-set-nguyen-lieu-500ml-tuong-duong-6-hu-100ml-do-an-vat-i2704895721.html", "https://www.lazada.vn/products/panna-cotta-set-nguyen-lieu-500ml-tuong-duong-6-hu-100ml-do-an-vat-i2704895721.html")</f>
        <v>https://www.lazada.vn/products/panna-cotta-set-nguyen-lieu-500ml-tuong-duong-6-hu-100ml-do-an-vat-i2704895721.html</v>
      </c>
      <c r="C7586" s="10" t="s">
        <v>7586</v>
      </c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>
      <c r="A7587" s="8">
        <v>12441.0</v>
      </c>
      <c r="B7587" s="9" t="str">
        <f>HYPERLINK("https://www.lazada.vn/products/date-moi-banh-quy-kenju-richy-vi-rau-cu-tui-192g-16-goi-x-12g-i2848513407.html", "https://www.lazada.vn/products/date-moi-banh-quy-kenju-richy-vi-rau-cu-tui-192g-16-goi-x-12g-i2848513407.html")</f>
        <v>https://www.lazada.vn/products/date-moi-banh-quy-kenju-richy-vi-rau-cu-tui-192g-16-goi-x-12g-i2848513407.html</v>
      </c>
      <c r="C7587" s="10" t="s">
        <v>7587</v>
      </c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>
      <c r="A7588" s="8">
        <v>12442.0</v>
      </c>
      <c r="B7588" s="9" t="str">
        <f>HYPERLINK("https://www.lazada.vn/products/ca-mi-size-lon-28cm-ca-mi-an-lau-noi-lau-dien-da-noi-dien-inox-i2993816578.html", "https://www.lazada.vn/products/ca-mi-size-lon-28cm-ca-mi-an-lau-noi-lau-dien-da-noi-dien-inox-i2993816578.html")</f>
        <v>https://www.lazada.vn/products/ca-mi-size-lon-28cm-ca-mi-an-lau-noi-lau-dien-da-noi-dien-inox-i2993816578.html</v>
      </c>
      <c r="C7588" s="10" t="s">
        <v>7588</v>
      </c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>
      <c r="A7589" s="8">
        <v>12443.0</v>
      </c>
      <c r="B7589" s="9" t="str">
        <f>HYPERLINK("https://www.lazada.vn/products/thuong-hang-tra-trang-duong-bo-than-nhan-sam-ngu-bao-tang-cuong-sinh-luc-giam-stress-cang-thang-giam-dau-lung-i2763085631.html", "https://www.lazada.vn/products/thuong-hang-tra-trang-duong-bo-than-nhan-sam-ngu-bao-tang-cuong-sinh-luc-giam-stress-cang-thang-giam-dau-lung-i2763085631.html")</f>
        <v>https://www.lazada.vn/products/thuong-hang-tra-trang-duong-bo-than-nhan-sam-ngu-bao-tang-cuong-sinh-luc-giam-stress-cang-thang-giam-dau-lung-i2763085631.html</v>
      </c>
      <c r="C7589" s="10" t="s">
        <v>7589</v>
      </c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>
      <c r="A7590" s="8">
        <v>12444.0</v>
      </c>
      <c r="B7590" s="9" t="str">
        <f>HYPERLINK("https://www.lazada.vn/products/mat-ong-viet-chai-600ml-i1745275494.html", "https://www.lazada.vn/products/mat-ong-viet-chai-600ml-i1745275494.html")</f>
        <v>https://www.lazada.vn/products/mat-ong-viet-chai-600ml-i1745275494.html</v>
      </c>
      <c r="C7590" s="10" t="s">
        <v>7590</v>
      </c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>
      <c r="A7591" s="8">
        <v>12445.0</v>
      </c>
      <c r="B7591" s="9" t="str">
        <f>HYPERLINK("https://www.lazada.vn/products/ruou-nep-duc-nep-sua-chai-1-lit-len-men-tu-nhien-i2069961256.html", "https://www.lazada.vn/products/ruou-nep-duc-nep-sua-chai-1-lit-len-men-tu-nhien-i2069961256.html")</f>
        <v>https://www.lazada.vn/products/ruou-nep-duc-nep-sua-chai-1-lit-len-men-tu-nhien-i2069961256.html</v>
      </c>
      <c r="C7591" s="10" t="s">
        <v>7591</v>
      </c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>
      <c r="A7592" s="8">
        <v>12446.0</v>
      </c>
      <c r="B7592" s="9" t="str">
        <f>HYPERLINK("https://www.lazada.vn/products/bot-cacao-nguyen-chat-daklak-500g-ca-cao-organic-khong-duong-giau-bo-caco-thom-socola-lep-farm-i1348183141.html", "https://www.lazada.vn/products/bot-cacao-nguyen-chat-daklak-500g-ca-cao-organic-khong-duong-giau-bo-caco-thom-socola-lep-farm-i1348183141.html")</f>
        <v>https://www.lazada.vn/products/bot-cacao-nguyen-chat-daklak-500g-ca-cao-organic-khong-duong-giau-bo-caco-thom-socola-lep-farm-i1348183141.html</v>
      </c>
      <c r="C7592" s="10" t="s">
        <v>7592</v>
      </c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>
      <c r="A7593" s="8">
        <v>12447.0</v>
      </c>
      <c r="B7593" s="9" t="str">
        <f>HYPERLINK("https://www.lazada.vn/products/ca-sac-dong-1-nang-khay-500g-i2998286381.html", "https://www.lazada.vn/products/ca-sac-dong-1-nang-khay-500g-i2998286381.html")</f>
        <v>https://www.lazada.vn/products/ca-sac-dong-1-nang-khay-500g-i2998286381.html</v>
      </c>
      <c r="C7593" s="10" t="s">
        <v>7593</v>
      </c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>
      <c r="A7594" s="8">
        <v>12448.0</v>
      </c>
      <c r="B7594" s="9" t="str">
        <f>HYPERLINK("https://www.lazada.vn/products/ruou-vang-do-roma-1989-145-750ml-i2492806345.html", "https://www.lazada.vn/products/ruou-vang-do-roma-1989-145-750ml-i2492806345.html")</f>
        <v>https://www.lazada.vn/products/ruou-vang-do-roma-1989-145-750ml-i2492806345.html</v>
      </c>
      <c r="C7594" s="10" t="s">
        <v>7594</v>
      </c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>
      <c r="A7595" s="8">
        <v>12449.0</v>
      </c>
      <c r="B7595" s="9" t="str">
        <f>HYPERLINK("https://www.lazada.vn/products/trung-nguyen-legend-hop-qua-tet-2025-ca-phe-hoa-tan-g7-gold-3in1-i2933879006.html", "https://www.lazada.vn/products/trung-nguyen-legend-hop-qua-tet-2025-ca-phe-hoa-tan-g7-gold-3in1-i2933879006.html")</f>
        <v>https://www.lazada.vn/products/trung-nguyen-legend-hop-qua-tet-2025-ca-phe-hoa-tan-g7-gold-3in1-i2933879006.html</v>
      </c>
      <c r="C7595" s="10" t="s">
        <v>7595</v>
      </c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>
      <c r="A7596" s="8">
        <v>12450.0</v>
      </c>
      <c r="B7596" s="9" t="str">
        <f>HYPERLINK("https://www.lazada.vn/products/thung-24-lon-bia-saigon-lager-330mllon-bao-bi-thuong-i2859756458.html", "https://www.lazada.vn/products/thung-24-lon-bia-saigon-lager-330mllon-bao-bi-thuong-i2859756458.html")</f>
        <v>https://www.lazada.vn/products/thung-24-lon-bia-saigon-lager-330mllon-bao-bi-thuong-i2859756458.html</v>
      </c>
      <c r="C7596" s="10" t="s">
        <v>7596</v>
      </c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>
      <c r="A7597" s="8">
        <v>12451.0</v>
      </c>
      <c r="B7597" s="9" t="str">
        <f>HYPERLINK("https://www.lazada.vn/products/banh-pho-mai-sua-nuong-600g-tui-10-cay-i2597452809.html", "https://www.lazada.vn/products/banh-pho-mai-sua-nuong-600g-tui-10-cay-i2597452809.html")</f>
        <v>https://www.lazada.vn/products/banh-pho-mai-sua-nuong-600g-tui-10-cay-i2597452809.html</v>
      </c>
      <c r="C7597" s="10" t="s">
        <v>7597</v>
      </c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>
      <c r="A7598" s="8">
        <v>12452.0</v>
      </c>
      <c r="B7598" s="9" t="str">
        <f>HYPERLINK("https://www.lazada.vn/products/1thung-bia-huda-lon-330ml-i1567279432.html", "https://www.lazada.vn/products/1thung-bia-huda-lon-330ml-i1567279432.html")</f>
        <v>https://www.lazada.vn/products/1thung-bia-huda-lon-330ml-i1567279432.html</v>
      </c>
      <c r="C7598" s="10" t="s">
        <v>7598</v>
      </c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>
      <c r="A7599" s="8">
        <v>12453.0</v>
      </c>
      <c r="B7599" s="9" t="str">
        <f>HYPERLINK("https://www.lazada.vn/products/sirosyrup-monin-day-du-mui-chai-700ml-i2473499764.html", "https://www.lazada.vn/products/sirosyrup-monin-day-du-mui-chai-700ml-i2473499764.html")</f>
        <v>https://www.lazada.vn/products/sirosyrup-monin-day-du-mui-chai-700ml-i2473499764.html</v>
      </c>
      <c r="C7599" s="10" t="s">
        <v>7599</v>
      </c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>
      <c r="A7600" s="8">
        <v>12454.0</v>
      </c>
      <c r="B7600" s="9" t="str">
        <f>HYPERLINK("https://www.lazada.vn/products/banh-oc-cho-dinh-duong-hop-10-banh-thom-ngon-chay-man-deu-dung-duoc-i1991184497.html", "https://www.lazada.vn/products/banh-oc-cho-dinh-duong-hop-10-banh-thom-ngon-chay-man-deu-dung-duoc-i1991184497.html")</f>
        <v>https://www.lazada.vn/products/banh-oc-cho-dinh-duong-hop-10-banh-thom-ngon-chay-man-deu-dung-duoc-i1991184497.html</v>
      </c>
      <c r="C7600" s="10" t="s">
        <v>7600</v>
      </c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>
      <c r="A7601" s="8">
        <v>12455.0</v>
      </c>
      <c r="B7601" s="9" t="str">
        <f>HYPERLINK("https://www.lazada.vn/products/500gr-banh-trang-muoi-toi-cay-chinh-goc-tay-ninh-ngon-thom-cay-i2327614593.html", "https://www.lazada.vn/products/500gr-banh-trang-muoi-toi-cay-chinh-goc-tay-ninh-ngon-thom-cay-i2327614593.html")</f>
        <v>https://www.lazada.vn/products/500gr-banh-trang-muoi-toi-cay-chinh-goc-tay-ninh-ngon-thom-cay-i2327614593.html</v>
      </c>
      <c r="C7601" s="10" t="s">
        <v>7601</v>
      </c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>
      <c r="A7602" s="8">
        <v>12456.0</v>
      </c>
      <c r="B7602" s="9" t="str">
        <f>HYPERLINK("https://www.lazada.vn/products/keo-sap-ong-mix-vi-trai-cay-thom-ngon-dam-mut-co-tang-them-keo-i2671336572.html", "https://www.lazada.vn/products/keo-sap-ong-mix-vi-trai-cay-thom-ngon-dam-mut-co-tang-them-keo-i2671336572.html")</f>
        <v>https://www.lazada.vn/products/keo-sap-ong-mix-vi-trai-cay-thom-ngon-dam-mut-co-tang-them-keo-i2671336572.html</v>
      </c>
      <c r="C7602" s="10" t="s">
        <v>7602</v>
      </c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>
      <c r="A7603" s="8">
        <v>12457.0</v>
      </c>
      <c r="B7603" s="9" t="str">
        <f>HYPERLINK("https://www.lazada.vn/products/1kg-bong-ong-dat-theo-yeu-cau-hat-sen-i2811754233.html", "https://www.lazada.vn/products/1kg-bong-ong-dat-theo-yeu-cau-hat-sen-i2811754233.html")</f>
        <v>https://www.lazada.vn/products/1kg-bong-ong-dat-theo-yeu-cau-hat-sen-i2811754233.html</v>
      </c>
      <c r="C7603" s="10" t="s">
        <v>7603</v>
      </c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>
      <c r="A7604" s="8">
        <v>12458.0</v>
      </c>
      <c r="B7604" s="9" t="str">
        <f>HYPERLINK("https://www.lazada.vn/products/mi-gau-do-ga-soi-pho-thung-30-goi-63g-i2765839475.html", "https://www.lazada.vn/products/mi-gau-do-ga-soi-pho-thung-30-goi-63g-i2765839475.html")</f>
        <v>https://www.lazada.vn/products/mi-gau-do-ga-soi-pho-thung-30-goi-63g-i2765839475.html</v>
      </c>
      <c r="C7604" s="10" t="s">
        <v>7604</v>
      </c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>
      <c r="A7605" s="8">
        <v>12459.0</v>
      </c>
      <c r="B7605" s="9" t="str">
        <f>HYPERLINK("https://www.lazada.vn/products/noi-lau-mini-3-tang-keo-deo-marshmallow-kem-siro-dau-i2070619841.html", "https://www.lazada.vn/products/noi-lau-mini-3-tang-keo-deo-marshmallow-kem-siro-dau-i2070619841.html")</f>
        <v>https://www.lazada.vn/products/noi-lau-mini-3-tang-keo-deo-marshmallow-kem-siro-dau-i2070619841.html</v>
      </c>
      <c r="C7605" s="10" t="s">
        <v>7605</v>
      </c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>
      <c r="A7606" s="8">
        <v>12460.0</v>
      </c>
      <c r="B7606" s="9" t="str">
        <f>HYPERLINK("https://www.lazada.vn/products/thung-24-lon-nuoc-ngot-giai-khat-7up-vi-chanh-320mllon-i2117078347.html", "https://www.lazada.vn/products/thung-24-lon-nuoc-ngot-giai-khat-7up-vi-chanh-320mllon-i2117078347.html")</f>
        <v>https://www.lazada.vn/products/thung-24-lon-nuoc-ngot-giai-khat-7up-vi-chanh-320mllon-i2117078347.html</v>
      </c>
      <c r="C7606" s="10" t="s">
        <v>7606</v>
      </c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>
      <c r="A7607" s="8">
        <v>12461.0</v>
      </c>
      <c r="B7607" s="9" t="str">
        <f>HYPERLINK("https://www.lazada.vn/products/snack-khoai-tay-chien-chip-star-nhat-ban-du-vi-hop-50g-i2661617477.html", "https://www.lazada.vn/products/snack-khoai-tay-chien-chip-star-nhat-ban-du-vi-hop-50g-i2661617477.html")</f>
        <v>https://www.lazada.vn/products/snack-khoai-tay-chien-chip-star-nhat-ban-du-vi-hop-50g-i2661617477.html</v>
      </c>
      <c r="C7607" s="10" t="s">
        <v>7607</v>
      </c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>
      <c r="A7608" s="8">
        <v>12462.0</v>
      </c>
      <c r="B7608" s="9" t="str">
        <f>HYPERLINK("https://www.lazada.vn/products/khoai-lang-say-gung-tu-khoai-mat-da-lat-deo-dai-ngot-vua-rat-an-tuong-an-vat-ngon-re-da-lat-i2874054154.html", "https://www.lazada.vn/products/khoai-lang-say-gung-tu-khoai-mat-da-lat-deo-dai-ngot-vua-rat-an-tuong-an-vat-ngon-re-da-lat-i2874054154.html")</f>
        <v>https://www.lazada.vn/products/khoai-lang-say-gung-tu-khoai-mat-da-lat-deo-dai-ngot-vua-rat-an-tuong-an-vat-ngon-re-da-lat-i2874054154.html</v>
      </c>
      <c r="C7608" s="10" t="s">
        <v>7608</v>
      </c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>
      <c r="A7609" s="8">
        <v>12463.0</v>
      </c>
      <c r="B7609" s="9" t="str">
        <f>HYPERLINK("https://www.lazada.vn/products/nuoc-da-me-nam-du-phuc-an-hu-100g-dac-san-nam-du-me-rim-nguyen-hat-me-rim-khom-i2704612170.html", "https://www.lazada.vn/products/nuoc-da-me-nam-du-phuc-an-hu-100g-dac-san-nam-du-me-rim-nguyen-hat-me-rim-khom-i2704612170.html")</f>
        <v>https://www.lazada.vn/products/nuoc-da-me-nam-du-phuc-an-hu-100g-dac-san-nam-du-me-rim-nguyen-hat-me-rim-khom-i2704612170.html</v>
      </c>
      <c r="C7609" s="10" t="s">
        <v>7609</v>
      </c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>
      <c r="A7610" s="8">
        <v>12464.0</v>
      </c>
      <c r="B7610" s="9" t="str">
        <f>HYPERLINK("https://www.lazada.vn/products/banh-quy-hat-dinh-duong-hang-chuan-nagano-nut-cake-i2846824267.html", "https://www.lazada.vn/products/banh-quy-hat-dinh-duong-hang-chuan-nagano-nut-cake-i2846824267.html")</f>
        <v>https://www.lazada.vn/products/banh-quy-hat-dinh-duong-hang-chuan-nagano-nut-cake-i2846824267.html</v>
      </c>
      <c r="C7610" s="10" t="s">
        <v>7610</v>
      </c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>
      <c r="A7611" s="8">
        <v>12465.0</v>
      </c>
      <c r="B7611" s="9" t="str">
        <f>HYPERLINK("https://www.lazada.vn/products/hoa-toc-sua-hat-hanh-nhan-oc-cho-han-quoc-nature-meal-i2681052060.html", "https://www.lazada.vn/products/hoa-toc-sua-hat-hanh-nhan-oc-cho-han-quoc-nature-meal-i2681052060.html")</f>
        <v>https://www.lazada.vn/products/hoa-toc-sua-hat-hanh-nhan-oc-cho-han-quoc-nature-meal-i2681052060.html</v>
      </c>
      <c r="C7611" s="10" t="s">
        <v>7611</v>
      </c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>
      <c r="A7612" s="8">
        <v>12466.0</v>
      </c>
      <c r="B7612" s="9" t="str">
        <f>HYPERLINK("https://www.lazada.vn/products/mut-dau-sensini-hop-136kg-i1745240637.html", "https://www.lazada.vn/products/mut-dau-sensini-hop-136kg-i1745240637.html")</f>
        <v>https://www.lazada.vn/products/mut-dau-sensini-hop-136kg-i1745240637.html</v>
      </c>
      <c r="C7612" s="10" t="s">
        <v>7612</v>
      </c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>
      <c r="A7613" s="8">
        <v>12467.0</v>
      </c>
      <c r="B7613" s="9" t="str">
        <f>HYPERLINK("https://www.lazada.vn/products/hcmbot-so-co-la-thuong-hang-ek-chuah-hop-300g-vinacacao-i1345355237.html", "https://www.lazada.vn/products/hcmbot-so-co-la-thuong-hang-ek-chuah-hop-300g-vinacacao-i1345355237.html")</f>
        <v>https://www.lazada.vn/products/hcmbot-so-co-la-thuong-hang-ek-chuah-hop-300g-vinacacao-i1345355237.html</v>
      </c>
      <c r="C7613" s="10" t="s">
        <v>7613</v>
      </c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>
      <c r="A7614" s="8">
        <v>12468.0</v>
      </c>
      <c r="B7614" s="9" t="str">
        <f>HYPERLINK("https://www.lazada.vn/products/thung-24-lon-bia-ha-noi-premium-330mllon-i2858311756.html", "https://www.lazada.vn/products/thung-24-lon-bia-ha-noi-premium-330mllon-i2858311756.html")</f>
        <v>https://www.lazada.vn/products/thung-24-lon-bia-ha-noi-premium-330mllon-i2858311756.html</v>
      </c>
      <c r="C7614" s="10" t="s">
        <v>7614</v>
      </c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>
      <c r="A7615" s="8">
        <v>12469.0</v>
      </c>
      <c r="B7615" s="9" t="str">
        <f>HYPERLINK("https://www.lazada.vn/products/tang-luc-huong-dau-rong-do-ly-220ml-nuoc-uong-1-thoi-hoc-sinh-i2066610559.html", "https://www.lazada.vn/products/tang-luc-huong-dau-rong-do-ly-220ml-nuoc-uong-1-thoi-hoc-sinh-i2066610559.html")</f>
        <v>https://www.lazada.vn/products/tang-luc-huong-dau-rong-do-ly-220ml-nuoc-uong-1-thoi-hoc-sinh-i2066610559.html</v>
      </c>
      <c r="C7615" s="10" t="s">
        <v>7615</v>
      </c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>
      <c r="A7616" s="8">
        <v>12470.0</v>
      </c>
      <c r="B7616" s="9" t="str">
        <f>HYPERLINK("https://www.lazada.vn/products/combo-2-hop-coffee-coconut-tany-cafe-ca-phe-hoa-tan-sua-dua-thom-ngon-4-in-1hop-10-goi-x-12gr-1-goi-25-calo-i2878303659.html", "https://www.lazada.vn/products/combo-2-hop-coffee-coconut-tany-cafe-ca-phe-hoa-tan-sua-dua-thom-ngon-4-in-1hop-10-goi-x-12gr-1-goi-25-calo-i2878303659.html")</f>
        <v>https://www.lazada.vn/products/combo-2-hop-coffee-coconut-tany-cafe-ca-phe-hoa-tan-sua-dua-thom-ngon-4-in-1hop-10-goi-x-12gr-1-goi-25-calo-i2878303659.html</v>
      </c>
      <c r="C7616" s="10" t="s">
        <v>7616</v>
      </c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>
      <c r="A7617" s="8">
        <v>12471.0</v>
      </c>
      <c r="B7617" s="9" t="str">
        <f>HYPERLINK("https://www.lazada.vn/products/hop-qua-2-chai-jp-chenet-i2490649208.html", "https://www.lazada.vn/products/hop-qua-2-chai-jp-chenet-i2490649208.html")</f>
        <v>https://www.lazada.vn/products/hop-qua-2-chai-jp-chenet-i2490649208.html</v>
      </c>
      <c r="C7617" s="10" t="s">
        <v>7617</v>
      </c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>
      <c r="A7618" s="8">
        <v>12472.0</v>
      </c>
      <c r="B7618" s="9" t="str">
        <f>HYPERLINK("https://www.lazada.vn/products/tom-vien-bich-1kg-hong-ha-cao-nguyen-giao-hcm-i2998113992.html", "https://www.lazada.vn/products/tom-vien-bich-1kg-hong-ha-cao-nguyen-giao-hcm-i2998113992.html")</f>
        <v>https://www.lazada.vn/products/tom-vien-bich-1kg-hong-ha-cao-nguyen-giao-hcm-i2998113992.html</v>
      </c>
      <c r="C7618" s="10" t="s">
        <v>7618</v>
      </c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>
      <c r="A7619" s="8">
        <v>12473.0</v>
      </c>
      <c r="B7619" s="9" t="str">
        <f>HYPERLINK("https://www.lazada.vn/products/bot-tra-xanh-matcha-dai-loan-mu-do-chinh-hang-everstyle-tui-500g-i2647507936.html", "https://www.lazada.vn/products/bot-tra-xanh-matcha-dai-loan-mu-do-chinh-hang-everstyle-tui-500g-i2647507936.html")</f>
        <v>https://www.lazada.vn/products/bot-tra-xanh-matcha-dai-loan-mu-do-chinh-hang-everstyle-tui-500g-i2647507936.html</v>
      </c>
      <c r="C7619" s="10" t="s">
        <v>7619</v>
      </c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>
      <c r="A7620" s="8">
        <v>12474.0</v>
      </c>
      <c r="B7620" s="9" t="str">
        <f>HYPERLINK("https://www.lazada.vn/products/mau-moi-banh-quy-shiroi-koibito-tuyet-trang-nhat-ban-thom-ngon-gion-rum-i1922987577.html", "https://www.lazada.vn/products/mau-moi-banh-quy-shiroi-koibito-tuyet-trang-nhat-ban-thom-ngon-gion-rum-i1922987577.html")</f>
        <v>https://www.lazada.vn/products/mau-moi-banh-quy-shiroi-koibito-tuyet-trang-nhat-ban-thom-ngon-gion-rum-i1922987577.html</v>
      </c>
      <c r="C7620" s="10" t="s">
        <v>7620</v>
      </c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>
      <c r="A7621" s="8">
        <v>12475.0</v>
      </c>
      <c r="B7621" s="9" t="str">
        <f>HYPERLINK("https://www.lazada.vn/products/1thung-bia-huda-lon-330ml-i1567143837.html", "https://www.lazada.vn/products/1thung-bia-huda-lon-330ml-i1567143837.html")</f>
        <v>https://www.lazada.vn/products/1thung-bia-huda-lon-330ml-i1567143837.html</v>
      </c>
      <c r="C7621" s="10" t="s">
        <v>7621</v>
      </c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>
      <c r="A7622" s="8">
        <v>12476.0</v>
      </c>
      <c r="B7622" s="9" t="str">
        <f>HYPERLINK("https://www.lazada.vn/products/loc-6-goi-mi-korone-an-lien-75g-sp-chinh-hang-i2984551626.html", "https://www.lazada.vn/products/loc-6-goi-mi-korone-an-lien-75g-sp-chinh-hang-i2984551626.html")</f>
        <v>https://www.lazada.vn/products/loc-6-goi-mi-korone-an-lien-75g-sp-chinh-hang-i2984551626.html</v>
      </c>
      <c r="C7622" s="10" t="s">
        <v>7622</v>
      </c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>
      <c r="A7623" s="8">
        <v>12477.0</v>
      </c>
      <c r="B7623" s="9" t="str">
        <f>HYPERLINK("https://www.lazada.vn/products/tran-chau-hoang-kim-douxian-1kg-size-25-i2473460973.html", "https://www.lazada.vn/products/tran-chau-hoang-kim-douxian-1kg-size-25-i2473460973.html")</f>
        <v>https://www.lazada.vn/products/tran-chau-hoang-kim-douxian-1kg-size-25-i2473460973.html</v>
      </c>
      <c r="C7623" s="10" t="s">
        <v>7623</v>
      </c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>
      <c r="A7624" s="8">
        <v>12478.0</v>
      </c>
      <c r="B7624" s="9" t="str">
        <f>HYPERLINK("https://www.lazada.vn/products/banh-mi-deo-danh-cho-nguoi-an-kieng-it-duong-sieu-ngon-day-du-dinh-duong-vi-ngon-kho-cuong-i2597145283.html", "https://www.lazada.vn/products/banh-mi-deo-danh-cho-nguoi-an-kieng-it-duong-sieu-ngon-day-du-dinh-duong-vi-ngon-kho-cuong-i2597145283.html")</f>
        <v>https://www.lazada.vn/products/banh-mi-deo-danh-cho-nguoi-an-kieng-it-duong-sieu-ngon-day-du-dinh-duong-vi-ngon-kho-cuong-i2597145283.html</v>
      </c>
      <c r="C7624" s="10" t="s">
        <v>7624</v>
      </c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>
      <c r="A7625" s="8">
        <v>12479.0</v>
      </c>
      <c r="B7625" s="9" t="str">
        <f>HYPERLINK("https://www.lazada.vn/products/keo-sap-hinh-que-dai-mixx-nhieu-vi-trai-cay-i2670811112.html", "https://www.lazada.vn/products/keo-sap-hinh-que-dai-mixx-nhieu-vi-trai-cay-i2670811112.html")</f>
        <v>https://www.lazada.vn/products/keo-sap-hinh-que-dai-mixx-nhieu-vi-trai-cay-i2670811112.html</v>
      </c>
      <c r="C7625" s="10" t="s">
        <v>7625</v>
      </c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>
      <c r="A7626" s="8">
        <v>12480.0</v>
      </c>
      <c r="B7626" s="9" t="str">
        <f>HYPERLINK("https://www.lazada.vn/products/500g-bong-ong-du-vi-khong-duong-i2811754230.html", "https://www.lazada.vn/products/500g-bong-ong-du-vi-khong-duong-i2811754230.html")</f>
        <v>https://www.lazada.vn/products/500g-bong-ong-du-vi-khong-duong-i2811754230.html</v>
      </c>
      <c r="C7626" s="10" t="s">
        <v>7626</v>
      </c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>
      <c r="A7627" s="8">
        <v>12481.0</v>
      </c>
      <c r="B7627" s="9" t="str">
        <f>HYPERLINK("https://www.lazada.vn/products/mi-chu-300g-i2764633588.html", "https://www.lazada.vn/products/mi-chu-300g-i2764633588.html")</f>
        <v>https://www.lazada.vn/products/mi-chu-300g-i2764633588.html</v>
      </c>
      <c r="C7627" s="10" t="s">
        <v>7627</v>
      </c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>
      <c r="A7628" s="8">
        <v>12482.0</v>
      </c>
      <c r="B7628" s="9" t="str">
        <f>HYPERLINK("https://www.lazada.vn/products/thach-rau-cau-new-choice-huong-trai-cay-nhiet-doi-thom-ngon-banh-keo-tet-do-an-vat-i2065265737.html", "https://www.lazada.vn/products/thach-rau-cau-new-choice-huong-trai-cay-nhiet-doi-thom-ngon-banh-keo-tet-do-an-vat-i2065265737.html")</f>
        <v>https://www.lazada.vn/products/thach-rau-cau-new-choice-huong-trai-cay-nhiet-doi-thom-ngon-banh-keo-tet-do-an-vat-i2065265737.html</v>
      </c>
      <c r="C7628" s="10" t="s">
        <v>7628</v>
      </c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>
      <c r="A7629" s="8">
        <v>12483.0</v>
      </c>
      <c r="B7629" s="9" t="str">
        <f>HYPERLINK("https://www.lazada.vn/products/thung-24-chai-nuoc-ngot-giai-khat-7up-vi-chanh-320mlchai-i2117023055.html", "https://www.lazada.vn/products/thung-24-chai-nuoc-ngot-giai-khat-7up-vi-chanh-320mlchai-i2117023055.html")</f>
        <v>https://www.lazada.vn/products/thung-24-chai-nuoc-ngot-giai-khat-7up-vi-chanh-320mlchai-i2117023055.html</v>
      </c>
      <c r="C7629" s="10" t="s">
        <v>7629</v>
      </c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>
      <c r="A7630" s="8">
        <v>12484.0</v>
      </c>
      <c r="B7630" s="9" t="str">
        <f>HYPERLINK("https://www.lazada.vn/products/khoai-tay-mui-cao-tam-vi-cua-bi-boc-1kg-giao-hoa-toc-hcm-i2661526181.html", "https://www.lazada.vn/products/khoai-tay-mui-cao-tam-vi-cua-bi-boc-1kg-giao-hoa-toc-hcm-i2661526181.html")</f>
        <v>https://www.lazada.vn/products/khoai-tay-mui-cao-tam-vi-cua-bi-boc-1kg-giao-hoa-toc-hcm-i2661526181.html</v>
      </c>
      <c r="C7630" s="10" t="s">
        <v>7630</v>
      </c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>
      <c r="A7631" s="8">
        <v>12485.0</v>
      </c>
      <c r="B7631" s="9" t="str">
        <f>HYPERLINK("https://www.lazada.vn/products/khoai-lang-mat-da-lat-say-deo-deo-thom-ngot-tu-nhien-tot-cho-suc-khoe-an-vat-ngon-re-da-lat-i2873897738.html", "https://www.lazada.vn/products/khoai-lang-mat-da-lat-say-deo-deo-thom-ngot-tu-nhien-tot-cho-suc-khoe-an-vat-ngon-re-da-lat-i2873897738.html")</f>
        <v>https://www.lazada.vn/products/khoai-lang-mat-da-lat-say-deo-deo-thom-ngot-tu-nhien-tot-cho-suc-khoe-an-vat-ngon-re-da-lat-i2873897738.html</v>
      </c>
      <c r="C7631" s="10" t="s">
        <v>7631</v>
      </c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>
      <c r="A7632" s="8">
        <v>12486.0</v>
      </c>
      <c r="B7632" s="9" t="str">
        <f>HYPERLINK("https://www.lazada.vn/products/nuoc-cot-hoa-atiso-do-berryland-da-lat-tu-nhien-vi-chua-ngot-giai-khat-giau-chat-chong-oxy-hoa-500ml-i2704426649.html", "https://www.lazada.vn/products/nuoc-cot-hoa-atiso-do-berryland-da-lat-tu-nhien-vi-chua-ngot-giai-khat-giau-chat-chong-oxy-hoa-500ml-i2704426649.html")</f>
        <v>https://www.lazada.vn/products/nuoc-cot-hoa-atiso-do-berryland-da-lat-tu-nhien-vi-chua-ngot-giai-khat-giau-chat-chong-oxy-hoa-500ml-i2704426649.html</v>
      </c>
      <c r="C7632" s="10" t="s">
        <v>7632</v>
      </c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>
      <c r="A7633" s="8">
        <v>12487.0</v>
      </c>
      <c r="B7633" s="9" t="str">
        <f>HYPERLINK("https://www.lazada.vn/products/10-cai-banh-gai-dac-san-thanh-hoa-thom-ngon-dam-chat-truyen-thong-i2846188262.html", "https://www.lazada.vn/products/10-cai-banh-gai-dac-san-thanh-hoa-thom-ngon-dam-chat-truyen-thong-i2846188262.html")</f>
        <v>https://www.lazada.vn/products/10-cai-banh-gai-dac-san-thanh-hoa-thom-ngon-dam-chat-truyen-thong-i2846188262.html</v>
      </c>
      <c r="C7633" s="10" t="s">
        <v>7633</v>
      </c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>
      <c r="A7634" s="8">
        <v>12488.0</v>
      </c>
      <c r="B7634" s="9" t="str">
        <f>HYPERLINK("https://www.lazada.vn/products/chuan-thai-siro-con-ca-200ml-thai-lan-giup-an-ngon-va-hap-thu-chat-dinh-duong-i2677906942.html", "https://www.lazada.vn/products/chuan-thai-siro-con-ca-200ml-thai-lan-giup-an-ngon-va-hap-thu-chat-dinh-duong-i2677906942.html")</f>
        <v>https://www.lazada.vn/products/chuan-thai-siro-con-ca-200ml-thai-lan-giup-an-ngon-va-hap-thu-chat-dinh-duong-i2677906942.html</v>
      </c>
      <c r="C7634" s="10" t="s">
        <v>7634</v>
      </c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>
      <c r="A7635" s="8">
        <v>12489.0</v>
      </c>
      <c r="B7635" s="9" t="str">
        <f>HYPERLINK("https://www.lazada.vn/products/freeship-50k-sot-nuong-koca-1kg-i1744999478.html", "https://www.lazada.vn/products/freeship-50k-sot-nuong-koca-1kg-i1744999478.html")</f>
        <v>https://www.lazada.vn/products/freeship-50k-sot-nuong-koca-1kg-i1744999478.html</v>
      </c>
      <c r="C7635" s="10" t="s">
        <v>7635</v>
      </c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>
      <c r="A7636" s="8">
        <v>12490.0</v>
      </c>
      <c r="B7636" s="9" t="str">
        <f>HYPERLINK("https://www.lazada.vn/products/hcmbot-cacao-nguyen-chat-100-khong-duong-good-morninggood-afternoongood-evening-vinacacao-i1343258206.html", "https://www.lazada.vn/products/hcmbot-cacao-nguyen-chat-100-khong-duong-good-morninggood-afternoongood-evening-vinacacao-i1343258206.html")</f>
        <v>https://www.lazada.vn/products/hcmbot-cacao-nguyen-chat-100-khong-duong-good-morninggood-afternoongood-evening-vinacacao-i1343258206.html</v>
      </c>
      <c r="C7636" s="10" t="s">
        <v>7636</v>
      </c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>
      <c r="A7637" s="8">
        <v>12491.0</v>
      </c>
      <c r="B7637" s="9" t="str">
        <f>HYPERLINK("https://www.lazada.vn/products/thung-20-lon-bia-tiger-bac-330mllon-new-i2855828603.html", "https://www.lazada.vn/products/thung-20-lon-bia-tiger-bac-330mllon-new-i2855828603.html")</f>
        <v>https://www.lazada.vn/products/thung-20-lon-bia-tiger-bac-330mllon-new-i2855828603.html</v>
      </c>
      <c r="C7637" s="10" t="s">
        <v>7637</v>
      </c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>
      <c r="A7638" s="8">
        <v>12492.0</v>
      </c>
      <c r="B7638" s="9" t="str">
        <f>HYPERLINK("https://www.lazada.vn/products/nuoc-tang-luc-applied-abe-energy-performance-pre-workout-330ml-nhap-khau-anh-gymstore-i2056564628.html", "https://www.lazada.vn/products/nuoc-tang-luc-applied-abe-energy-performance-pre-workout-330ml-nhap-khau-anh-gymstore-i2056564628.html")</f>
        <v>https://www.lazada.vn/products/nuoc-tang-luc-applied-abe-energy-performance-pre-workout-330ml-nhap-khau-anh-gymstore-i2056564628.html</v>
      </c>
      <c r="C7638" s="10" t="s">
        <v>7638</v>
      </c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>
      <c r="A7639" s="8">
        <v>12493.0</v>
      </c>
      <c r="B7639" s="9" t="str">
        <f>HYPERLINK("https://www.lazada.vn/products/combo-3-hop30-goi-cafe-muoi-hoa-tan-ca-phe-muoi-chuan-vi-hue-csea-tien-loi-thom-ngon-gia-re-i2839051184.html", "https://www.lazada.vn/products/combo-3-hop30-goi-cafe-muoi-hoa-tan-ca-phe-muoi-chuan-vi-hue-csea-tien-loi-thom-ngon-gia-re-i2839051184.html")</f>
        <v>https://www.lazada.vn/products/combo-3-hop30-goi-cafe-muoi-hoa-tan-ca-phe-muoi-chuan-vi-hue-csea-tien-loi-thom-ngon-gia-re-i2839051184.html</v>
      </c>
      <c r="C7639" s="10" t="s">
        <v>7639</v>
      </c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>
      <c r="A7640" s="8">
        <v>12494.0</v>
      </c>
      <c r="B7640" s="9" t="str">
        <f>HYPERLINK("https://www.lazada.vn/products/hop-dau-hanh-140g-ca-ngu-sot-dau-hanh-tuna-viet-nam-tuna-in-dressing-i2996643033.html", "https://www.lazada.vn/products/hop-dau-hanh-140g-ca-ngu-sot-dau-hanh-tuna-viet-nam-tuna-in-dressing-i2996643033.html")</f>
        <v>https://www.lazada.vn/products/hop-dau-hanh-140g-ca-ngu-sot-dau-hanh-tuna-viet-nam-tuna-in-dressing-i2996643033.html</v>
      </c>
      <c r="C7640" s="10" t="s">
        <v>7640</v>
      </c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>
      <c r="A7641" s="8">
        <v>12495.0</v>
      </c>
      <c r="B7641" s="9" t="str">
        <f>HYPERLINK("https://www.lazada.vn/products/banh-quy-bo-danisa-i1887653888.html", "https://www.lazada.vn/products/banh-quy-bo-danisa-i1887653888.html")</f>
        <v>https://www.lazada.vn/products/banh-quy-bo-danisa-i1887653888.html</v>
      </c>
      <c r="C7641" s="10" t="s">
        <v>7641</v>
      </c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>
      <c r="A7642" s="8">
        <v>12496.0</v>
      </c>
      <c r="B7642" s="9" t="str">
        <f>HYPERLINK("https://www.lazada.vn/products/ruou-vang-nhap-khau-vang-do-ruou-vang-y-negro-amaro-salento-f-750ml-15-i2490413048.html", "https://www.lazada.vn/products/ruou-vang-nhap-khau-vang-do-ruou-vang-y-negro-amaro-salento-f-750ml-15-i2490413048.html")</f>
        <v>https://www.lazada.vn/products/ruou-vang-nhap-khau-vang-do-ruou-vang-y-negro-amaro-salento-f-750ml-15-i2490413048.html</v>
      </c>
      <c r="C7642" s="10" t="s">
        <v>7642</v>
      </c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>
      <c r="A7643" s="8">
        <v>12497.0</v>
      </c>
      <c r="B7643" s="9" t="str">
        <f>HYPERLINK("https://www.lazada.vn/products/to-my-bat-vi-tomyum-thai-lan-i2984384644.html", "https://www.lazada.vn/products/to-my-bat-vi-tomyum-thai-lan-i2984384644.html")</f>
        <v>https://www.lazada.vn/products/to-my-bat-vi-tomyum-thai-lan-i2984384644.html</v>
      </c>
      <c r="C7643" s="10" t="s">
        <v>7643</v>
      </c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>
      <c r="A7644" s="8">
        <v>12498.0</v>
      </c>
      <c r="B7644" s="9" t="str">
        <f>HYPERLINK("https://www.lazada.vn/products/tran-chau-3q-caramel-sea-jelly-minh-hanh-2kg-i2473455955.html", "https://www.lazada.vn/products/tran-chau-3q-caramel-sea-jelly-minh-hanh-2kg-i2473455955.html")</f>
        <v>https://www.lazada.vn/products/tran-chau-3q-caramel-sea-jelly-minh-hanh-2kg-i2473455955.html</v>
      </c>
      <c r="C7644" s="10" t="s">
        <v>7644</v>
      </c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>
      <c r="A7645" s="8">
        <v>12499.0</v>
      </c>
      <c r="B7645" s="9" t="str">
        <f>HYPERLINK("https://www.lazada.vn/products/bia-vang-clear-asahi-i1549044960.html", "https://www.lazada.vn/products/bia-vang-clear-asahi-i1549044960.html")</f>
        <v>https://www.lazada.vn/products/bia-vang-clear-asahi-i1549044960.html</v>
      </c>
      <c r="C7645" s="10" t="s">
        <v>7645</v>
      </c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>
      <c r="A7646" s="8">
        <v>12500.0</v>
      </c>
      <c r="B7646" s="9" t="str">
        <f>HYPERLINK("https://www.lazada.vn/products/banh-bong-lan-tuoi-say-kho-i2595161776.html", "https://www.lazada.vn/products/banh-bong-lan-tuoi-say-kho-i2595161776.html")</f>
        <v>https://www.lazada.vn/products/banh-bong-lan-tuoi-say-kho-i2595161776.html</v>
      </c>
      <c r="C7646" s="10" t="s">
        <v>7646</v>
      </c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>
      <c r="A7647" s="8">
        <v>12501.0</v>
      </c>
      <c r="B7647" s="9" t="str">
        <f>HYPERLINK("https://www.lazada.vn/products/banh-bia-bibi-hop-20-cai-banh-pia-bibi-dong-sieu-mini-cua-tan-hue-vien-an-hoai-khong-ngan-i2656960488.html", "https://www.lazada.vn/products/banh-bia-bibi-hop-20-cai-banh-pia-bibi-dong-sieu-mini-cua-tan-hue-vien-an-hoai-khong-ngan-i2656960488.html")</f>
        <v>https://www.lazada.vn/products/banh-bia-bibi-hop-20-cai-banh-pia-bibi-dong-sieu-mini-cua-tan-hue-vien-an-hoai-khong-ngan-i2656960488.html</v>
      </c>
      <c r="C7647" s="10" t="s">
        <v>7647</v>
      </c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>
      <c r="A7648" s="8">
        <v>12502.0</v>
      </c>
      <c r="B7648" s="9" t="str">
        <f>HYPERLINK("https://www.lazada.vn/products/keo-sap-hinh-ca-to-mix-vi-trai-cay-thom-ngon-i2670793476.html", "https://www.lazada.vn/products/keo-sap-hinh-ca-to-mix-vi-trai-cay-thom-ngon-i2670793476.html")</f>
        <v>https://www.lazada.vn/products/keo-sap-hinh-ca-to-mix-vi-trai-cay-thom-ngon-i2670793476.html</v>
      </c>
      <c r="C7648" s="10" t="s">
        <v>7648</v>
      </c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>
      <c r="A7649" s="8">
        <v>12503.0</v>
      </c>
      <c r="B7649" s="9" t="str">
        <f>HYPERLINK("https://www.lazada.vn/products/500g-bong-ong-vi-dau-xanh-i2811702828.html", "https://www.lazada.vn/products/500g-bong-ong-vi-dau-xanh-i2811702828.html")</f>
        <v>https://www.lazada.vn/products/500g-bong-ong-vi-dau-xanh-i2811702828.html</v>
      </c>
      <c r="C7649" s="10" t="s">
        <v>7649</v>
      </c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>
      <c r="A7650" s="8">
        <v>12504.0</v>
      </c>
      <c r="B7650" s="9" t="str">
        <f>HYPERLINK("https://www.lazada.vn/products/mi-chay-rau-cu-soon-vegie-nongshim-goi-112g-beegin-food-i2763907247.html", "https://www.lazada.vn/products/mi-chay-rau-cu-soon-vegie-nongshim-goi-112g-beegin-food-i2763907247.html")</f>
        <v>https://www.lazada.vn/products/mi-chay-rau-cu-soon-vegie-nongshim-goi-112g-beegin-food-i2763907247.html</v>
      </c>
      <c r="C7650" s="10" t="s">
        <v>7650</v>
      </c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>
      <c r="A7651" s="8">
        <v>12505.0</v>
      </c>
      <c r="B7651" s="9" t="str">
        <f>HYPERLINK("https://www.lazada.vn/products/1kg-thach-zaizai-thom-ngon-i2064762249.html", "https://www.lazada.vn/products/1kg-thach-zaizai-thom-ngon-i2064762249.html")</f>
        <v>https://www.lazada.vn/products/1kg-thach-zaizai-thom-ngon-i2064762249.html</v>
      </c>
      <c r="C7651" s="10" t="s">
        <v>7651</v>
      </c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>
      <c r="A7652" s="8">
        <v>12506.0</v>
      </c>
      <c r="B7652" s="9" t="str">
        <f>HYPERLINK("https://www.lazada.vn/products/thung-24-chai-nuoc-ngot-mirinda-vi-soda-kem-390mlchai-i2116779414.html", "https://www.lazada.vn/products/thung-24-chai-nuoc-ngot-mirinda-vi-soda-kem-390mlchai-i2116779414.html")</f>
        <v>https://www.lazada.vn/products/thung-24-chai-nuoc-ngot-mirinda-vi-soda-kem-390mlchai-i2116779414.html</v>
      </c>
      <c r="C7652" s="10" t="s">
        <v>7652</v>
      </c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>
      <c r="A7653" s="8">
        <v>12507.0</v>
      </c>
      <c r="B7653" s="9" t="str">
        <f>HYPERLINK("https://www.lazada.vn/products/khoai-tay-mui-cao-tam-vi-cua-bi-boc-1kg-giao-tphcm-i2661406654.html", "https://www.lazada.vn/products/khoai-tay-mui-cao-tam-vi-cua-bi-boc-1kg-giao-tphcm-i2661406654.html")</f>
        <v>https://www.lazada.vn/products/khoai-tay-mui-cao-tam-vi-cua-bi-boc-1kg-giao-tphcm-i2661406654.html</v>
      </c>
      <c r="C7653" s="10" t="s">
        <v>7653</v>
      </c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>
      <c r="A7654" s="8">
        <v>12508.0</v>
      </c>
      <c r="B7654" s="9" t="str">
        <f>HYPERLINK("https://www.lazada.vn/products/40-trai-o-ro-tuoi-i2872784536.html", "https://www.lazada.vn/products/40-trai-o-ro-tuoi-i2872784536.html")</f>
        <v>https://www.lazada.vn/products/40-trai-o-ro-tuoi-i2872784536.html</v>
      </c>
      <c r="C7654" s="10" t="s">
        <v>7654</v>
      </c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>
      <c r="A7655" s="8">
        <v>12509.0</v>
      </c>
      <c r="B7655" s="9" t="str">
        <f>HYPERLINK("https://www.lazada.vn/products/6-chai-nuoc-trai-cay-ice-vi-dao-490ml-i2701630070.html", "https://www.lazada.vn/products/6-chai-nuoc-trai-cay-ice-vi-dao-490ml-i2701630070.html")</f>
        <v>https://www.lazada.vn/products/6-chai-nuoc-trai-cay-ice-vi-dao-490ml-i2701630070.html</v>
      </c>
      <c r="C7655" s="10" t="s">
        <v>7655</v>
      </c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>
      <c r="A7656" s="8">
        <v>12510.0</v>
      </c>
      <c r="B7656" s="9" t="str">
        <f>HYPERLINK("https://www.lazada.vn/products/an-vat-dinh-duong-combo-500g-banh-banh-quy-oreo-franzzi-layer-vi-matcha-sua-chua-dau-tay-gion-ngon-thom-ngon-i2845621885.html", "https://www.lazada.vn/products/an-vat-dinh-duong-combo-500g-banh-banh-quy-oreo-franzzi-layer-vi-matcha-sua-chua-dau-tay-gion-ngon-thom-ngon-i2845621885.html")</f>
        <v>https://www.lazada.vn/products/an-vat-dinh-duong-combo-500g-banh-banh-quy-oreo-franzzi-layer-vi-matcha-sua-chua-dau-tay-gion-ngon-thom-ngon-i2845621885.html</v>
      </c>
      <c r="C7656" s="10" t="s">
        <v>7656</v>
      </c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>
      <c r="A7657" s="8">
        <v>12511.0</v>
      </c>
      <c r="B7657" s="9" t="str">
        <f>HYPERLINK("https://www.lazada.vn/products/hcmbot-so-co-la-uong-lien-5in1-tui-pe-320g-vinacacao-i1342947753.html", "https://www.lazada.vn/products/hcmbot-so-co-la-uong-lien-5in1-tui-pe-320g-vinacacao-i1342947753.html")</f>
        <v>https://www.lazada.vn/products/hcmbot-so-co-la-uong-lien-5in1-tui-pe-320g-vinacacao-i1342947753.html</v>
      </c>
      <c r="C7657" s="10" t="s">
        <v>7657</v>
      </c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>
      <c r="A7658" s="8">
        <v>12512.0</v>
      </c>
      <c r="B7658" s="9" t="str">
        <f>HYPERLINK("https://www.lazada.vn/products/pha-che-do-uong-tan-loc-i2649106293.html", "https://www.lazada.vn/products/pha-che-do-uong-tan-loc-i2649106293.html")</f>
        <v>https://www.lazada.vn/products/pha-che-do-uong-tan-loc-i2649106293.html</v>
      </c>
      <c r="C7658" s="10" t="s">
        <v>7658</v>
      </c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>
      <c r="A7659" s="8">
        <v>12513.0</v>
      </c>
      <c r="B7659" s="9" t="str">
        <f>HYPERLINK("https://www.lazada.vn/products/nui-nghe-1kg-sa-dec-dong-thap-i1744692277.html", "https://www.lazada.vn/products/nui-nghe-1kg-sa-dec-dong-thap-i1744692277.html")</f>
        <v>https://www.lazada.vn/products/nui-nghe-1kg-sa-dec-dong-thap-i1744692277.html</v>
      </c>
      <c r="C7659" s="10" t="s">
        <v>7659</v>
      </c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>
      <c r="A7660" s="8">
        <v>12514.0</v>
      </c>
      <c r="B7660" s="9" t="str">
        <f>HYPERLINK("https://www.lazada.vn/products/thung-24-lon-bia-ruby-do-330mllon-i2854529436.html", "https://www.lazada.vn/products/thung-24-lon-bia-ruby-do-330mllon-i2854529436.html")</f>
        <v>https://www.lazada.vn/products/thung-24-lon-bia-ruby-do-330mllon-i2854529436.html</v>
      </c>
      <c r="C7660" s="10" t="s">
        <v>7660</v>
      </c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>
      <c r="A7661" s="8">
        <v>12515.0</v>
      </c>
      <c r="B7661" s="9" t="str">
        <f>HYPERLINK("https://www.lazada.vn/products/nuoc-tang-luc-thao-duoc-hong-ma-lon-170ml-huong-nhan-sam-truyen-thong-dung-cho-nguoi-met-moi-kiet-suc-nguoi-the-trang-yeu-can-phuc-hoi-suc-khoe-i2056343222.html", "https://www.lazada.vn/products/nuoc-tang-luc-thao-duoc-hong-ma-lon-170ml-huong-nhan-sam-truyen-thong-dung-cho-nguoi-met-moi-kiet-suc-nguoi-the-trang-yeu-can-phuc-hoi-suc-khoe-i2056343222.html")</f>
        <v>https://www.lazada.vn/products/nuoc-tang-luc-thao-duoc-hong-ma-lon-170ml-huong-nhan-sam-truyen-thong-dung-cho-nguoi-met-moi-kiet-suc-nguoi-the-trang-yeu-can-phuc-hoi-suc-khoe-i2056343222.html</v>
      </c>
      <c r="C7661" s="10" t="s">
        <v>7661</v>
      </c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>
      <c r="A7662" s="8">
        <v>12516.0</v>
      </c>
      <c r="B7662" s="9" t="str">
        <f>HYPERLINK("https://www.lazada.vn/products/ruou-vang-jp-chenet-original-merlot-cabernet-i2490319696.html", "https://www.lazada.vn/products/ruou-vang-jp-chenet-original-merlot-cabernet-i2490319696.html")</f>
        <v>https://www.lazada.vn/products/ruou-vang-jp-chenet-original-merlot-cabernet-i2490319696.html</v>
      </c>
      <c r="C7662" s="10" t="s">
        <v>7662</v>
      </c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>
      <c r="A7663" s="8">
        <v>12517.0</v>
      </c>
      <c r="B7663" s="9" t="str">
        <f>HYPERLINK("https://www.lazada.vn/products/dau-ca-thu-viet-nam-bich-1kg-giao-tphcm-i2994589595.html", "https://www.lazada.vn/products/dau-ca-thu-viet-nam-bich-1kg-giao-tphcm-i2994589595.html")</f>
        <v>https://www.lazada.vn/products/dau-ca-thu-viet-nam-bich-1kg-giao-tphcm-i2994589595.html</v>
      </c>
      <c r="C7663" s="10" t="s">
        <v>7663</v>
      </c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>
      <c r="A7664" s="8">
        <v>12518.0</v>
      </c>
      <c r="B7664" s="9" t="str">
        <f>HYPERLINK("https://www.lazada.vn/products/ca-phe-muoi-thom-ngon-dam-vi-hop-10-goi-thuong-hieu-ban-fb-i2782182673.html", "https://www.lazada.vn/products/ca-phe-muoi-thom-ngon-dam-vi-hop-10-goi-thuong-hieu-ban-fb-i2782182673.html")</f>
        <v>https://www.lazada.vn/products/ca-phe-muoi-thom-ngon-dam-vi-hop-10-goi-thuong-hieu-ban-fb-i2782182673.html</v>
      </c>
      <c r="C7664" s="10" t="s">
        <v>7664</v>
      </c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>
      <c r="A7665" s="8">
        <v>12519.0</v>
      </c>
      <c r="B7665" s="9" t="str">
        <f>HYPERLINK("https://www.lazada.vn/products/banh-quy-marie-gold-240g-i1887549774.html", "https://www.lazada.vn/products/banh-quy-marie-gold-240g-i1887549774.html")</f>
        <v>https://www.lazada.vn/products/banh-quy-marie-gold-240g-i1887549774.html</v>
      </c>
      <c r="C7665" s="10" t="s">
        <v>7665</v>
      </c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>
      <c r="A7666" s="8">
        <v>12520.0</v>
      </c>
      <c r="B7666" s="9" t="str">
        <f>HYPERLINK("https://www.lazada.vn/products/hop-qua-tang-ruou-vang-do-jacobs-creek-double-barrel-cabernet-sauvignon-nong-do-alc-14-750ml-kem-hop-i2489670336.html", "https://www.lazada.vn/products/hop-qua-tang-ruou-vang-do-jacobs-creek-double-barrel-cabernet-sauvignon-nong-do-alc-14-750ml-kem-hop-i2489670336.html")</f>
        <v>https://www.lazada.vn/products/hop-qua-tang-ruou-vang-do-jacobs-creek-double-barrel-cabernet-sauvignon-nong-do-alc-14-750ml-kem-hop-i2489670336.html</v>
      </c>
      <c r="C7666" s="10" t="s">
        <v>7666</v>
      </c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>
      <c r="A7667" s="8">
        <v>12521.0</v>
      </c>
      <c r="B7667" s="9" t="str">
        <f>HYPERLINK("https://www.lazada.vn/products/mi-ly-an-lien-hop-nho-nhat-ban-hang-noi-dia-nhat-100-i2984181082.html", "https://www.lazada.vn/products/mi-ly-an-lien-hop-nho-nhat-ban-hang-noi-dia-nhat-100-i2984181082.html")</f>
        <v>https://www.lazada.vn/products/mi-ly-an-lien-hop-nho-nhat-ban-hang-noi-dia-nhat-100-i2984181082.html</v>
      </c>
      <c r="C7667" s="10" t="s">
        <v>7667</v>
      </c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>
      <c r="A7668" s="8">
        <v>12522.0</v>
      </c>
      <c r="B7668" s="9" t="str">
        <f>HYPERLINK("https://www.lazada.vn/products/mi-an-lien-thai-lan-nhan-hieu-mama-ok-beef-panang-huong-vi-i2976315084.html", "https://www.lazada.vn/products/mi-an-lien-thai-lan-nhan-hieu-mama-ok-beef-panang-huong-vi-i2976315084.html")</f>
        <v>https://www.lazada.vn/products/mi-an-lien-thai-lan-nhan-hieu-mama-ok-beef-panang-huong-vi-i2976315084.html</v>
      </c>
      <c r="C7668" s="10" t="s">
        <v>7668</v>
      </c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>
      <c r="A7669" s="8">
        <v>12523.0</v>
      </c>
      <c r="B7669" s="9" t="str">
        <f>HYPERLINK("https://www.lazada.vn/products/sirosyrup-monin-hanh-nhan-monin-almond-700ml-i2473423994.html", "https://www.lazada.vn/products/sirosyrup-monin-hanh-nhan-monin-almond-700ml-i2473423994.html")</f>
        <v>https://www.lazada.vn/products/sirosyrup-monin-hanh-nhan-monin-almond-700ml-i2473423994.html</v>
      </c>
      <c r="C7669" s="10" t="s">
        <v>7669</v>
      </c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>
      <c r="A7670" s="8">
        <v>12524.0</v>
      </c>
      <c r="B7670" s="9" t="str">
        <f>HYPERLINK("https://www.lazada.vn/products/hcmbia-platinum-golden-bia-thu-cong-330ml24lon-ship-nhanh-trong-vong-2h-i1542453750.html", "https://www.lazada.vn/products/hcmbia-platinum-golden-bia-thu-cong-330ml24lon-ship-nhanh-trong-vong-2h-i1542453750.html")</f>
        <v>https://www.lazada.vn/products/hcmbia-platinum-golden-bia-thu-cong-330ml24lon-ship-nhanh-trong-vong-2h-i1542453750.html</v>
      </c>
      <c r="C7670" s="10" t="s">
        <v>7670</v>
      </c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>
      <c r="A7671" s="8">
        <v>12525.0</v>
      </c>
      <c r="B7671" s="9" t="str">
        <f>HYPERLINK("https://www.lazada.vn/products/1-chiec-banh-ruoc-gau-cha-bong-40g-i2595057092.html", "https://www.lazada.vn/products/1-chiec-banh-ruoc-gau-cha-bong-40g-i2595057092.html")</f>
        <v>https://www.lazada.vn/products/1-chiec-banh-ruoc-gau-cha-bong-40g-i2595057092.html</v>
      </c>
      <c r="C7671" s="10" t="s">
        <v>7671</v>
      </c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>
      <c r="A7672" s="8">
        <v>12526.0</v>
      </c>
      <c r="B7672" s="9" t="str">
        <f>HYPERLINK("https://www.lazada.vn/products/banh-trung-thu-khoai-mon-mochi-trung-muoi-cha-bong-cai-500g-i2656837145.html", "https://www.lazada.vn/products/banh-trung-thu-khoai-mon-mochi-trung-muoi-cha-bong-cai-500g-i2656837145.html")</f>
        <v>https://www.lazada.vn/products/banh-trung-thu-khoai-mon-mochi-trung-muoi-cha-bong-cai-500g-i2656837145.html</v>
      </c>
      <c r="C7672" s="10" t="s">
        <v>7672</v>
      </c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>
      <c r="A7673" s="8">
        <v>12527.0</v>
      </c>
      <c r="B7673" s="9" t="str">
        <f>HYPERLINK("https://www.lazada.vn/products/keo-dua-ca-phe-muoi-thanh-long-goi-350gram-thom-ngon-i2669344021.html", "https://www.lazada.vn/products/keo-dua-ca-phe-muoi-thanh-long-goi-350gram-thom-ngon-i2669344021.html")</f>
        <v>https://www.lazada.vn/products/keo-dua-ca-phe-muoi-thanh-long-goi-350gram-thom-ngon-i2669344021.html</v>
      </c>
      <c r="C7673" s="10" t="s">
        <v>7673</v>
      </c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>
      <c r="A7674" s="8">
        <v>12528.0</v>
      </c>
      <c r="B7674" s="9" t="str">
        <f>HYPERLINK("https://www.lazada.vn/products/500-bong-sau-du-vi-co-duong-bong-sau-du-vi-dac-biet-thom-ngon-me-ngay-i2811660541.html", "https://www.lazada.vn/products/500-bong-sau-du-vi-co-duong-bong-sau-du-vi-dac-biet-thom-ngon-me-ngay-i2811660541.html")</f>
        <v>https://www.lazada.vn/products/500-bong-sau-du-vi-co-duong-bong-sau-du-vi-dac-biet-thom-ngon-me-ngay-i2811660541.html</v>
      </c>
      <c r="C7674" s="10" t="s">
        <v>7674</v>
      </c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>
      <c r="A7675" s="8">
        <v>12529.0</v>
      </c>
      <c r="B7675" s="9" t="str">
        <f>HYPERLINK("https://www.lazada.vn/products/chao-bong-mai-170g-i2763091866.html", "https://www.lazada.vn/products/chao-bong-mai-170g-i2763091866.html")</f>
        <v>https://www.lazada.vn/products/chao-bong-mai-170g-i2763091866.html</v>
      </c>
      <c r="C7675" s="10" t="s">
        <v>7675</v>
      </c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>
      <c r="A7676" s="8">
        <v>12530.0</v>
      </c>
      <c r="B7676" s="9" t="str">
        <f>HYPERLINK("https://www.lazada.vn/products/bich-thach-zaizai-tra-sua-du-loai-cho-khach-i2064689642.html", "https://www.lazada.vn/products/bich-thach-zaizai-tra-sua-du-loai-cho-khach-i2064689642.html")</f>
        <v>https://www.lazada.vn/products/bich-thach-zaizai-tra-sua-du-loai-cho-khach-i2064689642.html</v>
      </c>
      <c r="C7676" s="10" t="s">
        <v>7676</v>
      </c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>
      <c r="A7677" s="8">
        <v>12531.0</v>
      </c>
      <c r="B7677" s="9" t="str">
        <f>HYPERLINK("https://www.lazada.vn/products/thung-24-lon-nuoc-ngot-giai-khat-co-gas-mirinda-vi-cam-320mllon-i2116760830.html", "https://www.lazada.vn/products/thung-24-lon-nuoc-ngot-giai-khat-co-gas-mirinda-vi-cam-320mllon-i2116760830.html")</f>
        <v>https://www.lazada.vn/products/thung-24-lon-nuoc-ngot-giai-khat-co-gas-mirinda-vi-cam-320mllon-i2116760830.html</v>
      </c>
      <c r="C7677" s="10" t="s">
        <v>7677</v>
      </c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>
      <c r="A7678" s="8">
        <v>12532.0</v>
      </c>
      <c r="B7678" s="9" t="str">
        <f>HYPERLINK("https://www.lazada.vn/products/khoai-tay-mui-cao-tam-vi-cua-bi-boc-1kg-giao-tphcm-i2661402653.html", "https://www.lazada.vn/products/khoai-tay-mui-cao-tam-vi-cua-bi-boc-1kg-giao-tphcm-i2661402653.html")</f>
        <v>https://www.lazada.vn/products/khoai-tay-mui-cao-tam-vi-cua-bi-boc-1kg-giao-tphcm-i2661402653.html</v>
      </c>
      <c r="C7678" s="10" t="s">
        <v>7678</v>
      </c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>
      <c r="A7679" s="8">
        <v>12533.0</v>
      </c>
      <c r="B7679" s="9" t="str">
        <f>HYPERLINK("https://www.lazada.vn/products/cai-ruo-minh-tam-chai-350ml-i2701559832.html", "https://www.lazada.vn/products/cai-ruo-minh-tam-chai-350ml-i2701559832.html")</f>
        <v>https://www.lazada.vn/products/cai-ruo-minh-tam-chai-350ml-i2701559832.html</v>
      </c>
      <c r="C7679" s="10" t="s">
        <v>7679</v>
      </c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>
      <c r="A7680" s="8">
        <v>12534.0</v>
      </c>
      <c r="B7680" s="9" t="str">
        <f>HYPERLINK("https://www.lazada.vn/products/chinh-hang-banh-quy-mybizcuit-bo-duong-thom-ngon-cho-moi-lua-tuoi-i2845386922.html", "https://www.lazada.vn/products/chinh-hang-banh-quy-mybizcuit-bo-duong-thom-ngon-cho-moi-lua-tuoi-i2845386922.html")</f>
        <v>https://www.lazada.vn/products/chinh-hang-banh-quy-mybizcuit-bo-duong-thom-ngon-cho-moi-lua-tuoi-i2845386922.html</v>
      </c>
      <c r="C7680" s="10" t="s">
        <v>7680</v>
      </c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>
      <c r="A7681" s="8">
        <v>12535.0</v>
      </c>
      <c r="B7681" s="9" t="str">
        <f>HYPERLINK("https://www.lazada.vn/products/gia-si-si-1-thung-48-hop-180ml-sua-milo-thai-lan-i1332279988.html", "https://www.lazada.vn/products/gia-si-si-1-thung-48-hop-180ml-sua-milo-thai-lan-i1332279988.html")</f>
        <v>https://www.lazada.vn/products/gia-si-si-1-thung-48-hop-180ml-sua-milo-thai-lan-i1332279988.html</v>
      </c>
      <c r="C7681" s="10" t="s">
        <v>7681</v>
      </c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>
      <c r="A7682" s="8">
        <v>12536.0</v>
      </c>
      <c r="B7682" s="9" t="str">
        <f>HYPERLINK("https://www.lazada.vn/products/nuoc-tang-luc-abben-chai-330ml-thung-24-chai-cty-bat-muoi-i2647786685.html", "https://www.lazada.vn/products/nuoc-tang-luc-abben-chai-330ml-thung-24-chai-cty-bat-muoi-i2647786685.html")</f>
        <v>https://www.lazada.vn/products/nuoc-tang-luc-abben-chai-330ml-thung-24-chai-cty-bat-muoi-i2647786685.html</v>
      </c>
      <c r="C7682" s="10" t="s">
        <v>7682</v>
      </c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>
      <c r="A7683" s="8">
        <v>12537.0</v>
      </c>
      <c r="B7683" s="9" t="str">
        <f>HYPERLINK("https://www.lazada.vn/products/man-den-gerber-nghien-hang-noi-dia-my-le-1-hu-i1742715610.html", "https://www.lazada.vn/products/man-den-gerber-nghien-hang-noi-dia-my-le-1-hu-i1742715610.html")</f>
        <v>https://www.lazada.vn/products/man-den-gerber-nghien-hang-noi-dia-my-le-1-hu-i1742715610.html</v>
      </c>
      <c r="C7683" s="10" t="s">
        <v>7683</v>
      </c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>
      <c r="A7684" s="8">
        <v>12538.0</v>
      </c>
      <c r="B7684" s="9" t="str">
        <f>HYPERLINK("https://www.lazada.vn/products/nuoc-tang-luc-thao-duoc-hong-ma-lon-170ml-huong-sam-truyen-thong-chinh-hang-cong-ty-hoa-linh-i2056298246.html", "https://www.lazada.vn/products/nuoc-tang-luc-thao-duoc-hong-ma-lon-170ml-huong-sam-truyen-thong-chinh-hang-cong-ty-hoa-linh-i2056298246.html")</f>
        <v>https://www.lazada.vn/products/nuoc-tang-luc-thao-duoc-hong-ma-lon-170ml-huong-sam-truyen-thong-chinh-hang-cong-ty-hoa-linh-i2056298246.html</v>
      </c>
      <c r="C7684" s="10" t="s">
        <v>7684</v>
      </c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>
      <c r="A7685" s="8">
        <v>12539.0</v>
      </c>
      <c r="B7685" s="9" t="str">
        <f>HYPERLINK("https://www.lazada.vn/products/loc-6-lon-bia-ruby-do-330mllon-i2854432918.html", "https://www.lazada.vn/products/loc-6-lon-bia-ruby-do-330mllon-i2854432918.html")</f>
        <v>https://www.lazada.vn/products/loc-6-lon-bia-ruby-do-330mllon-i2854432918.html</v>
      </c>
      <c r="C7685" s="10" t="s">
        <v>7685</v>
      </c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>
      <c r="A7686" s="8">
        <v>12540.0</v>
      </c>
      <c r="B7686" s="9" t="str">
        <f>HYPERLINK("https://www.lazada.vn/products/ayam-lon-dtrang-425g-dau-trang-ngam-nuoc-muoi-vn-white-beans-in-brine-halal-i2992228488.html", "https://www.lazada.vn/products/ayam-lon-dtrang-425g-dau-trang-ngam-nuoc-muoi-vn-white-beans-in-brine-halal-i2992228488.html")</f>
        <v>https://www.lazada.vn/products/ayam-lon-dtrang-425g-dau-trang-ngam-nuoc-muoi-vn-white-beans-in-brine-halal-i2992228488.html</v>
      </c>
      <c r="C7686" s="10" t="s">
        <v>7686</v>
      </c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>
      <c r="A7687" s="8">
        <v>12541.0</v>
      </c>
      <c r="B7687" s="9" t="str">
        <f>HYPERLINK("https://www.lazada.vn/products/bot-so-co-la-acacao-bac-ha-hop-11-goi26g-i2770442346.html", "https://www.lazada.vn/products/bot-so-co-la-acacao-bac-ha-hop-11-goi26g-i2770442346.html")</f>
        <v>https://www.lazada.vn/products/bot-so-co-la-acacao-bac-ha-hop-11-goi26g-i2770442346.html</v>
      </c>
      <c r="C7687" s="10" t="s">
        <v>7687</v>
      </c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>
      <c r="A7688" s="8">
        <v>12542.0</v>
      </c>
      <c r="B7688" s="9" t="str">
        <f>HYPERLINK("https://www.lazada.vn/products/combo-15-cai-banh-xop-phu-socola-fullo-blasto-i1864298187.html", "https://www.lazada.vn/products/combo-15-cai-banh-xop-phu-socola-fullo-blasto-i1864298187.html")</f>
        <v>https://www.lazada.vn/products/combo-15-cai-banh-xop-phu-socola-fullo-blasto-i1864298187.html</v>
      </c>
      <c r="C7688" s="10" t="s">
        <v>7688</v>
      </c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>
      <c r="A7689" s="8">
        <v>12543.0</v>
      </c>
      <c r="B7689" s="9" t="str">
        <f>HYPERLINK("https://www.lazada.vn/products/mi-goi-thai-lan-nhan-hieu-mama-huong-vi-thit-heo-i2976180050.html", "https://www.lazada.vn/products/mi-goi-thai-lan-nhan-hieu-mama-huong-vi-thit-heo-i2976180050.html")</f>
        <v>https://www.lazada.vn/products/mi-goi-thai-lan-nhan-hieu-mama-huong-vi-thit-heo-i2976180050.html</v>
      </c>
      <c r="C7689" s="10" t="s">
        <v>7689</v>
      </c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>
      <c r="A7690" s="8">
        <v>12544.0</v>
      </c>
      <c r="B7690" s="9" t="str">
        <f>HYPERLINK("https://www.lazada.vn/products/tran-chau-3q-wings-zion-viet-nam-2kg-i2473419978.html", "https://www.lazada.vn/products/tran-chau-3q-wings-zion-viet-nam-2kg-i2473419978.html")</f>
        <v>https://www.lazada.vn/products/tran-chau-3q-wings-zion-viet-nam-2kg-i2473419978.html</v>
      </c>
      <c r="C7690" s="10" t="s">
        <v>7690</v>
      </c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>
      <c r="A7691" s="8">
        <v>12545.0</v>
      </c>
      <c r="B7691" s="9" t="str">
        <f>HYPERLINK("https://www.lazada.vn/products/vang-chateau-grand-madison-bordeaux-i2487081695.html", "https://www.lazada.vn/products/vang-chateau-grand-madison-bordeaux-i2487081695.html")</f>
        <v>https://www.lazada.vn/products/vang-chateau-grand-madison-bordeaux-i2487081695.html</v>
      </c>
      <c r="C7691" s="10" t="s">
        <v>7691</v>
      </c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>
      <c r="A7692" s="8">
        <v>12546.0</v>
      </c>
      <c r="B7692" s="9" t="str">
        <f>HYPERLINK("https://www.lazada.vn/products/bia-la-trappe-trappist-blond-nhap-khau-ha-lan-1-chai-330ml-i1477244996.html", "https://www.lazada.vn/products/bia-la-trappe-trappist-blond-nhap-khau-ha-lan-1-chai-330ml-i1477244996.html")</f>
        <v>https://www.lazada.vn/products/bia-la-trappe-trappist-blond-nhap-khau-ha-lan-1-chai-330ml-i1477244996.html</v>
      </c>
      <c r="C7692" s="10" t="s">
        <v>7692</v>
      </c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>
      <c r="A7693" s="8">
        <v>12547.0</v>
      </c>
      <c r="B7693" s="9" t="str">
        <f>HYPERLINK("https://www.lazada.vn/products/banh-mi-deo-dai-loan-mem-min-deo-dai-huong-sua-thom-diu-cua-lua-mach-va-trung-ga-day-du-chat-dinh-duong-i2594642381.html", "https://www.lazada.vn/products/banh-mi-deo-dai-loan-mem-min-deo-dai-huong-sua-thom-diu-cua-lua-mach-va-trung-ga-day-du-chat-dinh-duong-i2594642381.html")</f>
        <v>https://www.lazada.vn/products/banh-mi-deo-dai-loan-mem-min-deo-dai-huong-sua-thom-diu-cua-lua-mach-va-trung-ga-day-du-chat-dinh-duong-i2594642381.html</v>
      </c>
      <c r="C7693" s="10" t="s">
        <v>7693</v>
      </c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>
      <c r="A7694" s="8">
        <v>12548.0</v>
      </c>
      <c r="B7694" s="9" t="str">
        <f>HYPERLINK("https://www.lazada.vn/products/hang-moi-combo-500g-keo-deo-xoai-bibizan-nhan-chaykeo-xoai-mem-deo-nhan-sot-tan-chay-mem-ngon-dam-vi-i2668990315.html", "https://www.lazada.vn/products/hang-moi-combo-500g-keo-deo-xoai-bibizan-nhan-chaykeo-xoai-mem-deo-nhan-sot-tan-chay-mem-ngon-dam-vi-i2668990315.html")</f>
        <v>https://www.lazada.vn/products/hang-moi-combo-500g-keo-deo-xoai-bibizan-nhan-chaykeo-xoai-mem-deo-nhan-sot-tan-chay-mem-ngon-dam-vi-i2668990315.html</v>
      </c>
      <c r="C7694" s="10" t="s">
        <v>7694</v>
      </c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>
      <c r="A7695" s="8">
        <v>12549.0</v>
      </c>
      <c r="B7695" s="9" t="str">
        <f>HYPERLINK("https://www.lazada.vn/products/1kg-bong-ong-vi-lac-va-nhieu-duong-i2811656513.html", "https://www.lazada.vn/products/1kg-bong-ong-vi-lac-va-nhieu-duong-i2811656513.html")</f>
        <v>https://www.lazada.vn/products/1kg-bong-ong-vi-lac-va-nhieu-duong-i2811656513.html</v>
      </c>
      <c r="C7695" s="10" t="s">
        <v>7695</v>
      </c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>
      <c r="A7696" s="8">
        <v>12550.0</v>
      </c>
      <c r="B7696" s="9" t="str">
        <f>HYPERLINK("https://www.lazada.vn/products/ferrero-rocher-my-48-vien-600g-chi-vit-shop-i2885274869.html", "https://www.lazada.vn/products/ferrero-rocher-my-48-vien-600g-chi-vit-shop-i2885274869.html")</f>
        <v>https://www.lazada.vn/products/ferrero-rocher-my-48-vien-600g-chi-vit-shop-i2885274869.html</v>
      </c>
      <c r="C7696" s="10" t="s">
        <v>7696</v>
      </c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>
      <c r="A7697" s="8">
        <v>12551.0</v>
      </c>
      <c r="B7697" s="9" t="str">
        <f>HYPERLINK("https://www.lazada.vn/products/mi-kieu-mach-soba-chilkab-han-quoc-1kg-i2761573428.html", "https://www.lazada.vn/products/mi-kieu-mach-soba-chilkab-han-quoc-1kg-i2761573428.html")</f>
        <v>https://www.lazada.vn/products/mi-kieu-mach-soba-chilkab-han-quoc-1kg-i2761573428.html</v>
      </c>
      <c r="C7697" s="10" t="s">
        <v>7697</v>
      </c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>
      <c r="A7698" s="8">
        <v>12552.0</v>
      </c>
      <c r="B7698" s="9" t="str">
        <f>HYPERLINK("https://www.lazada.vn/products/thung-24-chai-nuoc-ngot-giai-khat-pepsi-co-gas-390mlchai-i2116705664.html", "https://www.lazada.vn/products/thung-24-chai-nuoc-ngot-giai-khat-pepsi-co-gas-390mlchai-i2116705664.html")</f>
        <v>https://www.lazada.vn/products/thung-24-chai-nuoc-ngot-giai-khat-pepsi-co-gas-390mlchai-i2116705664.html</v>
      </c>
      <c r="C7698" s="10" t="s">
        <v>7698</v>
      </c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>
      <c r="A7699" s="8">
        <v>12553.0</v>
      </c>
      <c r="B7699" s="9" t="str">
        <f>HYPERLINK("https://www.lazada.vn/products/nuoc-ep-hon-hop-luu-huu-co-lakewood-946ml-i2700771523.html", "https://www.lazada.vn/products/nuoc-ep-hon-hop-luu-huu-co-lakewood-946ml-i2700771523.html")</f>
        <v>https://www.lazada.vn/products/nuoc-ep-hon-hop-luu-huu-co-lakewood-946ml-i2700771523.html</v>
      </c>
      <c r="C7699" s="10" t="s">
        <v>7699</v>
      </c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>
      <c r="A7700" s="8">
        <v>12554.0</v>
      </c>
      <c r="B7700" s="9" t="str">
        <f>HYPERLINK("https://www.lazada.vn/products/banh-snack-bim-bim-oishi-orion-jackjill-cac-loai-32g-40g-i2660412097.html", "https://www.lazada.vn/products/banh-snack-bim-bim-oishi-orion-jackjill-cac-loai-32g-40g-i2660412097.html")</f>
        <v>https://www.lazada.vn/products/banh-snack-bim-bim-oishi-orion-jackjill-cac-loai-32g-40g-i2660412097.html</v>
      </c>
      <c r="C7700" s="10" t="s">
        <v>7700</v>
      </c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>
      <c r="A7701" s="8">
        <v>12555.0</v>
      </c>
      <c r="B7701" s="9" t="str">
        <f>HYPERLINK("https://www.lazada.vn/products/banh-da-lon-mix-chuoi-banh-mix-banh-bo-nuongbanh-ducbanh-tu-quybanh-bo-beo-tam-sac-i2593598417.html", "https://www.lazada.vn/products/banh-da-lon-mix-chuoi-banh-mix-banh-bo-nuongbanh-ducbanh-tu-quybanh-bo-beo-tam-sac-i2593598417.html")</f>
        <v>https://www.lazada.vn/products/banh-da-lon-mix-chuoi-banh-mix-banh-bo-nuongbanh-ducbanh-tu-quybanh-bo-beo-tam-sac-i2593598417.html</v>
      </c>
      <c r="C7701" s="10" t="s">
        <v>7701</v>
      </c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>
      <c r="A7702" s="8">
        <v>12556.0</v>
      </c>
      <c r="B7702" s="9" t="str">
        <f>HYPERLINK("https://www.lazada.vn/products/100g-luong-kho-fucuco-mini-mix-vi-hanh-nhan-vi-hat-dieu-vi-me-den-vi-nho-vi-oc-cho-vi-ruoc-thit-vi-socola-an-kieng-i2845061419.html", "https://www.lazada.vn/products/100g-luong-kho-fucuco-mini-mix-vi-hanh-nhan-vi-hat-dieu-vi-me-den-vi-nho-vi-oc-cho-vi-ruoc-thit-vi-socola-an-kieng-i2845061419.html")</f>
        <v>https://www.lazada.vn/products/100g-luong-kho-fucuco-mini-mix-vi-hanh-nhan-vi-hat-dieu-vi-me-den-vi-nho-vi-oc-cho-vi-ruoc-thit-vi-socola-an-kieng-i2845061419.html</v>
      </c>
      <c r="C7702" s="10" t="s">
        <v>7702</v>
      </c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>
      <c r="A7703" s="8">
        <v>12557.0</v>
      </c>
      <c r="B7703" s="9" t="str">
        <f>HYPERLINK("https://www.lazada.vn/products/thach-trai-cay-orihiro-240g-hang-noi-dia-nhat-ban-i2668984523.html", "https://www.lazada.vn/products/thach-trai-cay-orihiro-240g-hang-noi-dia-nhat-ban-i2668984523.html")</f>
        <v>https://www.lazada.vn/products/thach-trai-cay-orihiro-240g-hang-noi-dia-nhat-ban-i2668984523.html</v>
      </c>
      <c r="C7703" s="10" t="s">
        <v>7703</v>
      </c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>
      <c r="A7704" s="8">
        <v>12558.0</v>
      </c>
      <c r="B7704" s="9" t="str">
        <f>HYPERLINK("https://www.lazada.vn/products/nuoc-tang-luc-abben-330ml-loc-6-chai-cty-bat-muoi-i2647693766.html", "https://www.lazada.vn/products/nuoc-tang-luc-abben-330ml-loc-6-chai-cty-bat-muoi-i2647693766.html")</f>
        <v>https://www.lazada.vn/products/nuoc-tang-luc-abben-330ml-loc-6-chai-cty-bat-muoi-i2647693766.html</v>
      </c>
      <c r="C7704" s="10" t="s">
        <v>7704</v>
      </c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>
      <c r="A7705" s="8">
        <v>12559.0</v>
      </c>
      <c r="B7705" s="9" t="str">
        <f>HYPERLINK("https://www.lazada.vn/products/ayam-hop-cn-do-120g-ca-trich-ngam-ot-va-dau-o-liu-nguyen-chat-malaysia-sardines-in-extra-virgin-olive-oil-chilli-halal-i2991965511.html", "https://www.lazada.vn/products/ayam-hop-cn-do-120g-ca-trich-ngam-ot-va-dau-o-liu-nguyen-chat-malaysia-sardines-in-extra-virgin-olive-oil-chilli-halal-i2991965511.html")</f>
        <v>https://www.lazada.vn/products/ayam-hop-cn-do-120g-ca-trich-ngam-ot-va-dau-o-liu-nguyen-chat-malaysia-sardines-in-extra-virgin-olive-oil-chilli-halal-i2991965511.html</v>
      </c>
      <c r="C7705" s="10" t="s">
        <v>7705</v>
      </c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>
      <c r="A7706" s="8">
        <v>12560.0</v>
      </c>
      <c r="B7706" s="9" t="str">
        <f>HYPERLINK("https://www.lazada.vn/products/combo-3-goi-banh-quy-man-ritz-crackers-247g-i1829580472.html", "https://www.lazada.vn/products/combo-3-goi-banh-quy-man-ritz-crackers-247g-i1829580472.html")</f>
        <v>https://www.lazada.vn/products/combo-3-goi-banh-quy-man-ritz-crackers-247g-i1829580472.html</v>
      </c>
      <c r="C7706" s="10" t="s">
        <v>7706</v>
      </c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>
      <c r="A7707" s="8">
        <v>12561.0</v>
      </c>
      <c r="B7707" s="9" t="str">
        <f>HYPERLINK("https://www.lazada.vn/products/banh-snack-bim-bim-khoai-tay-lays-du-loai-goi30g-i2660367482.html", "https://www.lazada.vn/products/banh-snack-bim-bim-khoai-tay-lays-du-loai-goi30g-i2660367482.html")</f>
        <v>https://www.lazada.vn/products/banh-snack-bim-bim-khoai-tay-lays-du-loai-goi30g-i2660367482.html</v>
      </c>
      <c r="C7707" s="10" t="s">
        <v>7707</v>
      </c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>
      <c r="A7708" s="8">
        <v>12562.0</v>
      </c>
      <c r="B7708" s="9" t="str">
        <f>HYPERLINK("https://www.lazada.vn/products/combo-4-chai-bia-la-trappe-330ml-bia-nhap-khau-ha-lan-i1477151528.html", "https://www.lazada.vn/products/combo-4-chai-bia-la-trappe-330ml-bia-nhap-khau-ha-lan-i1477151528.html")</f>
        <v>https://www.lazada.vn/products/combo-4-chai-bia-la-trappe-330ml-bia-nhap-khau-ha-lan-i1477151528.html</v>
      </c>
      <c r="C7708" s="10" t="s">
        <v>7708</v>
      </c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>
      <c r="A7709" s="8">
        <v>12563.0</v>
      </c>
      <c r="B7709" s="9" t="str">
        <f>HYPERLINK("https://www.lazada.vn/products/classic-beer-leather-espresso-i2852890737.html", "https://www.lazada.vn/products/classic-beer-leather-espresso-i2852890737.html")</f>
        <v>https://www.lazada.vn/products/classic-beer-leather-espresso-i2852890737.html</v>
      </c>
      <c r="C7709" s="10" t="s">
        <v>7709</v>
      </c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>
      <c r="A7710" s="8">
        <v>12564.0</v>
      </c>
      <c r="B7710" s="9" t="str">
        <f>HYPERLINK("https://www.lazada.vn/products/nui-rau-cu-dinh-duong-thuong-hieu-lotus-nui-ngoi-sao-nui-ong-dai-nui-ngan-si-le-i2970437277.html", "https://www.lazada.vn/products/nui-rau-cu-dinh-duong-thuong-hieu-lotus-nui-ngoi-sao-nui-ong-dai-nui-ngan-si-le-i2970437277.html")</f>
        <v>https://www.lazada.vn/products/nui-rau-cu-dinh-duong-thuong-hieu-lotus-nui-ngoi-sao-nui-ong-dai-nui-ngan-si-le-i2970437277.html</v>
      </c>
      <c r="C7710" s="10" t="s">
        <v>7710</v>
      </c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>
      <c r="A7711" s="8">
        <v>12565.0</v>
      </c>
      <c r="B7711" s="9" t="str">
        <f>HYPERLINK("https://www.lazada.vn/products/tran-chau-duong-den-douxian-1kg-size-25-i2473384956.html", "https://www.lazada.vn/products/tran-chau-duong-den-douxian-1kg-size-25-i2473384956.html")</f>
        <v>https://www.lazada.vn/products/tran-chau-duong-den-douxian-1kg-size-25-i2473384956.html</v>
      </c>
      <c r="C7711" s="10" t="s">
        <v>7711</v>
      </c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>
      <c r="A7712" s="8">
        <v>12566.0</v>
      </c>
      <c r="B7712" s="9" t="str">
        <f>HYPERLINK("https://www.lazada.vn/products/keo-socola-ferrero-rocher-duc-16-vien-24vien-30vien-48vien-i2885252103.html", "https://www.lazada.vn/products/keo-socola-ferrero-rocher-duc-16-vien-24vien-30vien-48vien-i2885252103.html")</f>
        <v>https://www.lazada.vn/products/keo-socola-ferrero-rocher-duc-16-vien-24vien-30vien-48vien-i2885252103.html</v>
      </c>
      <c r="C7712" s="10" t="s">
        <v>7712</v>
      </c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>
      <c r="A7713" s="8">
        <v>12567.0</v>
      </c>
      <c r="B7713" s="9" t="str">
        <f>HYPERLINK("https://www.lazada.vn/products/ca-phe-den-da-nescafe-cafe-viet-day-10-goi-x-16g-i2691313577.html", "https://www.lazada.vn/products/ca-phe-den-da-nescafe-cafe-viet-day-10-goi-x-16g-i2691313577.html")</f>
        <v>https://www.lazada.vn/products/ca-phe-den-da-nescafe-cafe-viet-day-10-goi-x-16g-i2691313577.html</v>
      </c>
      <c r="C7713" s="10" t="s">
        <v>7713</v>
      </c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>
      <c r="A7714" s="8">
        <v>12568.0</v>
      </c>
      <c r="B7714" s="9" t="str">
        <f>HYPERLINK("https://www.lazada.vn/products/bot-cacao-sua-hot-cocoa-dam-vi-tu-cacao-nguyen-chat-hop-giay-12-goi-x-20g-khong-cholesterone-giau-khoang-va-chat-xo-hoa-tan-heyday-cacao-i1329902331.html", "https://www.lazada.vn/products/bot-cacao-sua-hot-cocoa-dam-vi-tu-cacao-nguyen-chat-hop-giay-12-goi-x-20g-khong-cholesterone-giau-khoang-va-chat-xo-hoa-tan-heyday-cacao-i1329902331.html")</f>
        <v>https://www.lazada.vn/products/bot-cacao-sua-hot-cocoa-dam-vi-tu-cacao-nguyen-chat-hop-giay-12-goi-x-20g-khong-cholesterone-giau-khoang-va-chat-xo-hoa-tan-heyday-cacao-i1329902331.html</v>
      </c>
      <c r="C7714" s="10" t="s">
        <v>7714</v>
      </c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>
      <c r="A7715" s="8">
        <v>12569.0</v>
      </c>
      <c r="B7715" s="9" t="str">
        <f>HYPERLINK("https://www.lazada.vn/products/500g-bong-ong-dau-den-khong-duong-bong-ong-dau-den-thom-ngon-chuan-vi-nha-lam-i2811653536.html", "https://www.lazada.vn/products/500g-bong-ong-dau-den-khong-duong-bong-ong-dau-den-thom-ngon-chuan-vi-nha-lam-i2811653536.html")</f>
        <v>https://www.lazada.vn/products/500g-bong-ong-dau-den-khong-duong-bong-ong-dau-den-thom-ngon-chuan-vi-nha-lam-i2811653536.html</v>
      </c>
      <c r="C7715" s="10" t="s">
        <v>7715</v>
      </c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>
      <c r="A7716" s="8">
        <v>12570.0</v>
      </c>
      <c r="B7716" s="9" t="str">
        <f>HYPERLINK("https://www.lazada.vn/products/combo-6-goi-mi-omachi-suon-ham-ngu-qua-80gr-6-goi-mi-omachi-lau-bap-bo-rieu-cua-80-gr-6-goi-mi-omachi-xot-spaghetti-90gr-i2761461872.html", "https://www.lazada.vn/products/combo-6-goi-mi-omachi-suon-ham-ngu-qua-80gr-6-goi-mi-omachi-lau-bap-bo-rieu-cua-80-gr-6-goi-mi-omachi-xot-spaghetti-90gr-i2761461872.html")</f>
        <v>https://www.lazada.vn/products/combo-6-goi-mi-omachi-suon-ham-ngu-qua-80gr-6-goi-mi-omachi-lau-bap-bo-rieu-cua-80-gr-6-goi-mi-omachi-xot-spaghetti-90gr-i2761461872.html</v>
      </c>
      <c r="C7716" s="10" t="s">
        <v>7716</v>
      </c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>
      <c r="A7717" s="8">
        <v>12571.0</v>
      </c>
      <c r="B7717" s="9" t="str">
        <f>HYPERLINK("https://www.lazada.vn/products/loc-6-lon-mirinda-soda-kem-330ml-i2112352428.html", "https://www.lazada.vn/products/loc-6-lon-mirinda-soda-kem-330ml-i2112352428.html")</f>
        <v>https://www.lazada.vn/products/loc-6-lon-mirinda-soda-kem-330ml-i2112352428.html</v>
      </c>
      <c r="C7717" s="10" t="s">
        <v>7717</v>
      </c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>
      <c r="A7718" s="8">
        <v>12572.0</v>
      </c>
      <c r="B7718" s="9" t="str">
        <f>HYPERLINK("https://www.lazada.vn/products/nuoc-loi-khuan-dao-tao-ep-tao-viet-quat-luu-mo-xanh-woongjin-nho-kirin-tao-kirin-quyt-kirin-tra-khung-kheng-rau-bap-lua-mach-han-quoc-i2700184692.html", "https://www.lazada.vn/products/nuoc-loi-khuan-dao-tao-ep-tao-viet-quat-luu-mo-xanh-woongjin-nho-kirin-tao-kirin-quyt-kirin-tra-khung-kheng-rau-bap-lua-mach-han-quoc-i2700184692.html")</f>
        <v>https://www.lazada.vn/products/nuoc-loi-khuan-dao-tao-ep-tao-viet-quat-luu-mo-xanh-woongjin-nho-kirin-tao-kirin-quyt-kirin-tra-khung-kheng-rau-bap-lua-mach-han-quoc-i2700184692.html</v>
      </c>
      <c r="C7718" s="10" t="s">
        <v>7718</v>
      </c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>
      <c r="A7719" s="8">
        <v>12573.0</v>
      </c>
      <c r="B7719" s="9" t="str">
        <f>HYPERLINK("https://www.lazada.vn/products/nuoc-tang-luc-thao-duoc-hong-ma-lon-170ml-dung-cho-nguoi-met-moi-kiet-suc-nguoi-the-trang-yeu-can-phuc-hoi-suc-khoe-chiet-xuat-duoc-lieu-an-toan-voi-huong-sam-truyen-thong-i2056208258.html", "https://www.lazada.vn/products/nuoc-tang-luc-thao-duoc-hong-ma-lon-170ml-dung-cho-nguoi-met-moi-kiet-suc-nguoi-the-trang-yeu-can-phuc-hoi-suc-khoe-chiet-xuat-duoc-lieu-an-toan-voi-huong-sam-truyen-thong-i2056208258.html")</f>
        <v>https://www.lazada.vn/products/nuoc-tang-luc-thao-duoc-hong-ma-lon-170ml-dung-cho-nguoi-met-moi-kiet-suc-nguoi-the-trang-yeu-can-phuc-hoi-suc-khoe-chiet-xuat-duoc-lieu-an-toan-voi-huong-sam-truyen-thong-i2056208258.html</v>
      </c>
      <c r="C7719" s="10" t="s">
        <v>7719</v>
      </c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>
      <c r="A7720" s="8">
        <v>12574.0</v>
      </c>
      <c r="B7720" s="9" t="str">
        <f>HYPERLINK("https://www.lazada.vn/products/banh-gao-lut-dau-tam-it-duong-deo-thom-vi-ngot-thanh-thuc-pham-an-kieng-lanh-manh-healthy-day-du-dinh-duong-i2593497225.html", "https://www.lazada.vn/products/banh-gao-lut-dau-tam-it-duong-deo-thom-vi-ngot-thanh-thuc-pham-an-kieng-lanh-manh-healthy-day-du-dinh-duong-i2593497225.html")</f>
        <v>https://www.lazada.vn/products/banh-gao-lut-dau-tam-it-duong-deo-thom-vi-ngot-thanh-thuc-pham-an-kieng-lanh-manh-healthy-day-du-dinh-duong-i2593497225.html</v>
      </c>
      <c r="C7720" s="10" t="s">
        <v>7720</v>
      </c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>
      <c r="A7721" s="8">
        <v>12575.0</v>
      </c>
      <c r="B7721" s="9" t="str">
        <f>HYPERLINK("https://www.lazada.vn/products/ngon-chat-luong-500g-keo-deo-xoai-lot-vo-dai-long-thom-ngon-vi-xoai-viet-nam-i2668073071.html", "https://www.lazada.vn/products/ngon-chat-luong-500g-keo-deo-xoai-lot-vo-dai-long-thom-ngon-vi-xoai-viet-nam-i2668073071.html")</f>
        <v>https://www.lazada.vn/products/ngon-chat-luong-500g-keo-deo-xoai-lot-vo-dai-long-thom-ngon-vi-xoai-viet-nam-i2668073071.html</v>
      </c>
      <c r="C7721" s="10" t="s">
        <v>7721</v>
      </c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>
      <c r="A7722" s="8">
        <v>12576.0</v>
      </c>
      <c r="B7722" s="9" t="str">
        <f>HYPERLINK("https://www.lazada.vn/products/do-an-vat-cho-meo-sot-ru-dia-nguc-nhat-ban-mieu-vuong-tai-am-thuc-dong-hanh-dong-hop-thit-tang-beo-dinh-duong-mieng-cho-meo-i2990084256.html", "https://www.lazada.vn/products/do-an-vat-cho-meo-sot-ru-dia-nguc-nhat-ban-mieu-vuong-tai-am-thuc-dong-hanh-dong-hop-thit-tang-beo-dinh-duong-mieng-cho-meo-i2990084256.html")</f>
        <v>https://www.lazada.vn/products/do-an-vat-cho-meo-sot-ru-dia-nguc-nhat-ban-mieu-vuong-tai-am-thuc-dong-hanh-dong-hop-thit-tang-beo-dinh-duong-mieng-cho-meo-i2990084256.html</v>
      </c>
      <c r="C7722" s="10" t="s">
        <v>7722</v>
      </c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>
      <c r="A7723" s="8">
        <v>12577.0</v>
      </c>
      <c r="B7723" s="9" t="str">
        <f>HYPERLINK("https://www.lazada.vn/products/luc-tra-lai-loc-phat-1kgnguyen-lieu-lam-tra-suatra-chanhtra-tactra-hoa-qua-nuoc-tra-che-i2647499855.html", "https://www.lazada.vn/products/luc-tra-lai-loc-phat-1kgnguyen-lieu-lam-tra-suatra-chanhtra-tactra-hoa-qua-nuoc-tra-che-i2647499855.html")</f>
        <v>https://www.lazada.vn/products/luc-tra-lai-loc-phat-1kgnguyen-lieu-lam-tra-suatra-chanhtra-tactra-hoa-qua-nuoc-tra-che-i2647499855.html</v>
      </c>
      <c r="C7723" s="10" t="s">
        <v>7723</v>
      </c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>
      <c r="A7724" s="8">
        <v>12578.0</v>
      </c>
      <c r="B7724" s="9" t="str">
        <f>HYPERLINK("https://www.lazada.vn/products/banh-soda-cracker-an-kieng-vi-man_goi-400g-shop-mint-mint-i2844719123.html", "https://www.lazada.vn/products/banh-soda-cracker-an-kieng-vi-man_goi-400g-shop-mint-mint-i2844719123.html")</f>
        <v>https://www.lazada.vn/products/banh-soda-cracker-an-kieng-vi-man_goi-400g-shop-mint-mint-i2844719123.html</v>
      </c>
      <c r="C7724" s="10" t="s">
        <v>7724</v>
      </c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>
      <c r="A7725" s="8">
        <v>12579.0</v>
      </c>
      <c r="B7725" s="9" t="str">
        <f>HYPERLINK("https://www.lazada.vn/products/combo-mix-5-goi-bim-bim-ba-tuyet-tam-cay-dui-ga-pho-mai-rong-bien-te-cay-mai-ton-i2660323449.html", "https://www.lazada.vn/products/combo-mix-5-goi-bim-bim-ba-tuyet-tam-cay-dui-ga-pho-mai-rong-bien-te-cay-mai-ton-i2660323449.html")</f>
        <v>https://www.lazada.vn/products/combo-mix-5-goi-bim-bim-ba-tuyet-tam-cay-dui-ga-pho-mai-rong-bien-te-cay-mai-ton-i2660323449.html</v>
      </c>
      <c r="C7725" s="10" t="s">
        <v>7725</v>
      </c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>
      <c r="A7726" s="8">
        <v>12580.0</v>
      </c>
      <c r="B7726" s="9" t="str">
        <f>HYPERLINK("https://www.lazada.vn/products/banh-phuc-linh-nguyen-chat-binh-dinh-dac-san-binh-dinh-i1802698884.html", "https://www.lazada.vn/products/banh-phuc-linh-nguyen-chat-binh-dinh-dac-san-binh-dinh-i1802698884.html")</f>
        <v>https://www.lazada.vn/products/banh-phuc-linh-nguyen-chat-binh-dinh-dac-san-binh-dinh-i1802698884.html</v>
      </c>
      <c r="C7726" s="10" t="s">
        <v>7726</v>
      </c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>
      <c r="A7727" s="8">
        <v>12581.0</v>
      </c>
      <c r="B7727" s="9" t="str">
        <f>HYPERLINK("https://www.lazada.vn/products/siro-mama-rosa-du-vi-700ml-syrup-golden-farm-700ml-i2473379671.html", "https://www.lazada.vn/products/siro-mama-rosa-du-vi-700ml-syrup-golden-farm-700ml-i2473379671.html")</f>
        <v>https://www.lazada.vn/products/siro-mama-rosa-du-vi-700ml-syrup-golden-farm-700ml-i2473379671.html</v>
      </c>
      <c r="C7727" s="10" t="s">
        <v>7727</v>
      </c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>
      <c r="A7728" s="8">
        <v>12582.0</v>
      </c>
      <c r="B7728" s="9" t="str">
        <f>HYPERLINK("https://www.lazada.vn/products/lon-bia-ga-gia-ga-dung-co-the-thao-roi-voi-bia-vong-ho-tro-cho-ngoai-troi-cho-nha-i2847465629.html", "https://www.lazada.vn/products/lon-bia-ga-gia-ga-dung-co-the-thao-roi-voi-bia-vong-ho-tro-cho-ngoai-troi-cho-nha-i2847465629.html")</f>
        <v>https://www.lazada.vn/products/lon-bia-ga-gia-ga-dung-co-the-thao-roi-voi-bia-vong-ho-tro-cho-ngoai-troi-cho-nha-i2847465629.html</v>
      </c>
      <c r="C7728" s="10" t="s">
        <v>7728</v>
      </c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>
      <c r="A7729" s="8">
        <v>12583.0</v>
      </c>
      <c r="B7729" s="9" t="str">
        <f>HYPERLINK("https://www.lazada.vn/products/bia-leffe-vang-leffe-blonde-nhap-khau-bi-1-thung-12-chai-330ml-i1458088849.html", "https://www.lazada.vn/products/bia-leffe-vang-leffe-blonde-nhap-khau-bi-1-thung-12-chai-330ml-i1458088849.html")</f>
        <v>https://www.lazada.vn/products/bia-leffe-vang-leffe-blonde-nhap-khau-bi-1-thung-12-chai-330ml-i1458088849.html</v>
      </c>
      <c r="C7729" s="10" t="s">
        <v>7729</v>
      </c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>
      <c r="A7730" s="8">
        <v>12584.0</v>
      </c>
      <c r="B7730" s="9" t="str">
        <f>HYPERLINK("https://www.lazada.vn/products/hang-my-socola-hersheys-miniatures-158kg-180-vien-i2885092769.html", "https://www.lazada.vn/products/hang-my-socola-hersheys-miniatures-158kg-180-vien-i2885092769.html")</f>
        <v>https://www.lazada.vn/products/hang-my-socola-hersheys-miniatures-158kg-180-vien-i2885092769.html</v>
      </c>
      <c r="C7730" s="10" t="s">
        <v>7730</v>
      </c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>
      <c r="A7731" s="8">
        <v>12585.0</v>
      </c>
      <c r="B7731" s="9" t="str">
        <f>HYPERLINK("https://www.lazada.vn/products/nui-gao-dinh-duong-thuong-hieu-lotus-nui-ngoi-sao-nui-ong-dai-nui-ngan-nui-vang-si-le-i2970362825.html", "https://www.lazada.vn/products/nui-gao-dinh-duong-thuong-hieu-lotus-nui-ngoi-sao-nui-ong-dai-nui-ngan-nui-vang-si-le-i2970362825.html")</f>
        <v>https://www.lazada.vn/products/nui-gao-dinh-duong-thuong-hieu-lotus-nui-ngoi-sao-nui-ong-dai-nui-ngan-nui-vang-si-le-i2970362825.html</v>
      </c>
      <c r="C7731" s="10" t="s">
        <v>7731</v>
      </c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>
      <c r="A7732" s="8">
        <v>12586.0</v>
      </c>
      <c r="B7732" s="9" t="str">
        <f>HYPERLINK("https://www.lazada.vn/products/chinh-hang-rock-cafe-ca-phe-sau-rieng-rock-cafe-tui-30-goi-x-20g-mau-moi-cafe-sua-vi-sau-rieng-durian-white-coffee-thom-ngon-dam-vi-ca-phe-sua-hoa-tan-i2681244786.html", "https://www.lazada.vn/products/chinh-hang-rock-cafe-ca-phe-sau-rieng-rock-cafe-tui-30-goi-x-20g-mau-moi-cafe-sua-vi-sau-rieng-durian-white-coffee-thom-ngon-dam-vi-ca-phe-sua-hoa-tan-i2681244786.html")</f>
        <v>https://www.lazada.vn/products/chinh-hang-rock-cafe-ca-phe-sau-rieng-rock-cafe-tui-30-goi-x-20g-mau-moi-cafe-sua-vi-sau-rieng-durian-white-coffee-thom-ngon-dam-vi-ca-phe-sua-hoa-tan-i2681244786.html</v>
      </c>
      <c r="C7732" s="10" t="s">
        <v>7732</v>
      </c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>
      <c r="A7733" s="8">
        <v>12587.0</v>
      </c>
      <c r="B7733" s="9" t="str">
        <f>HYPERLINK("https://www.lazada.vn/products/thanh-ly-thung-han-su-dung-1942025-kirkland-44-goi-935g-bap-no-bo-bang-lo-vi-song-usa-microwave-popcorn-movie-theater-butter-i2811486717.html", "https://www.lazada.vn/products/thanh-ly-thung-han-su-dung-1942025-kirkland-44-goi-935g-bap-no-bo-bang-lo-vi-song-usa-microwave-popcorn-movie-theater-butter-i2811486717.html")</f>
        <v>https://www.lazada.vn/products/thanh-ly-thung-han-su-dung-1942025-kirkland-44-goi-935g-bap-no-bo-bang-lo-vi-song-usa-microwave-popcorn-movie-theater-butter-i2811486717.html</v>
      </c>
      <c r="C7733" s="10" t="s">
        <v>7733</v>
      </c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>
      <c r="A7734" s="8">
        <v>12588.0</v>
      </c>
      <c r="B7734" s="9" t="str">
        <f>HYPERLINK("https://www.lazada.vn/products/bot-ngu-coc-dinh-duong-hoa-bach-hai-duong-ngu-coc-tang-can-cho-nguoi-gay-loi-sua-cho-me-sau-sinh-an-ngon-ngu-ngon500gr-hang-moi-nhat-i1329806546.html", "https://www.lazada.vn/products/bot-ngu-coc-dinh-duong-hoa-bach-hai-duong-ngu-coc-tang-can-cho-nguoi-gay-loi-sua-cho-me-sau-sinh-an-ngon-ngu-ngon500gr-hang-moi-nhat-i1329806546.html")</f>
        <v>https://www.lazada.vn/products/bot-ngu-coc-dinh-duong-hoa-bach-hai-duong-ngu-coc-tang-can-cho-nguoi-gay-loi-sua-cho-me-sau-sinh-an-ngon-ngu-ngon500gr-hang-moi-nhat-i1329806546.html</v>
      </c>
      <c r="C7734" s="10" t="s">
        <v>7734</v>
      </c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>
      <c r="A7735" s="8">
        <v>12589.0</v>
      </c>
      <c r="B7735" s="9" t="str">
        <f>HYPERLINK("https://www.lazada.vn/products/thung-nuoc-khoang-thach-bich-vi-chanh-muoi-co-gas-24-chai-480-ml-i2096409454.html", "https://www.lazada.vn/products/thung-nuoc-khoang-thach-bich-vi-chanh-muoi-co-gas-24-chai-480-ml-i2096409454.html")</f>
        <v>https://www.lazada.vn/products/thung-nuoc-khoang-thach-bich-vi-chanh-muoi-co-gas-24-chai-480-ml-i2096409454.html</v>
      </c>
      <c r="C7735" s="10" t="s">
        <v>7735</v>
      </c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>
      <c r="A7736" s="8">
        <v>12590.0</v>
      </c>
      <c r="B7736" s="9" t="str">
        <f>HYPERLINK("https://www.lazada.vn/products/mut-xac-trai-cay-berrino-filling-du-vi-hop-950g-i2697371482.html", "https://www.lazada.vn/products/mut-xac-trai-cay-berrino-filling-du-vi-hop-950g-i2697371482.html")</f>
        <v>https://www.lazada.vn/products/mut-xac-trai-cay-berrino-filling-du-vi-hop-950g-i2697371482.html</v>
      </c>
      <c r="C7736" s="10" t="s">
        <v>7736</v>
      </c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>
      <c r="A7737" s="8">
        <v>12591.0</v>
      </c>
      <c r="B7737" s="9" t="str">
        <f>HYPERLINK("https://www.lazada.vn/products/keo-hat-sen-dau-xanh-binh-dinh-1kg-dac-san-binh-dinh-i1786141783.html", "https://www.lazada.vn/products/keo-hat-sen-dau-xanh-binh-dinh-1kg-dac-san-binh-dinh-i1786141783.html")</f>
        <v>https://www.lazada.vn/products/keo-hat-sen-dau-xanh-binh-dinh-1kg-dac-san-binh-dinh-i1786141783.html</v>
      </c>
      <c r="C7737" s="10" t="s">
        <v>7737</v>
      </c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>
      <c r="A7738" s="8">
        <v>12592.0</v>
      </c>
      <c r="B7738" s="9" t="str">
        <f>HYPERLINK("https://www.lazada.vn/products/combo-6-goi-mi-omachi-xot-bo-ham-81gr-6-goi-mi-bo-ham-xot-vang-92gr-6-goi-mi-omachi-tom-cang-80gr-i2761449933.html", "https://www.lazada.vn/products/combo-6-goi-mi-omachi-xot-bo-ham-81gr-6-goi-mi-bo-ham-xot-vang-92gr-6-goi-mi-omachi-tom-cang-80gr-i2761449933.html")</f>
        <v>https://www.lazada.vn/products/combo-6-goi-mi-omachi-xot-bo-ham-81gr-6-goi-mi-bo-ham-xot-vang-92gr-6-goi-mi-omachi-tom-cang-80gr-i2761449933.html</v>
      </c>
      <c r="C7738" s="10" t="s">
        <v>7738</v>
      </c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>
      <c r="A7739" s="8">
        <v>12593.0</v>
      </c>
      <c r="B7739" s="9" t="str">
        <f>HYPERLINK("https://www.lazada.vn/products/le-1-chai-nuoc-uong-pocari-sweat-500ml-bu-nuoc-den-tu-nhat-ban-i2051553338.html", "https://www.lazada.vn/products/le-1-chai-nuoc-uong-pocari-sweat-500ml-bu-nuoc-den-tu-nhat-ban-i2051553338.html")</f>
        <v>https://www.lazada.vn/products/le-1-chai-nuoc-uong-pocari-sweat-500ml-bu-nuoc-den-tu-nhat-ban-i2051553338.html</v>
      </c>
      <c r="C7739" s="10" t="s">
        <v>7739</v>
      </c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>
      <c r="A7740" s="8">
        <v>12594.0</v>
      </c>
      <c r="B7740" s="9" t="str">
        <f>HYPERLINK("https://www.lazada.vn/products/combo-10-banh-bong-lan-ruoc-gau-phu-cha-bong-dai-loan-beegin-mart-i2592220515.html", "https://www.lazada.vn/products/combo-10-banh-bong-lan-ruoc-gau-phu-cha-bong-dai-loan-beegin-mart-i2592220515.html")</f>
        <v>https://www.lazada.vn/products/combo-10-banh-bong-lan-ruoc-gau-phu-cha-bong-dai-loan-beegin-mart-i2592220515.html</v>
      </c>
      <c r="C7740" s="10" t="s">
        <v>7740</v>
      </c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>
      <c r="A7741" s="8">
        <v>12595.0</v>
      </c>
      <c r="B7741" s="9" t="str">
        <f>HYPERLINK("https://www.lazada.vn/products/keo-cung-nhan-trai-cay-hai-ha-350g-60304-i2667594452.html", "https://www.lazada.vn/products/keo-cung-nhan-trai-cay-hai-ha-350g-60304-i2667594452.html")</f>
        <v>https://www.lazada.vn/products/keo-cung-nhan-trai-cay-hai-ha-350g-60304-i2667594452.html</v>
      </c>
      <c r="C7741" s="10" t="s">
        <v>7741</v>
      </c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>
      <c r="A7742" s="8">
        <v>12596.0</v>
      </c>
      <c r="B7742" s="9" t="str">
        <f>HYPERLINK("https://www.lazada.vn/products/thit-hop-cho-meo-tuna-white-meat-giau-dinh-duong-meowow-i2989906704.html", "https://www.lazada.vn/products/thit-hop-cho-meo-tuna-white-meat-giau-dinh-duong-meowow-i2989906704.html")</f>
        <v>https://www.lazada.vn/products/thit-hop-cho-meo-tuna-white-meat-giau-dinh-duong-meowow-i2989906704.html</v>
      </c>
      <c r="C7742" s="10" t="s">
        <v>7742</v>
      </c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>
      <c r="A7743" s="8">
        <v>12597.0</v>
      </c>
      <c r="B7743" s="9" t="str">
        <f>HYPERLINK("https://www.lazada.vn/products/banh-oc-que-cleopart-bich-sieu-to-i2843531309.html", "https://www.lazada.vn/products/banh-oc-que-cleopart-bich-sieu-to-i2843531309.html")</f>
        <v>https://www.lazada.vn/products/banh-oc-que-cleopart-bich-sieu-to-i2843531309.html</v>
      </c>
      <c r="C7743" s="10" t="s">
        <v>7743</v>
      </c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>
      <c r="A7744" s="8">
        <v>12598.0</v>
      </c>
      <c r="B7744" s="9" t="str">
        <f>HYPERLINK("https://www.lazada.vn/products/chinh-hang-mat-ki-da-chuan-rung-kho-thao-duoc-vung-cao-i2646885522.html", "https://www.lazada.vn/products/chinh-hang-mat-ki-da-chuan-rung-kho-thao-duoc-vung-cao-i2646885522.html")</f>
        <v>https://www.lazada.vn/products/chinh-hang-mat-ki-da-chuan-rung-kho-thao-duoc-vung-cao-i2646885522.html</v>
      </c>
      <c r="C7744" s="10" t="s">
        <v>7744</v>
      </c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>
      <c r="A7745" s="8">
        <v>12599.0</v>
      </c>
      <c r="B7745" s="9" t="str">
        <f>HYPERLINK("https://www.lazada.vn/products/mre-khau-phan-an-quan-doi-canada-1-goi-i2659259917.html", "https://www.lazada.vn/products/mre-khau-phan-an-quan-doi-canada-1-goi-i2659259917.html")</f>
        <v>https://www.lazada.vn/products/mre-khau-phan-an-quan-doi-canada-1-goi-i2659259917.html</v>
      </c>
      <c r="C7745" s="10" t="s">
        <v>7745</v>
      </c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>
      <c r="A7746" s="8">
        <v>12600.0</v>
      </c>
      <c r="B7746" s="9" t="str">
        <f>HYPERLINK("https://www.lazada.vn/products/siro-duong-den-nguyen-lieu-lam-tra-sua-tran-chau-tu-pha-hong-tra-den-luc-tra-lai-thai-xanh-thai-do-chai-le-100ml-nguyen-lieu-pha-che-hucha-i2473122722.html", "https://www.lazada.vn/products/siro-duong-den-nguyen-lieu-lam-tra-sua-tran-chau-tu-pha-hong-tra-den-luc-tra-lai-thai-xanh-thai-do-chai-le-100ml-nguyen-lieu-pha-che-hucha-i2473122722.html")</f>
        <v>https://www.lazada.vn/products/siro-duong-den-nguyen-lieu-lam-tra-sua-tran-chau-tu-pha-hong-tra-den-luc-tra-lai-thai-xanh-thai-do-chai-le-100ml-nguyen-lieu-pha-che-hucha-i2473122722.html</v>
      </c>
      <c r="C7746" s="10" t="s">
        <v>7746</v>
      </c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>
      <c r="A7747" s="8">
        <v>12601.0</v>
      </c>
      <c r="B7747" s="9" t="str">
        <f>HYPERLINK("https://www.lazada.vn/products/bia-kaiserin-gold-lager-45-date-moi-i2847161643.html", "https://www.lazada.vn/products/bia-kaiserin-gold-lager-45-date-moi-i2847161643.html")</f>
        <v>https://www.lazada.vn/products/bia-kaiserin-gold-lager-45-date-moi-i2847161643.html</v>
      </c>
      <c r="C7747" s="10" t="s">
        <v>7747</v>
      </c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>
      <c r="A7748" s="8">
        <v>12602.0</v>
      </c>
      <c r="B7748" s="9" t="str">
        <f>HYPERLINK("https://www.lazada.vn/products/hcmmen-bia-lallemand-wit-11g-i1442815182.html", "https://www.lazada.vn/products/hcmmen-bia-lallemand-wit-11g-i1442815182.html")</f>
        <v>https://www.lazada.vn/products/hcmmen-bia-lallemand-wit-11g-i1442815182.html</v>
      </c>
      <c r="C7748" s="10" t="s">
        <v>7748</v>
      </c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>
      <c r="A7749" s="8">
        <v>12603.0</v>
      </c>
      <c r="B7749" s="9" t="str">
        <f>HYPERLINK("https://www.lazada.vn/products/bia-kaiserin-gold-lager-45-date-moi-i2845475027.html", "https://www.lazada.vn/products/bia-kaiserin-gold-lager-45-date-moi-i2845475027.html")</f>
        <v>https://www.lazada.vn/products/bia-kaiserin-gold-lager-45-date-moi-i2845475027.html</v>
      </c>
      <c r="C7749" s="10" t="s">
        <v>7749</v>
      </c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>
      <c r="A7750" s="8">
        <v>12604.0</v>
      </c>
      <c r="B7750" s="9" t="str">
        <f>HYPERLINK("https://www.lazada.vn/products/keo-socola-bac-ha-andes-132gr-my-2-vi-113kg-i2881942470.html", "https://www.lazada.vn/products/keo-socola-bac-ha-andes-132gr-my-2-vi-113kg-i2881942470.html")</f>
        <v>https://www.lazada.vn/products/keo-socola-bac-ha-andes-132gr-my-2-vi-113kg-i2881942470.html</v>
      </c>
      <c r="C7750" s="10" t="s">
        <v>7750</v>
      </c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>
      <c r="A7751" s="8">
        <v>12605.0</v>
      </c>
      <c r="B7751" s="9" t="str">
        <f>HYPERLINK("https://www.lazada.vn/products/bich-50-goi-ca-phe-trung-nguyen-g7-3in1-i2659320902.html", "https://www.lazada.vn/products/bich-50-goi-ca-phe-trung-nguyen-g7-3in1-i2659320902.html")</f>
        <v>https://www.lazada.vn/products/bich-50-goi-ca-phe-trung-nguyen-g7-3in1-i2659320902.html</v>
      </c>
      <c r="C7751" s="10" t="s">
        <v>7751</v>
      </c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>
      <c r="A7752" s="8">
        <v>12606.0</v>
      </c>
      <c r="B7752" s="9" t="str">
        <f>HYPERLINK("https://www.lazada.vn/products/mi-somen-100g-udon-nui-wakodo-cho-be-an-dam-i2961580787.html", "https://www.lazada.vn/products/mi-somen-100g-udon-nui-wakodo-cho-be-an-dam-i2961580787.html")</f>
        <v>https://www.lazada.vn/products/mi-somen-100g-udon-nui-wakodo-cho-be-an-dam-i2961580787.html</v>
      </c>
      <c r="C7752" s="10" t="s">
        <v>7752</v>
      </c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>
      <c r="A7753" s="8">
        <v>12607.0</v>
      </c>
      <c r="B7753" s="9" t="str">
        <f>HYPERLINK("https://www.lazada.vn/products/bap-rang-bo-lo-vi-song-bong-ngo-frit-ravich-microwave-popcorn-butter-flavour-goi-90g-i2805678860.html", "https://www.lazada.vn/products/bap-rang-bo-lo-vi-song-bong-ngo-frit-ravich-microwave-popcorn-butter-flavour-goi-90g-i2805678860.html")</f>
        <v>https://www.lazada.vn/products/bap-rang-bo-lo-vi-song-bong-ngo-frit-ravich-microwave-popcorn-butter-flavour-goi-90g-i2805678860.html</v>
      </c>
      <c r="C7753" s="10" t="s">
        <v>7753</v>
      </c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>
      <c r="A7754" s="8">
        <v>12608.0</v>
      </c>
      <c r="B7754" s="9" t="str">
        <f>HYPERLINK("https://www.lazada.vn/products/milo-bot-dang-goi-22g-x-day-10-goi-i1317897656.html", "https://www.lazada.vn/products/milo-bot-dang-goi-22g-x-day-10-goi-i1317897656.html")</f>
        <v>https://www.lazada.vn/products/milo-bot-dang-goi-22g-x-day-10-goi-i1317897656.html</v>
      </c>
      <c r="C7754" s="10" t="s">
        <v>7754</v>
      </c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>
      <c r="A7755" s="8">
        <v>12609.0</v>
      </c>
      <c r="B7755" s="9" t="str">
        <f>HYPERLINK("https://www.lazada.vn/products/banh-quy-bo-sua-cosy-marie-goi-144g-i1681297977.html", "https://www.lazada.vn/products/banh-quy-bo-sua-cosy-marie-goi-144g-i1681297977.html")</f>
        <v>https://www.lazada.vn/products/banh-quy-bo-sua-cosy-marie-goi-144g-i1681297977.html</v>
      </c>
      <c r="C7755" s="10" t="s">
        <v>7755</v>
      </c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>
      <c r="A7756" s="8">
        <v>12610.0</v>
      </c>
      <c r="B7756" s="9" t="str">
        <f>HYPERLINK("https://www.lazada.vn/products/loc-tra-tac-mat-ong-tra-daotra-viet-quat-tvt-hang-biba-bibo-450ml-shop_japangood-i2695762164.html", "https://www.lazada.vn/products/loc-tra-tac-mat-ong-tra-daotra-viet-quat-tvt-hang-biba-bibo-450ml-shop_japangood-i2695762164.html")</f>
        <v>https://www.lazada.vn/products/loc-tra-tac-mat-ong-tra-daotra-viet-quat-tvt-hang-biba-bibo-450ml-shop_japangood-i2695762164.html</v>
      </c>
      <c r="C7756" s="10" t="s">
        <v>7756</v>
      </c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>
      <c r="A7757" s="8">
        <v>12611.0</v>
      </c>
      <c r="B7757" s="9" t="str">
        <f>HYPERLINK("https://www.lazada.vn/products/mi-vit-tiem-waiwai-60g-thai-lan-thom-ngon-huong-vi-dam-da-hinohouse-i2761289575.html", "https://www.lazada.vn/products/mi-vit-tiem-waiwai-60g-thai-lan-thom-ngon-huong-vi-dam-da-hinohouse-i2761289575.html")</f>
        <v>https://www.lazada.vn/products/mi-vit-tiem-waiwai-60g-thai-lan-thom-ngon-huong-vi-dam-da-hinohouse-i2761289575.html</v>
      </c>
      <c r="C7757" s="10" t="s">
        <v>7757</v>
      </c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>
      <c r="A7758" s="8">
        <v>12612.0</v>
      </c>
      <c r="B7758" s="9" t="str">
        <f>HYPERLINK("https://www.lazada.vn/products/thung-nuoc-khoang-thach-bich-vi-chanh-co-ga-24-chai-480ml-i2095124848.html", "https://www.lazada.vn/products/thung-nuoc-khoang-thach-bich-vi-chanh-co-ga-24-chai-480ml-i2095124848.html")</f>
        <v>https://www.lazada.vn/products/thung-nuoc-khoang-thach-bich-vi-chanh-co-ga-24-chai-480ml-i2095124848.html</v>
      </c>
      <c r="C7758" s="10" t="s">
        <v>7758</v>
      </c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>
      <c r="A7759" s="8">
        <v>12613.0</v>
      </c>
      <c r="B7759" s="9" t="str">
        <f>HYPERLINK("https://www.lazada.vn/products/hcmcombo-2-chai-xit-longtime-keo-dai-thoi-gian-do-i2046919842.html", "https://www.lazada.vn/products/hcmcombo-2-chai-xit-longtime-keo-dai-thoi-gian-do-i2046919842.html")</f>
        <v>https://www.lazada.vn/products/hcmcombo-2-chai-xit-longtime-keo-dai-thoi-gian-do-i2046919842.html</v>
      </c>
      <c r="C7759" s="10" t="s">
        <v>7759</v>
      </c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>
      <c r="A7760" s="8">
        <v>12614.0</v>
      </c>
      <c r="B7760" s="9" t="str">
        <f>HYPERLINK("https://www.lazada.vn/products/combo-5-banh-bong-lan-ruoc-gau-phu-cha-bong-dai-loan-beegin-mart-i2592141751.html", "https://www.lazada.vn/products/combo-5-banh-bong-lan-ruoc-gau-phu-cha-bong-dai-loan-beegin-mart-i2592141751.html")</f>
        <v>https://www.lazada.vn/products/combo-5-banh-bong-lan-ruoc-gau-phu-cha-bong-dai-loan-beegin-mart-i2592141751.html</v>
      </c>
      <c r="C7760" s="10" t="s">
        <v>7760</v>
      </c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>
      <c r="A7761" s="8">
        <v>12615.0</v>
      </c>
      <c r="B7761" s="9" t="str">
        <f>HYPERLINK("https://www.lazada.vn/products/keo-muti-vitamin-cd-pororo-vi-dao-60g-53041-i2667206310.html", "https://www.lazada.vn/products/keo-muti-vitamin-cd-pororo-vi-dao-60g-53041-i2667206310.html")</f>
        <v>https://www.lazada.vn/products/keo-muti-vitamin-cd-pororo-vi-dao-60g-53041-i2667206310.html</v>
      </c>
      <c r="C7761" s="10" t="s">
        <v>7761</v>
      </c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>
      <c r="A7762" s="8">
        <v>12616.0</v>
      </c>
      <c r="B7762" s="9" t="str">
        <f>HYPERLINK("https://www.lazada.vn/products/ca-chim-tuoi-cap-dong-khay-1kg-hut-chan-khong-giao-hcm-i2989505516.html", "https://www.lazada.vn/products/ca-chim-tuoi-cap-dong-khay-1kg-hut-chan-khong-giao-hcm-i2989505516.html")</f>
        <v>https://www.lazada.vn/products/ca-chim-tuoi-cap-dong-khay-1kg-hut-chan-khong-giao-hcm-i2989505516.html</v>
      </c>
      <c r="C7762" s="10" t="s">
        <v>7762</v>
      </c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>
      <c r="A7763" s="8">
        <v>12617.0</v>
      </c>
      <c r="B7763" s="9" t="str">
        <f>HYPERLINK("https://www.lazada.vn/products/hang-my-banh-quy-ritz-bits-pho-mai-1-tui-i2843129416.html", "https://www.lazada.vn/products/hang-my-banh-quy-ritz-bits-pho-mai-1-tui-i2843129416.html")</f>
        <v>https://www.lazada.vn/products/hang-my-banh-quy-ritz-bits-pho-mai-1-tui-i2843129416.html</v>
      </c>
      <c r="C7763" s="10" t="s">
        <v>7763</v>
      </c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>
      <c r="A7764" s="8">
        <v>12618.0</v>
      </c>
      <c r="B7764" s="9" t="str">
        <f>HYPERLINK("https://www.lazada.vn/products/combo-cao-gam-nguyen-chat-cao-gam-den-gam-do-thao-duoc-shop-i2646876569.html", "https://www.lazada.vn/products/combo-cao-gam-nguyen-chat-cao-gam-den-gam-do-thao-duoc-shop-i2646876569.html")</f>
        <v>https://www.lazada.vn/products/combo-cao-gam-nguyen-chat-cao-gam-den-gam-do-thao-duoc-shop-i2646876569.html</v>
      </c>
      <c r="C7764" s="10" t="s">
        <v>7764</v>
      </c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>
      <c r="A7765" s="8">
        <v>12619.0</v>
      </c>
      <c r="B7765" s="9" t="str">
        <f>HYPERLINK("https://www.lazada.vn/products/banh-snack-pho-mai-khong-cay-hieu-cheetos-crunchy-goi-226g-i2659104353.html", "https://www.lazada.vn/products/banh-snack-pho-mai-khong-cay-hieu-cheetos-crunchy-goi-226g-i2659104353.html")</f>
        <v>https://www.lazada.vn/products/banh-snack-pho-mai-khong-cay-hieu-cheetos-crunchy-goi-226g-i2659104353.html</v>
      </c>
      <c r="C7765" s="10" t="s">
        <v>7765</v>
      </c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>
      <c r="A7766" s="8">
        <v>12620.0</v>
      </c>
      <c r="B7766" s="9" t="str">
        <f>HYPERLINK("https://www.lazada.vn/products/ruou-mao-dai-cao-cap-38-tuoi-500ml-i2469721459.html", "https://www.lazada.vn/products/ruou-mao-dai-cao-cap-38-tuoi-500ml-i2469721459.html")</f>
        <v>https://www.lazada.vn/products/ruou-mao-dai-cao-cap-38-tuoi-500ml-i2469721459.html</v>
      </c>
      <c r="C7766" s="10" t="s">
        <v>7766</v>
      </c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>
      <c r="A7767" s="8">
        <v>12621.0</v>
      </c>
      <c r="B7767" s="9" t="str">
        <f>HYPERLINK("https://www.lazada.vn/products/set-bap-rang-bo-mitom-popcorn-3-trong-1-tien-loi-nguyen-lieu-bap-rang-bo-nhap-khau-thuong-hang-chuan-rap-phim-i2720809073.html", "https://www.lazada.vn/products/set-bap-rang-bo-mitom-popcorn-3-trong-1-tien-loi-nguyen-lieu-bap-rang-bo-nhap-khau-thuong-hang-chuan-rap-phim-i2720809073.html")</f>
        <v>https://www.lazada.vn/products/set-bap-rang-bo-mitom-popcorn-3-trong-1-tien-loi-nguyen-lieu-bap-rang-bo-nhap-khau-thuong-hang-chuan-rap-phim-i2720809073.html</v>
      </c>
      <c r="C7767" s="10" t="s">
        <v>7767</v>
      </c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>
      <c r="A7768" s="8">
        <v>12622.0</v>
      </c>
      <c r="B7768" s="9" t="str">
        <f>HYPERLINK("https://www.lazada.vn/products/hcmdate-moi-sua-bot-milo-hop-nhua-400g-hang-chinh-hang-date-moi-i1313654411.html", "https://www.lazada.vn/products/hcmdate-moi-sua-bot-milo-hop-nhua-400g-hang-chinh-hang-date-moi-i1313654411.html")</f>
        <v>https://www.lazada.vn/products/hcmdate-moi-sua-bot-milo-hop-nhua-400g-hang-chinh-hang-date-moi-i1313654411.html</v>
      </c>
      <c r="C7768" s="10" t="s">
        <v>7768</v>
      </c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>
      <c r="A7769" s="8">
        <v>12623.0</v>
      </c>
      <c r="B7769" s="9" t="str">
        <f>HYPERLINK("https://www.lazada.vn/products/banh-ngu-coc-yen-mach-han-quoc-i1665961303.html", "https://www.lazada.vn/products/banh-ngu-coc-yen-mach-han-quoc-i1665961303.html")</f>
        <v>https://www.lazada.vn/products/banh-ngu-coc-yen-mach-han-quoc-i1665961303.html</v>
      </c>
      <c r="C7769" s="10" t="s">
        <v>7769</v>
      </c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>
      <c r="A7770" s="8">
        <v>12624.0</v>
      </c>
      <c r="B7770" s="9" t="str">
        <f>HYPERLINK("https://www.lazada.vn/products/thung-30goi-hu-tieu-nhip-song-chay-rau-nam-dam-da-thom-ngon-dung-chuan-vi-chay-rau-nam-cho-soi-hu-tieu-day-ngon-doc-dao-den-tung-soi-han-su-dung-luon-moi-i2757696829.html", "https://www.lazada.vn/products/thung-30goi-hu-tieu-nhip-song-chay-rau-nam-dam-da-thom-ngon-dung-chuan-vi-chay-rau-nam-cho-soi-hu-tieu-day-ngon-doc-dao-den-tung-soi-han-su-dung-luon-moi-i2757696829.html")</f>
        <v>https://www.lazada.vn/products/thung-30goi-hu-tieu-nhip-song-chay-rau-nam-dam-da-thom-ngon-dung-chuan-vi-chay-rau-nam-cho-soi-hu-tieu-day-ngon-doc-dao-den-tung-soi-han-su-dung-luon-moi-i2757696829.html</v>
      </c>
      <c r="C7770" s="10" t="s">
        <v>7770</v>
      </c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>
      <c r="A7771" s="8">
        <v>12625.0</v>
      </c>
      <c r="B7771" s="9" t="str">
        <f>HYPERLINK("https://www.lazada.vn/products/1-loc-6-lon-nuoc-ngot-sa-xi-chuong-duong-lon-330-ml-i2091298706.html", "https://www.lazada.vn/products/1-loc-6-lon-nuoc-ngot-sa-xi-chuong-duong-lon-330-ml-i2091298706.html")</f>
        <v>https://www.lazada.vn/products/1-loc-6-lon-nuoc-ngot-sa-xi-chuong-duong-lon-330-ml-i2091298706.html</v>
      </c>
      <c r="C7771" s="10" t="s">
        <v>7771</v>
      </c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>
      <c r="A7772" s="8">
        <v>12626.0</v>
      </c>
      <c r="B7772" s="9" t="str">
        <f>HYPERLINK("https://www.lazada.vn/products/nuoc-tang-luc-rong-do-vi-dao-yuzu-chai-330ml-i2046861096.html", "https://www.lazada.vn/products/nuoc-tang-luc-rong-do-vi-dao-yuzu-chai-330ml-i2046861096.html")</f>
        <v>https://www.lazada.vn/products/nuoc-tang-luc-rong-do-vi-dao-yuzu-chai-330ml-i2046861096.html</v>
      </c>
      <c r="C7772" s="10" t="s">
        <v>7772</v>
      </c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>
      <c r="A7773" s="8">
        <v>12627.0</v>
      </c>
      <c r="B7773" s="9" t="str">
        <f>HYPERLINK("https://www.lazada.vn/products/bia-kaiserin-gold-lager-i2845367499.html", "https://www.lazada.vn/products/bia-kaiserin-gold-lager-i2845367499.html")</f>
        <v>https://www.lazada.vn/products/bia-kaiserin-gold-lager-i2845367499.html</v>
      </c>
      <c r="C7773" s="10" t="s">
        <v>7773</v>
      </c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>
      <c r="A7774" s="8">
        <v>12628.0</v>
      </c>
      <c r="B7774" s="9" t="str">
        <f>HYPERLINK("https://www.lazada.vn/products/goi-500g-ca-phe-rang-moc-d73-duc-anh-coffee-100-nguyen-chat-tuy-chon-pha-phin-pha-may-thanh-phan-70-robusta-30-arabica-dam-vi-manh-ket-hop-thom-nhieu-tu-arabica-cafe-duc-anh-ca-phe-duc-anh-cafe-dac-san-i2659264983.html", "https://www.lazada.vn/products/goi-500g-ca-phe-rang-moc-d73-duc-anh-coffee-100-nguyen-chat-tuy-chon-pha-phin-pha-may-thanh-phan-70-robusta-30-arabica-dam-vi-manh-ket-hop-thom-nhieu-tu-arabica-cafe-duc-anh-ca-phe-duc-anh-cafe-dac-san-i2659264983.html")</f>
        <v>https://www.lazada.vn/products/goi-500g-ca-phe-rang-moc-d73-duc-anh-coffee-100-nguyen-chat-tuy-chon-pha-phin-pha-may-thanh-phan-70-robusta-30-arabica-dam-vi-manh-ket-hop-thom-nhieu-tu-arabica-cafe-duc-anh-ca-phe-duc-anh-cafe-dac-san-i2659264983.html</v>
      </c>
      <c r="C7774" s="10" t="s">
        <v>7774</v>
      </c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>
      <c r="A7775" s="8">
        <v>12629.0</v>
      </c>
      <c r="B7775" s="9" t="str">
        <f>HYPERLINK("https://www.lazada.vn/products/combo-10-banh-bong-lan-ruoc-gau-phu-cha-bong-dai-loan-beegin-food-store-i2591691081.html", "https://www.lazada.vn/products/combo-10-banh-bong-lan-ruoc-gau-phu-cha-bong-dai-loan-beegin-food-store-i2591691081.html")</f>
        <v>https://www.lazada.vn/products/combo-10-banh-bong-lan-ruoc-gau-phu-cha-bong-dai-loan-beegin-food-store-i2591691081.html</v>
      </c>
      <c r="C7775" s="10" t="s">
        <v>7775</v>
      </c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>
      <c r="A7776" s="8">
        <v>12630.0</v>
      </c>
      <c r="B7776" s="9" t="str">
        <f>HYPERLINK("https://www.lazada.vn/products/bia-leffe-blond-leffe-vang-thung-24-chai-330ml-chi-giao-hoa-toc-i1437080857.html", "https://www.lazada.vn/products/bia-leffe-blond-leffe-vang-thung-24-chai-330ml-chi-giao-hoa-toc-i1437080857.html")</f>
        <v>https://www.lazada.vn/products/bia-leffe-blond-leffe-vang-thung-24-chai-330ml-chi-giao-hoa-toc-i1437080857.html</v>
      </c>
      <c r="C7776" s="10" t="s">
        <v>7776</v>
      </c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>
      <c r="A7777" s="8">
        <v>12631.0</v>
      </c>
      <c r="B7777" s="9" t="str">
        <f>HYPERLINK("https://www.lazada.vn/products/date-925-socola-nhieu-mau-mm-hop-1757kg-my-i2881896836.html", "https://www.lazada.vn/products/date-925-socola-nhieu-mau-mm-hop-1757kg-my-i2881896836.html")</f>
        <v>https://www.lazada.vn/products/date-925-socola-nhieu-mau-mm-hop-1757kg-my-i2881896836.html</v>
      </c>
      <c r="C7777" s="10" t="s">
        <v>7777</v>
      </c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>
      <c r="A7778" s="8">
        <v>12632.0</v>
      </c>
      <c r="B7778" s="9" t="str">
        <f>HYPERLINK("https://www.lazada.vn/products/keo-deo-trai-cay-cube-sugar-coowy-378gr-3-vi-i2666416106.html", "https://www.lazada.vn/products/keo-deo-trai-cay-cube-sugar-coowy-378gr-3-vi-i2666416106.html")</f>
        <v>https://www.lazada.vn/products/keo-deo-trai-cay-cube-sugar-coowy-378gr-3-vi-i2666416106.html</v>
      </c>
      <c r="C7778" s="10" t="s">
        <v>7778</v>
      </c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>
      <c r="A7779" s="8">
        <v>12633.0</v>
      </c>
      <c r="B7779" s="9" t="str">
        <f>HYPERLINK("https://www.lazada.vn/products/ca-loc-dong-uop-xa-ot-nha-lam-1kg-2-vi-giao-tphcm-i2989416570.html", "https://www.lazada.vn/products/ca-loc-dong-uop-xa-ot-nha-lam-1kg-2-vi-giao-tphcm-i2989416570.html")</f>
        <v>https://www.lazada.vn/products/ca-loc-dong-uop-xa-ot-nha-lam-1kg-2-vi-giao-tphcm-i2989416570.html</v>
      </c>
      <c r="C7779" s="10" t="s">
        <v>7779</v>
      </c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>
      <c r="A7780" s="8">
        <v>12634.0</v>
      </c>
      <c r="B7780" s="9" t="str">
        <f>HYPERLINK("https://www.lazada.vn/products/banh-quy-franzzi-socola-kep-kem-5-vi-115g-b114-an-vat-beegin-i2842510086.html", "https://www.lazada.vn/products/banh-quy-franzzi-socola-kep-kem-5-vi-115g-b114-an-vat-beegin-i2842510086.html")</f>
        <v>https://www.lazada.vn/products/banh-quy-franzzi-socola-kep-kem-5-vi-115g-b114-an-vat-beegin-i2842510086.html</v>
      </c>
      <c r="C7780" s="10" t="s">
        <v>7780</v>
      </c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>
      <c r="A7781" s="8">
        <v>12635.0</v>
      </c>
      <c r="B7781" s="9" t="str">
        <f>HYPERLINK("https://www.lazada.vn/products/banh-che-lam-dac-san-que-bac-banh-keo-thanh-huy-thom-ngon-che-lam-nha-lam-ngon-me-ly-i2842052266.html", "https://www.lazada.vn/products/banh-che-lam-dac-san-que-bac-banh-keo-thanh-huy-thom-ngon-che-lam-nha-lam-ngon-me-ly-i2842052266.html")</f>
        <v>https://www.lazada.vn/products/banh-che-lam-dac-san-que-bac-banh-keo-thanh-huy-thom-ngon-che-lam-nha-lam-ngon-me-ly-i2842052266.html</v>
      </c>
      <c r="C7781" s="10" t="s">
        <v>7781</v>
      </c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>
      <c r="A7782" s="8">
        <v>12636.0</v>
      </c>
      <c r="B7782" s="9" t="str">
        <f>HYPERLINK("https://www.lazada.vn/products/nuoc-ep-le-huu-co-bioitalia-750ml-i2695745002.html", "https://www.lazada.vn/products/nuoc-ep-le-huu-co-bioitalia-750ml-i2695745002.html")</f>
        <v>https://www.lazada.vn/products/nuoc-ep-le-huu-co-bioitalia-750ml-i2695745002.html</v>
      </c>
      <c r="C7782" s="10" t="s">
        <v>7782</v>
      </c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>
      <c r="A7783" s="8">
        <v>12637.0</v>
      </c>
      <c r="B7783" s="9" t="str">
        <f>HYPERLINK("https://www.lazada.vn/products/chanh-dao-mat-ong-han-quoc-lo-1kg-i2646825408.html", "https://www.lazada.vn/products/chanh-dao-mat-ong-han-quoc-lo-1kg-i2646825408.html")</f>
        <v>https://www.lazada.vn/products/chanh-dao-mat-ong-han-quoc-lo-1kg-i2646825408.html</v>
      </c>
      <c r="C7783" s="10" t="s">
        <v>7783</v>
      </c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>
      <c r="A7784" s="8">
        <v>12638.0</v>
      </c>
      <c r="B7784" s="9" t="str">
        <f>HYPERLINK("https://www.lazada.vn/products/snack-khoai-lang-calbee-osatsu-i2658879583.html", "https://www.lazada.vn/products/snack-khoai-lang-calbee-osatsu-i2658879583.html")</f>
        <v>https://www.lazada.vn/products/snack-khoai-lang-calbee-osatsu-i2658879583.html</v>
      </c>
      <c r="C7784" s="10" t="s">
        <v>7784</v>
      </c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>
      <c r="A7785" s="8">
        <v>12639.0</v>
      </c>
      <c r="B7785" s="9" t="str">
        <f>HYPERLINK("https://www.lazada.vn/products/sot-hersheys-socola-chai-1360g-i2468050542.html", "https://www.lazada.vn/products/sot-hersheys-socola-chai-1360g-i2468050542.html")</f>
        <v>https://www.lazada.vn/products/sot-hersheys-socola-chai-1360g-i2468050542.html</v>
      </c>
      <c r="C7785" s="10" t="s">
        <v>7785</v>
      </c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>
      <c r="A7786" s="8">
        <v>12640.0</v>
      </c>
      <c r="B7786" s="9" t="str">
        <f>HYPERLINK("https://www.lazada.vn/products/bia-saigon-lager-date-102025-tet-i2844379000.html", "https://www.lazada.vn/products/bia-saigon-lager-date-102025-tet-i2844379000.html")</f>
        <v>https://www.lazada.vn/products/bia-saigon-lager-date-102025-tet-i2844379000.html</v>
      </c>
      <c r="C7786" s="10" t="s">
        <v>7786</v>
      </c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>
      <c r="A7787" s="8">
        <v>12641.0</v>
      </c>
      <c r="B7787" s="9" t="str">
        <f>HYPERLINK("https://www.lazada.vn/products/noi-dia-thai-bich-10-goi-ca-phe-giam-can-hoa-tan-max-curve-coffee-cafe-giam-can-dot-mo-thua-hieu-qua-i2659189353.html", "https://www.lazada.vn/products/noi-dia-thai-bich-10-goi-ca-phe-giam-can-hoa-tan-max-curve-coffee-cafe-giam-can-dot-mo-thua-hieu-qua-i2659189353.html")</f>
        <v>https://www.lazada.vn/products/noi-dia-thai-bich-10-goi-ca-phe-giam-can-hoa-tan-max-curve-coffee-cafe-giam-can-dot-mo-thua-hieu-qua-i2659189353.html</v>
      </c>
      <c r="C7787" s="10" t="s">
        <v>7787</v>
      </c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>
      <c r="A7788" s="8">
        <v>12642.0</v>
      </c>
      <c r="B7788" s="9" t="str">
        <f>HYPERLINK("https://www.lazada.vn/products/thung-bia-sai-gon-lager-24lon-i1408925053.html", "https://www.lazada.vn/products/thung-bia-sai-gon-lager-24lon-i1408925053.html")</f>
        <v>https://www.lazada.vn/products/thung-bia-sai-gon-lager-24lon-i1408925053.html</v>
      </c>
      <c r="C7788" s="10" t="s">
        <v>7788</v>
      </c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>
      <c r="A7789" s="8">
        <v>12643.0</v>
      </c>
      <c r="B7789" s="9" t="str">
        <f>HYPERLINK("https://www.lazada.vn/products/keo-socola-hanh-nhan-krokant-goi-500g-hop-250g-i2881605258.html", "https://www.lazada.vn/products/keo-socola-hanh-nhan-krokant-goi-500g-hop-250g-i2881605258.html")</f>
        <v>https://www.lazada.vn/products/keo-socola-hanh-nhan-krokant-goi-500g-hop-250g-i2881605258.html</v>
      </c>
      <c r="C7789" s="10" t="s">
        <v>7789</v>
      </c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>
      <c r="A7790" s="8">
        <v>12644.0</v>
      </c>
      <c r="B7790" s="9" t="str">
        <f>HYPERLINK("https://www.lazada.vn/products/bap-xot-dau-tuoi-hop-50g-i2690672287.html", "https://www.lazada.vn/products/bap-xot-dau-tuoi-hop-50g-i2690672287.html")</f>
        <v>https://www.lazada.vn/products/bap-xot-dau-tuoi-hop-50g-i2690672287.html</v>
      </c>
      <c r="C7790" s="10" t="s">
        <v>7790</v>
      </c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>
      <c r="A7791" s="8">
        <v>12645.0</v>
      </c>
      <c r="B7791" s="9" t="str">
        <f>HYPERLINK("https://www.lazada.vn/products/bot-coffee-mate-original-nestle-hop-15kg-i1313576645.html", "https://www.lazada.vn/products/bot-coffee-mate-original-nestle-hop-15kg-i1313576645.html")</f>
        <v>https://www.lazada.vn/products/bot-coffee-mate-original-nestle-hop-15kg-i1313576645.html</v>
      </c>
      <c r="C7791" s="10" t="s">
        <v>7791</v>
      </c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>
      <c r="A7792" s="8">
        <v>12646.0</v>
      </c>
      <c r="B7792" s="9" t="str">
        <f>HYPERLINK("https://www.lazada.vn/products/combo-6-cai-banh-bong-lan-kem-phu-socola-solite-i1574694003.html", "https://www.lazada.vn/products/combo-6-cai-banh-bong-lan-kem-phu-socola-solite-i1574694003.html")</f>
        <v>https://www.lazada.vn/products/combo-6-cai-banh-bong-lan-kem-phu-socola-solite-i1574694003.html</v>
      </c>
      <c r="C7792" s="10" t="s">
        <v>7792</v>
      </c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>
      <c r="A7793" s="8">
        <v>12647.0</v>
      </c>
      <c r="B7793" s="9" t="str">
        <f>HYPERLINK("https://www.lazada.vn/products/nuoc-tang-luc-rong-do-vi-nho-chai-330ml-i2046756869.html", "https://www.lazada.vn/products/nuoc-tang-luc-rong-do-vi-nho-chai-330ml-i2046756869.html")</f>
        <v>https://www.lazada.vn/products/nuoc-tang-luc-rong-do-vi-nho-chai-330ml-i2046756869.html</v>
      </c>
      <c r="C7793" s="10" t="s">
        <v>7793</v>
      </c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>
      <c r="A7794" s="8">
        <v>12648.0</v>
      </c>
      <c r="B7794" s="9" t="str">
        <f>HYPERLINK("https://www.lazada.vn/products/combo-10goi-mi-sieu-cay-hai-san-dam-da-thom-ngon-doc-dao-den-tung-soi-tu-nuoc-sup-thit-tom-hai-san-cho-ra-to-mi-tron-hoac-mi-nuoc-ngon-tuyet-hao-han-su-dung-luon-moi-i2755722254.html", "https://www.lazada.vn/products/combo-10goi-mi-sieu-cay-hai-san-dam-da-thom-ngon-doc-dao-den-tung-soi-tu-nuoc-sup-thit-tom-hai-san-cho-ra-to-mi-tron-hoac-mi-nuoc-ngon-tuyet-hao-han-su-dung-luon-moi-i2755722254.html")</f>
        <v>https://www.lazada.vn/products/combo-10goi-mi-sieu-cay-hai-san-dam-da-thom-ngon-doc-dao-den-tung-soi-tu-nuoc-sup-thit-tom-hai-san-cho-ra-to-mi-tron-hoac-mi-nuoc-ngon-tuyet-hao-han-su-dung-luon-moi-i2755722254.html</v>
      </c>
      <c r="C7794" s="10" t="s">
        <v>7794</v>
      </c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>
      <c r="A7795" s="8">
        <v>12649.0</v>
      </c>
      <c r="B7795" s="9" t="str">
        <f>HYPERLINK("https://www.lazada.vn/products/thung-12-chai-nuoc-ngot-giai-khat-co-gas-mirinda-vi-soda-kem-15l-i2086920560.html", "https://www.lazada.vn/products/thung-12-chai-nuoc-ngot-giai-khat-co-gas-mirinda-vi-soda-kem-15l-i2086920560.html")</f>
        <v>https://www.lazada.vn/products/thung-12-chai-nuoc-ngot-giai-khat-co-gas-mirinda-vi-soda-kem-15l-i2086920560.html</v>
      </c>
      <c r="C7795" s="10" t="s">
        <v>7795</v>
      </c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>
      <c r="A7796" s="8">
        <v>12650.0</v>
      </c>
      <c r="B7796" s="9" t="str">
        <f>HYPERLINK("https://www.lazada.vn/products/combo-5-banh-bong-lan-ruoc-gau-phu-cha-bong-dai-loan-beegin-food-shop-i2591645027.html", "https://www.lazada.vn/products/combo-5-banh-bong-lan-ruoc-gau-phu-cha-bong-dai-loan-beegin-food-shop-i2591645027.html")</f>
        <v>https://www.lazada.vn/products/combo-5-banh-bong-lan-ruoc-gau-phu-cha-bong-dai-loan-beegin-food-shop-i2591645027.html</v>
      </c>
      <c r="C7796" s="10" t="s">
        <v>7796</v>
      </c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>
      <c r="A7797" s="8">
        <v>12651.0</v>
      </c>
      <c r="B7797" s="9" t="str">
        <f>HYPERLINK("https://www.lazada.vn/products/500g-keo-deo-chip-chip-bao-ngon-i2666162679.html", "https://www.lazada.vn/products/500g-keo-deo-chip-chip-bao-ngon-i2666162679.html")</f>
        <v>https://www.lazada.vn/products/500g-keo-deo-chip-chip-bao-ngon-i2666162679.html</v>
      </c>
      <c r="C7797" s="10" t="s">
        <v>7797</v>
      </c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>
      <c r="A7798" s="8">
        <v>12652.0</v>
      </c>
      <c r="B7798" s="9" t="str">
        <f>HYPERLINK("https://www.lazada.vn/products/banh-gao-nuong-an-orion-vi-tao-bien-1113g-i2841658109.html", "https://www.lazada.vn/products/banh-gao-nuong-an-orion-vi-tao-bien-1113g-i2841658109.html")</f>
        <v>https://www.lazada.vn/products/banh-gao-nuong-an-orion-vi-tao-bien-1113g-i2841658109.html</v>
      </c>
      <c r="C7798" s="10" t="s">
        <v>7798</v>
      </c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>
      <c r="A7799" s="8">
        <v>12653.0</v>
      </c>
      <c r="B7799" s="9" t="str">
        <f>HYPERLINK("https://www.lazada.vn/products/qua-tang-nuoc-uong-jele-cac-loai-i2695495900.html", "https://www.lazada.vn/products/qua-tang-nuoc-uong-jele-cac-loai-i2695495900.html")</f>
        <v>https://www.lazada.vn/products/qua-tang-nuoc-uong-jele-cac-loai-i2695495900.html</v>
      </c>
      <c r="C7799" s="10" t="s">
        <v>7799</v>
      </c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>
      <c r="A7800" s="8">
        <v>12654.0</v>
      </c>
      <c r="B7800" s="9" t="str">
        <f>HYPERLINK("https://www.lazada.vn/products/thach-dua-rim-thom-duong-phen-hu-1kg-i2646660011.html", "https://www.lazada.vn/products/thach-dua-rim-thom-duong-phen-hu-1kg-i2646660011.html")</f>
        <v>https://www.lazada.vn/products/thach-dua-rim-thom-duong-phen-hu-1kg-i2646660011.html</v>
      </c>
      <c r="C7800" s="10" t="s">
        <v>7800</v>
      </c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>
      <c r="A7801" s="8">
        <v>12655.0</v>
      </c>
      <c r="B7801" s="9" t="str">
        <f>HYPERLINK("https://www.lazada.vn/products/thung-24lon-bia-333-i1388621637.html", "https://www.lazada.vn/products/thung-24lon-bia-333-i1388621637.html")</f>
        <v>https://www.lazada.vn/products/thung-24lon-bia-333-i1388621637.html</v>
      </c>
      <c r="C7801" s="10" t="s">
        <v>7801</v>
      </c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>
      <c r="A7802" s="8">
        <v>12656.0</v>
      </c>
      <c r="B7802" s="9" t="str">
        <f>HYPERLINK("https://www.lazada.vn/products/thung-ca-phe-sua-da-highlands-coffee-24-lon-x-185ml-235ml-i2658932919.html", "https://www.lazada.vn/products/thung-ca-phe-sua-da-highlands-coffee-24-lon-x-185ml-235ml-i2658932919.html")</f>
        <v>https://www.lazada.vn/products/thung-ca-phe-sua-da-highlands-coffee-24-lon-x-185ml-235ml-i2658932919.html</v>
      </c>
      <c r="C7802" s="10" t="s">
        <v>7802</v>
      </c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>
      <c r="A7803" s="8">
        <v>12657.0</v>
      </c>
      <c r="B7803" s="9" t="str">
        <f>HYPERLINK("https://www.lazada.vn/products/namkeen-moong-dal-snack-dau-xanh-vang-say-kho-tam-muoi-200gms-i2658634147.html", "https://www.lazada.vn/products/namkeen-moong-dal-snack-dau-xanh-vang-say-kho-tam-muoi-200gms-i2658634147.html")</f>
        <v>https://www.lazada.vn/products/namkeen-moong-dal-snack-dau-xanh-vang-say-kho-tam-muoi-200gms-i2658634147.html</v>
      </c>
      <c r="C7803" s="10" t="s">
        <v>7803</v>
      </c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>
      <c r="A7804" s="8">
        <v>12658.0</v>
      </c>
      <c r="B7804" s="9" t="str">
        <f>HYPERLINK("https://www.lazada.vn/products/socola-kinder-hop-8-thanh-cua-nga-i2881600092.html", "https://www.lazada.vn/products/socola-kinder-hop-8-thanh-cua-nga-i2881600092.html")</f>
        <v>https://www.lazada.vn/products/socola-kinder-hop-8-thanh-cua-nga-i2881600092.html</v>
      </c>
      <c r="C7804" s="10" t="s">
        <v>7804</v>
      </c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>
      <c r="A7805" s="8">
        <v>12659.0</v>
      </c>
      <c r="B7805" s="9" t="str">
        <f>HYPERLINK("https://www.lazada.vn/products/xot-douxian-chai-500g-i2467312493.html", "https://www.lazada.vn/products/xot-douxian-chai-500g-i2467312493.html")</f>
        <v>https://www.lazada.vn/products/xot-douxian-chai-500g-i2467312493.html</v>
      </c>
      <c r="C7805" s="10" t="s">
        <v>7805</v>
      </c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>
      <c r="A7806" s="8">
        <v>12660.0</v>
      </c>
      <c r="B7806" s="9" t="str">
        <f>HYPERLINK("https://www.lazada.vn/products/thung-24-lon-bia-viet-sieu-re-330ml-x-24-lon-i2840462216.html", "https://www.lazada.vn/products/thung-24-lon-bia-viet-sieu-re-330ml-x-24-lon-i2840462216.html")</f>
        <v>https://www.lazada.vn/products/thung-24-lon-bia-viet-sieu-re-330ml-x-24-lon-i2840462216.html</v>
      </c>
      <c r="C7806" s="10" t="s">
        <v>7806</v>
      </c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>
      <c r="A7807" s="8">
        <v>12661.0</v>
      </c>
      <c r="B7807" s="9" t="str">
        <f>HYPERLINK("https://www.lazada.vn/products/bap-xot-socola-hop-50g-i2690658310.html", "https://www.lazada.vn/products/bap-xot-socola-hop-50g-i2690658310.html")</f>
        <v>https://www.lazada.vn/products/bap-xot-socola-hop-50g-i2690658310.html</v>
      </c>
      <c r="C7807" s="10" t="s">
        <v>7807</v>
      </c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>
      <c r="A7808" s="8">
        <v>12662.0</v>
      </c>
      <c r="B7808" s="9" t="str">
        <f>HYPERLINK("https://www.lazada.vn/products/sua-bot-milo-thuc-uong-dinh-duong-nestle-day-10-goi-x-22g-i1312290435.html", "https://www.lazada.vn/products/sua-bot-milo-thuc-uong-dinh-duong-nestle-day-10-goi-x-22g-i1312290435.html")</f>
        <v>https://www.lazada.vn/products/sua-bot-milo-thuc-uong-dinh-duong-nestle-day-10-goi-x-22g-i1312290435.html</v>
      </c>
      <c r="C7808" s="10" t="s">
        <v>7808</v>
      </c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>
      <c r="A7809" s="8">
        <v>12663.0</v>
      </c>
      <c r="B7809" s="9" t="str">
        <f>HYPERLINK("https://www.lazada.vn/products/coca-cola-nhi-160ml-nhat-ban-thung-30-lon-date-xa-i2077540729.html", "https://www.lazada.vn/products/coca-cola-nhi-160ml-nhat-ban-thung-30-lon-date-xa-i2077540729.html")</f>
        <v>https://www.lazada.vn/products/coca-cola-nhi-160ml-nhat-ban-thung-30-lon-date-xa-i2077540729.html</v>
      </c>
      <c r="C7809" s="10" t="s">
        <v>7809</v>
      </c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>
      <c r="A7810" s="8">
        <v>12664.0</v>
      </c>
      <c r="B7810" s="9" t="str">
        <f>HYPERLINK("https://www.lazada.vn/products/xa-hang-bao-recombo-40-cai-banh-yen-mach-han-quoc-oatmeal-richy-i1555346312.html", "https://www.lazada.vn/products/xa-hang-bao-recombo-40-cai-banh-yen-mach-han-quoc-oatmeal-richy-i1555346312.html")</f>
        <v>https://www.lazada.vn/products/xa-hang-bao-recombo-40-cai-banh-yen-mach-han-quoc-oatmeal-richy-i1555346312.html</v>
      </c>
      <c r="C7810" s="10" t="s">
        <v>7810</v>
      </c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>
      <c r="A7811" s="8">
        <v>12665.0</v>
      </c>
      <c r="B7811" s="9" t="str">
        <f>HYPERLINK("https://www.lazada.vn/products/thung-30-goi-mi-hao-100-tom-chua-cay-65g-i2755333518.html", "https://www.lazada.vn/products/thung-30-goi-mi-hao-100-tom-chua-cay-65g-i2755333518.html")</f>
        <v>https://www.lazada.vn/products/thung-30-goi-mi-hao-100-tom-chua-cay-65g-i2755333518.html</v>
      </c>
      <c r="C7811" s="10" t="s">
        <v>7811</v>
      </c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>
      <c r="A7812" s="8">
        <v>12666.0</v>
      </c>
      <c r="B7812" s="9" t="str">
        <f>HYPERLINK("https://www.lazada.vn/products/nuoc-tang-luc-rong-do-vi-dau-chai-330ml-i2046744916.html", "https://www.lazada.vn/products/nuoc-tang-luc-rong-do-vi-dau-chai-330ml-i2046744916.html")</f>
        <v>https://www.lazada.vn/products/nuoc-tang-luc-rong-do-vi-dau-chai-330ml-i2046744916.html</v>
      </c>
      <c r="C7812" s="10" t="s">
        <v>7812</v>
      </c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>
      <c r="A7813" s="8">
        <v>12667.0</v>
      </c>
      <c r="B7813" s="9" t="str">
        <f>HYPERLINK("https://www.lazada.vn/products/combo-10-banh-bong-lan-ruoc-gau-phu-cha-bong-dai-loan-beegin-food-shop-i2591616127.html", "https://www.lazada.vn/products/combo-10-banh-bong-lan-ruoc-gau-phu-cha-bong-dai-loan-beegin-food-shop-i2591616127.html")</f>
        <v>https://www.lazada.vn/products/combo-10-banh-bong-lan-ruoc-gau-phu-cha-bong-dai-loan-beegin-food-shop-i2591616127.html</v>
      </c>
      <c r="C7813" s="10" t="s">
        <v>7813</v>
      </c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>
      <c r="A7814" s="8">
        <v>12668.0</v>
      </c>
      <c r="B7814" s="9" t="str">
        <f>HYPERLINK("https://www.lazada.vn/products/nuoc-le-nuoc-hoa-qua-ep-chai-khong-lo-1000ml-thom-ngon-gia-re-i2695484931.html", "https://www.lazada.vn/products/nuoc-le-nuoc-hoa-qua-ep-chai-khong-lo-1000ml-thom-ngon-gia-re-i2695484931.html")</f>
        <v>https://www.lazada.vn/products/nuoc-le-nuoc-hoa-qua-ep-chai-khong-lo-1000ml-thom-ngon-gia-re-i2695484931.html</v>
      </c>
      <c r="C7814" s="10" t="s">
        <v>7814</v>
      </c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>
      <c r="A7815" s="8">
        <v>12669.0</v>
      </c>
      <c r="B7815" s="9" t="str">
        <f>HYPERLINK("https://www.lazada.vn/products/thach-orihiro-mix-3-vi-trai-cay-goi-24-tui-nho-cap-nhat-phien-ban-tet-2025-i2665881068.html", "https://www.lazada.vn/products/thach-orihiro-mix-3-vi-trai-cay-goi-24-tui-nho-cap-nhat-phien-ban-tet-2025-i2665881068.html")</f>
        <v>https://www.lazada.vn/products/thach-orihiro-mix-3-vi-trai-cay-goi-24-tui-nho-cap-nhat-phien-ban-tet-2025-i2665881068.html</v>
      </c>
      <c r="C7815" s="10" t="s">
        <v>7815</v>
      </c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>
      <c r="A7816" s="8">
        <v>12670.0</v>
      </c>
      <c r="B7816" s="9" t="str">
        <f>HYPERLINK("https://www.lazada.vn/products/thach-dua-rim-thom-duong-phen-hu-1kg-i2646614055.html", "https://www.lazada.vn/products/thach-dua-rim-thom-duong-phen-hu-1kg-i2646614055.html")</f>
        <v>https://www.lazada.vn/products/thach-dua-rim-thom-duong-phen-hu-1kg-i2646614055.html</v>
      </c>
      <c r="C7816" s="10" t="s">
        <v>7816</v>
      </c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>
      <c r="A7817" s="8">
        <v>12671.0</v>
      </c>
      <c r="B7817" s="9" t="str">
        <f>HYPERLINK("https://www.lazada.vn/products/set-2-hop-ca-phe-pho-tang-kem-ly-kim-cuong-800ml-mau-den-ly-kim-cuong-mau-den-i2658542865.html", "https://www.lazada.vn/products/set-2-hop-ca-phe-pho-tang-kem-ly-kim-cuong-800ml-mau-den-ly-kim-cuong-mau-den-i2658542865.html")</f>
        <v>https://www.lazada.vn/products/set-2-hop-ca-phe-pho-tang-kem-ly-kim-cuong-800ml-mau-den-ly-kim-cuong-mau-den-i2658542865.html</v>
      </c>
      <c r="C7817" s="10" t="s">
        <v>7817</v>
      </c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>
      <c r="A7818" s="8">
        <v>12672.0</v>
      </c>
      <c r="B7818" s="9" t="str">
        <f>HYPERLINK("https://www.lazada.vn/products/bia-chimay-xanh-nhap-khau-bi-1-thung-12-chai-330ml-ship-hoa-toc-i1366644686.html", "https://www.lazada.vn/products/bia-chimay-xanh-nhap-khau-bi-1-thung-12-chai-330ml-ship-hoa-toc-i1366644686.html")</f>
        <v>https://www.lazada.vn/products/bia-chimay-xanh-nhap-khau-bi-1-thung-12-chai-330ml-ship-hoa-toc-i1366644686.html</v>
      </c>
      <c r="C7818" s="10" t="s">
        <v>7818</v>
      </c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>
      <c r="A7819" s="8">
        <v>12673.0</v>
      </c>
      <c r="B7819" s="9" t="str">
        <f>HYPERLINK("https://www.lazada.vn/products/combo-12lon-bia-555-bac-330ml-dam-da-thom-ngon-dung-chuan-vi-bia-len-men-tu-nhien-co-nong-do-con-5-uong-lanh-thom-ngon-tuyet-hao-den-tung-giot-i2840261181.html", "https://www.lazada.vn/products/combo-12lon-bia-555-bac-330ml-dam-da-thom-ngon-dung-chuan-vi-bia-len-men-tu-nhien-co-nong-do-con-5-uong-lanh-thom-ngon-tuyet-hao-den-tung-giot-i2840261181.html")</f>
        <v>https://www.lazada.vn/products/combo-12lon-bia-555-bac-330ml-dam-da-thom-ngon-dung-chuan-vi-bia-len-men-tu-nhien-co-nong-do-con-5-uong-lanh-thom-ngon-tuyet-hao-den-tung-giot-i2840261181.html</v>
      </c>
      <c r="C7819" s="10" t="s">
        <v>7819</v>
      </c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>
      <c r="A7820" s="8">
        <v>12674.0</v>
      </c>
      <c r="B7820" s="9" t="str">
        <f>HYPERLINK("https://www.lazada.vn/products/keo-socola-trung-khung-long-500g-viettin-mart-i2881563764.html", "https://www.lazada.vn/products/keo-socola-trung-khung-long-500g-viettin-mart-i2881563764.html")</f>
        <v>https://www.lazada.vn/products/keo-socola-trung-khung-long-500g-viettin-mart-i2881563764.html</v>
      </c>
      <c r="C7820" s="10" t="s">
        <v>7820</v>
      </c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>
      <c r="A7821" s="8">
        <v>12675.0</v>
      </c>
      <c r="B7821" s="9" t="str">
        <f>HYPERLINK("https://www.lazada.vn/products/si-ro-khong-duong-carys-syrup-it-calo-355ml-xuat-xu-my-hsd-122025-i2465617758.html", "https://www.lazada.vn/products/si-ro-khong-duong-carys-syrup-it-calo-355ml-xuat-xu-my-hsd-122025-i2465617758.html")</f>
        <v>https://www.lazada.vn/products/si-ro-khong-duong-carys-syrup-it-calo-355ml-xuat-xu-my-hsd-122025-i2465617758.html</v>
      </c>
      <c r="C7821" s="10" t="s">
        <v>7821</v>
      </c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>
      <c r="A7822" s="8">
        <v>12676.0</v>
      </c>
      <c r="B7822" s="9" t="str">
        <f>HYPERLINK("https://www.lazada.vn/products/bot-cacao-pha-che-deli-1kg-vi-dang-tu-nhien-dam-da-de-hoa-tan-i1308455719.html", "https://www.lazada.vn/products/bot-cacao-pha-che-deli-1kg-vi-dang-tu-nhien-dam-da-de-hoa-tan-i1308455719.html")</f>
        <v>https://www.lazada.vn/products/bot-cacao-pha-che-deli-1kg-vi-dang-tu-nhien-dam-da-de-hoa-tan-i1308455719.html</v>
      </c>
      <c r="C7822" s="10" t="s">
        <v>7822</v>
      </c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>
      <c r="A7823" s="8">
        <v>12677.0</v>
      </c>
      <c r="B7823" s="9" t="str">
        <f>HYPERLINK("https://www.lazada.vn/products/bap-xot-pho-mai-hop-50g-i2690591228.html", "https://www.lazada.vn/products/bap-xot-pho-mai-hop-50g-i2690591228.html")</f>
        <v>https://www.lazada.vn/products/bap-xot-pho-mai-hop-50g-i2690591228.html</v>
      </c>
      <c r="C7823" s="10" t="s">
        <v>7823</v>
      </c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>
      <c r="A7824" s="8">
        <v>12678.0</v>
      </c>
      <c r="B7824" s="9" t="str">
        <f>HYPERLINK("https://www.lazada.vn/products/mi-tron-trung-khanh-mi-gao-tron-mem-ngon-i2749020421.html", "https://www.lazada.vn/products/mi-tron-trung-khanh-mi-gao-tron-mem-ngon-i2749020421.html")</f>
        <v>https://www.lazada.vn/products/mi-tron-trung-khanh-mi-gao-tron-mem-ngon-i2749020421.html</v>
      </c>
      <c r="C7824" s="10" t="s">
        <v>7824</v>
      </c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>
      <c r="A7825" s="8">
        <v>12679.0</v>
      </c>
      <c r="B7825" s="9" t="str">
        <f>HYPERLINK("https://www.lazada.vn/products/thung-30-lon-coca-mini-nhat-160ml-coca-nhi-coca-cola-mini-uong-la-nghien-i2075813289.html", "https://www.lazada.vn/products/thung-30-lon-coca-mini-nhat-160ml-coca-nhi-coca-cola-mini-uong-la-nghien-i2075813289.html")</f>
        <v>https://www.lazada.vn/products/thung-30-lon-coca-mini-nhat-160ml-coca-nhi-coca-cola-mini-uong-la-nghien-i2075813289.html</v>
      </c>
      <c r="C7825" s="10" t="s">
        <v>7825</v>
      </c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>
      <c r="A7826" s="8">
        <v>12680.0</v>
      </c>
      <c r="B7826" s="9" t="str">
        <f>HYPERLINK("https://www.lazada.vn/products/thung-72-cai-banh-karo-tuoi-cha-bong-richy-i1554645182.html", "https://www.lazada.vn/products/thung-72-cai-banh-karo-tuoi-cha-bong-richy-i1554645182.html")</f>
        <v>https://www.lazada.vn/products/thung-72-cai-banh-karo-tuoi-cha-bong-richy-i1554645182.html</v>
      </c>
      <c r="C7826" s="10" t="s">
        <v>7826</v>
      </c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>
      <c r="A7827" s="8">
        <v>12681.0</v>
      </c>
      <c r="B7827" s="9" t="str">
        <f>HYPERLINK("https://www.lazada.vn/products/combo-5-banh-bong-lan-ruoc-gau-phu-cha-bong-b80-an-vat-beegin-i2591607691.html", "https://www.lazada.vn/products/combo-5-banh-bong-lan-ruoc-gau-phu-cha-bong-b80-an-vat-beegin-i2591607691.html")</f>
        <v>https://www.lazada.vn/products/combo-5-banh-bong-lan-ruoc-gau-phu-cha-bong-b80-an-vat-beegin-i2591607691.html</v>
      </c>
      <c r="C7827" s="10" t="s">
        <v>7827</v>
      </c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>
      <c r="A7828" s="8">
        <v>12682.0</v>
      </c>
      <c r="B7828" s="9" t="str">
        <f>HYPERLINK("https://www.lazada.vn/products/nuoc-ep-tipco-thai-lan-nhieu-vi-1l-i2694744905.html", "https://www.lazada.vn/products/nuoc-ep-tipco-thai-lan-nhieu-vi-1l-i2694744905.html")</f>
        <v>https://www.lazada.vn/products/nuoc-ep-tipco-thai-lan-nhieu-vi-1l-i2694744905.html</v>
      </c>
      <c r="C7828" s="10" t="s">
        <v>7828</v>
      </c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>
      <c r="A7829" s="8">
        <v>12683.0</v>
      </c>
      <c r="B7829" s="9" t="str">
        <f>HYPERLINK("https://www.lazada.vn/products/500gram-keo-bac-ha-tuoi-tho-nha-lam-quay-nguoc-tuoi-tho-i2665623455.html", "https://www.lazada.vn/products/500gram-keo-bac-ha-tuoi-tho-nha-lam-quay-nguoc-tuoi-tho-i2665623455.html")</f>
        <v>https://www.lazada.vn/products/500gram-keo-bac-ha-tuoi-tho-nha-lam-quay-nguoc-tuoi-tho-i2665623455.html</v>
      </c>
      <c r="C7829" s="10" t="s">
        <v>7829</v>
      </c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>
      <c r="A7830" s="8">
        <v>12684.0</v>
      </c>
      <c r="B7830" s="9" t="str">
        <f>HYPERLINK("https://www.lazada.vn/products/hop-5-goi-mi-bo-thom-ngon-master-kong-my-trung-quoc-i2747463105.html", "https://www.lazada.vn/products/hop-5-goi-mi-bo-thom-ngon-master-kong-my-trung-quoc-i2747463105.html")</f>
        <v>https://www.lazada.vn/products/hop-5-goi-mi-bo-thom-ngon-master-kong-my-trung-quoc-i2747463105.html</v>
      </c>
      <c r="C7830" s="10" t="s">
        <v>7830</v>
      </c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>
      <c r="A7831" s="8">
        <v>12685.0</v>
      </c>
      <c r="B7831" s="9" t="str">
        <f>HYPERLINK("https://www.lazada.vn/products/binh-khi-co2-40-lit-dung-trong-thuc-pham-i2070774538.html", "https://www.lazada.vn/products/binh-khi-co2-40-lit-dung-trong-thuc-pham-i2070774538.html")</f>
        <v>https://www.lazada.vn/products/binh-khi-co2-40-lit-dung-trong-thuc-pham-i2070774538.html</v>
      </c>
      <c r="C7831" s="10" t="s">
        <v>7831</v>
      </c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>
      <c r="A7832" s="8">
        <v>12686.0</v>
      </c>
      <c r="B7832" s="9" t="str">
        <f>HYPERLINK("https://www.lazada.vn/products/hop-40-goi-bot-ngu-coc-me-den-black-grain-mix-powder-damtuh-i1282003251.html", "https://www.lazada.vn/products/hop-40-goi-bot-ngu-coc-me-den-black-grain-mix-powder-damtuh-i1282003251.html")</f>
        <v>https://www.lazada.vn/products/hop-40-goi-bot-ngu-coc-me-den-black-grain-mix-powder-damtuh-i1282003251.html</v>
      </c>
      <c r="C7832" s="10" t="s">
        <v>7832</v>
      </c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>
      <c r="A7833" s="8">
        <v>12687.0</v>
      </c>
      <c r="B7833" s="9" t="str">
        <f>HYPERLINK("https://www.lazada.vn/products/bap-xot-matcha-hop-50g-i2690588496.html", "https://www.lazada.vn/products/bap-xot-matcha-hop-50g-i2690588496.html")</f>
        <v>https://www.lazada.vn/products/bap-xot-matcha-hop-50g-i2690588496.html</v>
      </c>
      <c r="C7833" s="10" t="s">
        <v>7833</v>
      </c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>
      <c r="A7834" s="8">
        <v>12688.0</v>
      </c>
      <c r="B7834" s="9" t="str">
        <f>HYPERLINK("https://www.lazada.vn/products/banh-quy-cream-o-jackjill-huong-dau-sua-chua-85g-1-ong-i1523787734.html", "https://www.lazada.vn/products/banh-quy-cream-o-jackjill-huong-dau-sua-chua-85g-1-ong-i1523787734.html")</f>
        <v>https://www.lazada.vn/products/banh-quy-cream-o-jackjill-huong-dau-sua-chua-85g-1-ong-i1523787734.html</v>
      </c>
      <c r="C7834" s="10" t="s">
        <v>7834</v>
      </c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>
      <c r="A7835" s="8">
        <v>12689.0</v>
      </c>
      <c r="B7835" s="9" t="str">
        <f>HYPERLINK("https://www.lazada.vn/products/combo-10-banh-mi-teppanyaki-phu-cha-bong-luck-family-b133-beegin-mart-i2589726273.html", "https://www.lazada.vn/products/combo-10-banh-mi-teppanyaki-phu-cha-bong-luck-family-b133-beegin-mart-i2589726273.html")</f>
        <v>https://www.lazada.vn/products/combo-10-banh-mi-teppanyaki-phu-cha-bong-luck-family-b133-beegin-mart-i2589726273.html</v>
      </c>
      <c r="C7835" s="10" t="s">
        <v>7835</v>
      </c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>
      <c r="A7836" s="8">
        <v>12690.0</v>
      </c>
      <c r="B7836" s="9" t="str">
        <f>HYPERLINK("https://www.lazada.vn/products/bot-ca-cao-nguyen-chat-khong-duong-cacaomi-premium-gu-dam-vi-cacao-dung-pha-che-socola-chocolate-nong-tra-sua-ho-tro-giam-can-an-kieng-dac-san-viet-nam-chuan-xuat-khau-470g-i1267782250.html", "https://www.lazada.vn/products/bot-ca-cao-nguyen-chat-khong-duong-cacaomi-premium-gu-dam-vi-cacao-dung-pha-che-socola-chocolate-nong-tra-sua-ho-tro-giam-can-an-kieng-dac-san-viet-nam-chuan-xuat-khau-470g-i1267782250.html")</f>
        <v>https://www.lazada.vn/products/bot-ca-cao-nguyen-chat-khong-duong-cacaomi-premium-gu-dam-vi-cacao-dung-pha-che-socola-chocolate-nong-tra-sua-ho-tro-giam-can-an-kieng-dac-san-viet-nam-chuan-xuat-khau-470g-i1267782250.html</v>
      </c>
      <c r="C7836" s="10" t="s">
        <v>7836</v>
      </c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>
      <c r="A7837" s="8">
        <v>12691.0</v>
      </c>
      <c r="B7837" s="9" t="str">
        <f>HYPERLINK("https://www.lazada.vn/products/bap-lac-trung-muoi-hop-50g-i2690575729.html", "https://www.lazada.vn/products/bap-lac-trung-muoi-hop-50g-i2690575729.html")</f>
        <v>https://www.lazada.vn/products/bap-lac-trung-muoi-hop-50g-i2690575729.html</v>
      </c>
      <c r="C7837" s="10" t="s">
        <v>7837</v>
      </c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>
      <c r="A7838" s="8">
        <v>12692.0</v>
      </c>
      <c r="B7838" s="9" t="str">
        <f>HYPERLINK("https://www.lazada.vn/products/combo-20-cai-banh-quy-gery-pho-mai-loai-200g-i1513604226.html", "https://www.lazada.vn/products/combo-20-cai-banh-quy-gery-pho-mai-loai-200g-i1513604226.html")</f>
        <v>https://www.lazada.vn/products/combo-20-cai-banh-quy-gery-pho-mai-loai-200g-i1513604226.html</v>
      </c>
      <c r="C7838" s="10" t="s">
        <v>7838</v>
      </c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>
      <c r="A7839" s="8">
        <v>12693.0</v>
      </c>
      <c r="B7839" s="9" t="str">
        <f>HYPERLINK("https://www.lazada.vn/products/1-hop-5-goi-mi-bo-bap-cai-muoi-cua-master-kong-i2747243955.html", "https://www.lazada.vn/products/1-hop-5-goi-mi-bo-bap-cai-muoi-cua-master-kong-i2747243955.html")</f>
        <v>https://www.lazada.vn/products/1-hop-5-goi-mi-bo-bap-cai-muoi-cua-master-kong-i2747243955.html</v>
      </c>
      <c r="C7839" s="10" t="s">
        <v>7839</v>
      </c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>
      <c r="A7840" s="8">
        <v>12694.0</v>
      </c>
      <c r="B7840" s="9" t="str">
        <f>HYPERLINK("https://www.lazada.vn/products/bot-ca-cao-nguyen-chat-gu-truyen-thong-cacao-mi-loai-original-thich-hop-lam-qua-bieu-tang-127g-i1267769458.html", "https://www.lazada.vn/products/bot-ca-cao-nguyen-chat-gu-truyen-thong-cacao-mi-loai-original-thich-hop-lam-qua-bieu-tang-127g-i1267769458.html")</f>
        <v>https://www.lazada.vn/products/bot-ca-cao-nguyen-chat-gu-truyen-thong-cacao-mi-loai-original-thich-hop-lam-qua-bieu-tang-127g-i1267769458.html</v>
      </c>
      <c r="C7840" s="10" t="s">
        <v>7840</v>
      </c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>
      <c r="A7841" s="8">
        <v>12695.0</v>
      </c>
      <c r="B7841" s="9" t="str">
        <f>HYPERLINK("https://www.lazada.vn/products/bap-lac-pho-mai-hop-50g-i2690491820.html", "https://www.lazada.vn/products/bap-lac-pho-mai-hop-50g-i2690491820.html")</f>
        <v>https://www.lazada.vn/products/bap-lac-pho-mai-hop-50g-i2690491820.html</v>
      </c>
      <c r="C7841" s="10" t="s">
        <v>7841</v>
      </c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>
      <c r="A7842" s="8">
        <v>12696.0</v>
      </c>
      <c r="B7842" s="9" t="str">
        <f>HYPERLINK("https://www.lazada.vn/products/hop-130gr-banh-cookies-cacao-them-hat-chia-kieu-mach-khong-duong-khong-gluten-orgran-nhap-khau-tu-uc-i867544141.html", "https://www.lazada.vn/products/hop-130gr-banh-cookies-cacao-them-hat-chia-kieu-mach-khong-duong-khong-gluten-orgran-nhap-khau-tu-uc-i867544141.html")</f>
        <v>https://www.lazada.vn/products/hop-130gr-banh-cookies-cacao-them-hat-chia-kieu-mach-khong-duong-khong-gluten-orgran-nhap-khau-tu-uc-i867544141.html</v>
      </c>
      <c r="C7842" s="10" t="s">
        <v>7842</v>
      </c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>
      <c r="A7843" s="8">
        <v>12697.0</v>
      </c>
      <c r="B7843" s="9" t="str">
        <f>HYPERLINK("https://www.lazada.vn/products/combo-20-goi-chan-ga-rut-xuong-i2746037466.html", "https://www.lazada.vn/products/combo-20-goi-chan-ga-rut-xuong-i2746037466.html")</f>
        <v>https://www.lazada.vn/products/combo-20-goi-chan-ga-rut-xuong-i2746037466.html</v>
      </c>
      <c r="C7843" s="10" t="s">
        <v>7843</v>
      </c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>
      <c r="A7844" s="8">
        <v>12698.0</v>
      </c>
      <c r="B7844" s="9" t="str">
        <f>HYPERLINK("https://www.lazada.vn/products/combo-12lon-bia-555-xanh-330ml-dam-da-thom-ngon-dung-chuan-vi-bia-len-men-tu-nhien-co-nong-do-con-5-uong-lanh-thom-ngon-tuyet-hao-han-su-dung-luon-moi-i2840225183.html", "https://www.lazada.vn/products/combo-12lon-bia-555-xanh-330ml-dam-da-thom-ngon-dung-chuan-vi-bia-len-men-tu-nhien-co-nong-do-con-5-uong-lanh-thom-ngon-tuyet-hao-han-su-dung-luon-moi-i2840225183.html")</f>
        <v>https://www.lazada.vn/products/combo-12lon-bia-555-xanh-330ml-dam-da-thom-ngon-dung-chuan-vi-bia-len-men-tu-nhien-co-nong-do-con-5-uong-lanh-thom-ngon-tuyet-hao-han-su-dung-luon-moi-i2840225183.html</v>
      </c>
      <c r="C7844" s="10" t="s">
        <v>7844</v>
      </c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>
      <c r="A7845" s="8">
        <v>12699.0</v>
      </c>
      <c r="B7845" s="9" t="str">
        <f>HYPERLINK("https://www.lazada.vn/products/thach-dua-rim-thom-duong-phen-hu-1kg-i2646567068.html", "https://www.lazada.vn/products/thach-dua-rim-thom-duong-phen-hu-1kg-i2646567068.html")</f>
        <v>https://www.lazada.vn/products/thach-dua-rim-thom-duong-phen-hu-1kg-i2646567068.html</v>
      </c>
      <c r="C7845" s="10" t="s">
        <v>7845</v>
      </c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>
      <c r="A7846" s="8">
        <v>12700.0</v>
      </c>
      <c r="B7846" s="9" t="str">
        <f>HYPERLINK("https://www.lazada.vn/products/nuoc-dua-cocoxim-1l-de-tu-mat-i2693033186.html", "https://www.lazada.vn/products/nuoc-dua-cocoxim-1l-de-tu-mat-i2693033186.html")</f>
        <v>https://www.lazada.vn/products/nuoc-dua-cocoxim-1l-de-tu-mat-i2693033186.html</v>
      </c>
      <c r="C7846" s="10" t="s">
        <v>7846</v>
      </c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>
      <c r="A7847" s="8">
        <v>12701.0</v>
      </c>
      <c r="B7847" s="9" t="str">
        <f>HYPERLINK("https://www.lazada.vn/products/bot-ca-cao-sua-hoa-tan-3in1-cacaomi-thuc-uong-so-co-la-dam-da-vi-cacao-nguyen-chat-chuyen-pha-chocolate-socola-nong-tra-sua-chuan-xuat-khau-utz-500g-i1267764501.html", "https://www.lazada.vn/products/bot-ca-cao-sua-hoa-tan-3in1-cacaomi-thuc-uong-so-co-la-dam-da-vi-cacao-nguyen-chat-chuyen-pha-chocolate-socola-nong-tra-sua-chuan-xuat-khau-utz-500g-i1267764501.html")</f>
        <v>https://www.lazada.vn/products/bot-ca-cao-sua-hoa-tan-3in1-cacaomi-thuc-uong-so-co-la-dam-da-vi-cacao-nguyen-chat-chuyen-pha-chocolate-socola-nong-tra-sua-chuan-xuat-khau-utz-500g-i1267764501.html</v>
      </c>
      <c r="C7847" s="10" t="s">
        <v>7847</v>
      </c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>
      <c r="A7848" s="8">
        <v>12702.0</v>
      </c>
      <c r="B7848" s="9" t="str">
        <f>HYPERLINK("https://www.lazada.vn/products/set-no-bap-rang-bo-mitom-popcorn-3-trong-1-tien-loi-bap-my-nhap-khau-thuong-hang-lam-bap-rang-bo-chuan-rap-phim-i2675470245.html", "https://www.lazada.vn/products/set-no-bap-rang-bo-mitom-popcorn-3-trong-1-tien-loi-bap-my-nhap-khau-thuong-hang-lam-bap-rang-bo-chuan-rap-phim-i2675470245.html")</f>
        <v>https://www.lazada.vn/products/set-no-bap-rang-bo-mitom-popcorn-3-trong-1-tien-loi-bap-my-nhap-khau-thuong-hang-lam-bap-rang-bo-chuan-rap-phim-i2675470245.html</v>
      </c>
      <c r="C7848" s="10" t="s">
        <v>7848</v>
      </c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>
      <c r="A7849" s="8">
        <v>12703.0</v>
      </c>
      <c r="B7849" s="9" t="str">
        <f>HYPERLINK("https://www.lazada.vn/products/cafe-g7-3in-1-sieu-ngon-hop-1821-goi-i2658383870.html", "https://www.lazada.vn/products/cafe-g7-3in-1-sieu-ngon-hop-1821-goi-i2658383870.html")</f>
        <v>https://www.lazada.vn/products/cafe-g7-3in-1-sieu-ngon-hop-1821-goi-i2658383870.html</v>
      </c>
      <c r="C7849" s="10" t="s">
        <v>7849</v>
      </c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>
      <c r="A7850" s="8">
        <v>12704.0</v>
      </c>
      <c r="B7850" s="9" t="str">
        <f>HYPERLINK("https://www.lazada.vn/products/keo-socola-merci-petits-tong-hop-cac-mau-goi-125g-i2881559254.html", "https://www.lazada.vn/products/keo-socola-merci-petits-tong-hop-cac-mau-goi-125g-i2881559254.html")</f>
        <v>https://www.lazada.vn/products/keo-socola-merci-petits-tong-hop-cac-mau-goi-125g-i2881559254.html</v>
      </c>
      <c r="C7850" s="10" t="s">
        <v>7850</v>
      </c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>
      <c r="A7851" s="8">
        <v>12705.0</v>
      </c>
      <c r="B7851" s="9" t="str">
        <f>HYPERLINK("https://www.lazada.vn/products/date-moi-112025banh-quy-phu-socola-lambertz-duc-sang-trong-hop-thiec-750-gram-i567574270.html", "https://www.lazada.vn/products/date-moi-112025banh-quy-phu-socola-lambertz-duc-sang-trong-hop-thiec-750-gram-i567574270.html")</f>
        <v>https://www.lazada.vn/products/date-moi-112025banh-quy-phu-socola-lambertz-duc-sang-trong-hop-thiec-750-gram-i567574270.html</v>
      </c>
      <c r="C7851" s="10" t="s">
        <v>7851</v>
      </c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>
      <c r="A7852" s="8">
        <v>12706.0</v>
      </c>
      <c r="B7852" s="9" t="str">
        <f>HYPERLINK("https://www.lazada.vn/products/thung-24-lon-bia-viet-330ml-i1324396008.html", "https://www.lazada.vn/products/thung-24-lon-bia-viet-330ml-i1324396008.html")</f>
        <v>https://www.lazada.vn/products/thung-24-lon-bia-viet-330ml-i1324396008.html</v>
      </c>
      <c r="C7852" s="10" t="s">
        <v>7852</v>
      </c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>
      <c r="A7853" s="8">
        <v>12707.0</v>
      </c>
      <c r="B7853" s="9" t="str">
        <f>HYPERLINK("https://www.lazada.vn/products/tang-5g-duong-siro-an-kieng-sugar-free-syrup-walden-farm-12oz-355ml-chocolate-strawberry-blueberry-maple-walnut-i2456480983.html", "https://www.lazada.vn/products/tang-5g-duong-siro-an-kieng-sugar-free-syrup-walden-farm-12oz-355ml-chocolate-strawberry-blueberry-maple-walnut-i2456480983.html")</f>
        <v>https://www.lazada.vn/products/tang-5g-duong-siro-an-kieng-sugar-free-syrup-walden-farm-12oz-355ml-chocolate-strawberry-blueberry-maple-walnut-i2456480983.html</v>
      </c>
      <c r="C7853" s="10" t="s">
        <v>7853</v>
      </c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>
      <c r="A7854" s="8">
        <v>12708.0</v>
      </c>
      <c r="B7854" s="9" t="str">
        <f>HYPERLINK("https://www.lazada.vn/products/ban-si-lo-keo-deo-co-nhan-60-cai-10g-voi-hinh-dua-hau-con-mat-dau-tay-thom-ngon-hap-dan-do-an-vat-hot-nhat-i2665142087.html", "https://www.lazada.vn/products/ban-si-lo-keo-deo-co-nhan-60-cai-10g-voi-hinh-dua-hau-con-mat-dau-tay-thom-ngon-hap-dan-do-an-vat-hot-nhat-i2665142087.html")</f>
        <v>https://www.lazada.vn/products/ban-si-lo-keo-deo-co-nhan-60-cai-10g-voi-hinh-dua-hau-con-mat-dau-tay-thom-ngon-hap-dan-do-an-vat-hot-nhat-i2665142087.html</v>
      </c>
      <c r="C7854" s="10" t="s">
        <v>7854</v>
      </c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>
      <c r="A7855" s="8">
        <v>12709.0</v>
      </c>
      <c r="B7855" s="9" t="str">
        <f>HYPERLINK("https://www.lazada.vn/products/lon-bia-dung-cu-dung-ga-lon-bia-ga-pan-da-nang-bang-thep-khong-gi-khoe-manh-voi-2-xu-ly-cho-nuong-i2840080697.html", "https://www.lazada.vn/products/lon-bia-dung-cu-dung-ga-lon-bia-ga-pan-da-nang-bang-thep-khong-gi-khoe-manh-voi-2-xu-ly-cho-nuong-i2840080697.html")</f>
        <v>https://www.lazada.vn/products/lon-bia-dung-cu-dung-ga-lon-bia-ga-pan-da-nang-bang-thep-khong-gi-khoe-manh-voi-2-xu-ly-cho-nuong-i2840080697.html</v>
      </c>
      <c r="C7855" s="10" t="s">
        <v>7855</v>
      </c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>
      <c r="A7856" s="8">
        <v>12710.0</v>
      </c>
      <c r="B7856" s="9" t="str">
        <f>HYPERLINK("https://www.lazada.vn/products/da-me-tan-loc-hu-900g-i2646339075.html", "https://www.lazada.vn/products/da-me-tan-loc-hu-900g-i2646339075.html")</f>
        <v>https://www.lazada.vn/products/da-me-tan-loc-hu-900g-i2646339075.html</v>
      </c>
      <c r="C7856" s="10" t="s">
        <v>7856</v>
      </c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>
      <c r="A7857" s="8">
        <v>12711.0</v>
      </c>
      <c r="B7857" s="9" t="str">
        <f>HYPERLINK("https://www.lazada.vn/products/chanh-day-mat-ong-tan-loc-chai-630g-i2646044525.html", "https://www.lazada.vn/products/chanh-day-mat-ong-tan-loc-chai-630g-i2646044525.html")</f>
        <v>https://www.lazada.vn/products/chanh-day-mat-ong-tan-loc-chai-630g-i2646044525.html</v>
      </c>
      <c r="C7857" s="10" t="s">
        <v>7857</v>
      </c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>
      <c r="A7858" s="8">
        <v>12712.0</v>
      </c>
      <c r="B7858" s="9" t="str">
        <f>HYPERLINK("https://www.lazada.vn/products/bia-keg-growler-2l36l4l5l-bia-thu-cong-thung-nho-bia-xach-tay-co-ga-pha-che-container-cho-bbqsan-xuat-bia-ben-i2839540483.html", "https://www.lazada.vn/products/bia-keg-growler-2l36l4l5l-bia-thu-cong-thung-nho-bia-xach-tay-co-ga-pha-che-container-cho-bbqsan-xuat-bia-ben-i2839540483.html")</f>
        <v>https://www.lazada.vn/products/bia-keg-growler-2l36l4l5l-bia-thu-cong-thung-nho-bia-xach-tay-co-ga-pha-che-container-cho-bbqsan-xuat-bia-ben-i2839540483.html</v>
      </c>
      <c r="C7858" s="10" t="s">
        <v>7858</v>
      </c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>
      <c r="A7859" s="8">
        <v>12713.0</v>
      </c>
      <c r="B7859" s="9" t="str">
        <f>HYPERLINK("https://www.lazada.vn/products/keo-ngam-ho-cam-thao-thai-lan-i2663752439.html", "https://www.lazada.vn/products/keo-ngam-ho-cam-thao-thai-lan-i2663752439.html")</f>
        <v>https://www.lazada.vn/products/keo-ngam-ho-cam-thao-thai-lan-i2663752439.html</v>
      </c>
      <c r="C7859" s="10" t="s">
        <v>7859</v>
      </c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>
      <c r="A7860" s="8">
        <v>12714.0</v>
      </c>
      <c r="B7860" s="9" t="str">
        <f>HYPERLINK("https://www.lazada.vn/products/chao-mon-nap-vang-loai-ngon-hu-800g-i2745485352.html", "https://www.lazada.vn/products/chao-mon-nap-vang-loai-ngon-hu-800g-i2745485352.html")</f>
        <v>https://www.lazada.vn/products/chao-mon-nap-vang-loai-ngon-hu-800g-i2745485352.html</v>
      </c>
      <c r="C7860" s="10" t="s">
        <v>7860</v>
      </c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>
      <c r="A7861" s="8">
        <v>12715.0</v>
      </c>
      <c r="B7861" s="9" t="str">
        <f>HYPERLINK("https://www.lazada.vn/products/bot-ca-cao-sua-hoa-tan-3in1-thom-ngon-cacaomi-pha-che-tra-sua-chocolate-socola-nong-dam-da-vi-cacao-nguyen-chat-hop-127g-i1267738621.html", "https://www.lazada.vn/products/bot-ca-cao-sua-hoa-tan-3in1-thom-ngon-cacaomi-pha-che-tra-sua-chocolate-socola-nong-dam-da-vi-cacao-nguyen-chat-hop-127g-i1267738621.html")</f>
        <v>https://www.lazada.vn/products/bot-ca-cao-sua-hoa-tan-3in1-thom-ngon-cacaomi-pha-che-tra-sua-chocolate-socola-nong-dam-da-vi-cacao-nguyen-chat-hop-127g-i1267738621.html</v>
      </c>
      <c r="C7861" s="10" t="s">
        <v>7861</v>
      </c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>
      <c r="A7862" s="8">
        <v>12716.0</v>
      </c>
      <c r="B7862" s="9" t="str">
        <f>HYPERLINK("https://www.lazada.vn/products/bong-ngo-han-quoc-vi-mat-ong-vi-pho-mai-250g-i2668167397.html", "https://www.lazada.vn/products/bong-ngo-han-quoc-vi-mat-ong-vi-pho-mai-250g-i2668167397.html")</f>
        <v>https://www.lazada.vn/products/bong-ngo-han-quoc-vi-mat-ong-vi-pho-mai-250g-i2668167397.html</v>
      </c>
      <c r="C7862" s="10" t="s">
        <v>7862</v>
      </c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>
      <c r="A7863" s="8">
        <v>12717.0</v>
      </c>
      <c r="B7863" s="9" t="str">
        <f>HYPERLINK("https://www.lazada.vn/products/thung-24-chai-tra-mat-ong-boncha-du-vi-450ml-i2692179034.html", "https://www.lazada.vn/products/thung-24-chai-tra-mat-ong-boncha-du-vi-450ml-i2692179034.html")</f>
        <v>https://www.lazada.vn/products/thung-24-chai-tra-mat-ong-boncha-du-vi-450ml-i2692179034.html</v>
      </c>
      <c r="C7863" s="10" t="s">
        <v>7863</v>
      </c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>
      <c r="A7864" s="8">
        <v>12718.0</v>
      </c>
      <c r="B7864" s="9" t="str">
        <f>HYPERLINK("https://www.lazada.vn/products/siro-ho-ong-vang-hop-30-goi-5ml-i2453220529.html", "https://www.lazada.vn/products/siro-ho-ong-vang-hop-30-goi-5ml-i2453220529.html")</f>
        <v>https://www.lazada.vn/products/siro-ho-ong-vang-hop-30-goi-5ml-i2453220529.html</v>
      </c>
      <c r="C7864" s="10" t="s">
        <v>7864</v>
      </c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>
      <c r="A7865" s="8">
        <v>12719.0</v>
      </c>
      <c r="B7865" s="9" t="str">
        <f>HYPERLINK("https://www.lazada.vn/products/ca-phe-trung-nguyen-legend-ca-phe-hoa-tan-rang-xay-3in1-classic-bich-50-goi-x-17gr-i2656113032.html", "https://www.lazada.vn/products/ca-phe-trung-nguyen-legend-ca-phe-hoa-tan-rang-xay-3in1-classic-bich-50-goi-x-17gr-i2656113032.html")</f>
        <v>https://www.lazada.vn/products/ca-phe-trung-nguyen-legend-ca-phe-hoa-tan-rang-xay-3in1-classic-bich-50-goi-x-17gr-i2656113032.html</v>
      </c>
      <c r="C7865" s="10" t="s">
        <v>7865</v>
      </c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>
      <c r="A7866" s="8">
        <v>12720.0</v>
      </c>
      <c r="B7866" s="9" t="str">
        <f>HYPERLINK("https://www.lazada.vn/products/keo-socola-nga-khach-tu-chon-mix-vi-theo-y-thich-100g-1-phan-loai-i2881552534.html", "https://www.lazada.vn/products/keo-socola-nga-khach-tu-chon-mix-vi-theo-y-thich-100g-1-phan-loai-i2881552534.html")</f>
        <v>https://www.lazada.vn/products/keo-socola-nga-khach-tu-chon-mix-vi-theo-y-thich-100g-1-phan-loai-i2881552534.html</v>
      </c>
      <c r="C7866" s="10" t="s">
        <v>7866</v>
      </c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>
      <c r="A7867" s="8">
        <v>12721.0</v>
      </c>
      <c r="B7867" s="9" t="str">
        <f>HYPERLINK("https://www.lazada.vn/products/bia-southern-mills-draught-xuat-uc-i1122686263.html", "https://www.lazada.vn/products/bia-southern-mills-draught-xuat-uc-i1122686263.html")</f>
        <v>https://www.lazada.vn/products/bia-southern-mills-draught-xuat-uc-i1122686263.html</v>
      </c>
      <c r="C7867" s="10" t="s">
        <v>7867</v>
      </c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>
      <c r="A7868" s="8">
        <v>12722.0</v>
      </c>
      <c r="B7868" s="9" t="str">
        <f>HYPERLINK("https://www.lazada.vn/products/bia-cambodia-lite-bac-campuchia-24lon12-lon-i2836768591.html", "https://www.lazada.vn/products/bia-cambodia-lite-bac-campuchia-24lon12-lon-i2836768591.html")</f>
        <v>https://www.lazada.vn/products/bia-cambodia-lite-bac-campuchia-24lon12-lon-i2836768591.html</v>
      </c>
      <c r="C7868" s="10" t="s">
        <v>7868</v>
      </c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>
      <c r="A7869" s="8">
        <v>12723.0</v>
      </c>
      <c r="B7869" s="9" t="str">
        <f>HYPERLINK("https://www.lazada.vn/products/ban-si-bich-keo-mut-chupa-chups-huong-hon-hop-voi-vitamin-c-60-cai-va-bich-keo-mut-sac-mau-chupa-chups-58-cai-thom-ngon-i2661185008.html", "https://www.lazada.vn/products/ban-si-bich-keo-mut-chupa-chups-huong-hon-hop-voi-vitamin-c-60-cai-va-bich-keo-mut-sac-mau-chupa-chups-58-cai-thom-ngon-i2661185008.html")</f>
        <v>https://www.lazada.vn/products/ban-si-bich-keo-mut-chupa-chups-huong-hon-hop-voi-vitamin-c-60-cai-va-bich-keo-mut-sac-mau-chupa-chups-58-cai-thom-ngon-i2661185008.html</v>
      </c>
      <c r="C7869" s="10" t="s">
        <v>7869</v>
      </c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>
      <c r="A7870" s="8">
        <v>12724.0</v>
      </c>
      <c r="B7870" s="9" t="str">
        <f>HYPERLINK("https://www.lazada.vn/products/goi-320g-keo-deo-boc-vo-nhan-hoa-qua-phu-dua-thom-ngon-mat-lanh-i2660058546.html", "https://www.lazada.vn/products/goi-320g-keo-deo-boc-vo-nhan-hoa-qua-phu-dua-thom-ngon-mat-lanh-i2660058546.html")</f>
        <v>https://www.lazada.vn/products/goi-320g-keo-deo-boc-vo-nhan-hoa-qua-phu-dua-thom-ngon-mat-lanh-i2660058546.html</v>
      </c>
      <c r="C7870" s="10" t="s">
        <v>7870</v>
      </c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>
      <c r="A7871" s="8">
        <v>12725.0</v>
      </c>
      <c r="B7871" s="9" t="str">
        <f>HYPERLINK("https://www.lazada.vn/products/keo-me-say-muoi-ot-cay-200g300g500g-i2659927415.html", "https://www.lazada.vn/products/keo-me-say-muoi-ot-cay-200g300g500g-i2659927415.html")</f>
        <v>https://www.lazada.vn/products/keo-me-say-muoi-ot-cay-200g300g500g-i2659927415.html</v>
      </c>
      <c r="C7871" s="10" t="s">
        <v>7871</v>
      </c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>
      <c r="A7872" s="8">
        <v>12726.0</v>
      </c>
      <c r="B7872" s="9" t="str">
        <f>HYPERLINK("https://www.lazada.vn/products/thung-24-lon-bia-heineken-silver-coolpack-250mllon-i2831625457.html", "https://www.lazada.vn/products/thung-24-lon-bia-heineken-silver-coolpack-250mllon-i2831625457.html")</f>
        <v>https://www.lazada.vn/products/thung-24-lon-bia-heineken-silver-coolpack-250mllon-i2831625457.html</v>
      </c>
      <c r="C7872" s="10" t="s">
        <v>7872</v>
      </c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>
      <c r="A7873" s="8">
        <v>12727.0</v>
      </c>
      <c r="B7873" s="9" t="str">
        <f>HYPERLINK("https://www.lazada.vn/products/bia-viiking-duc-12-loc-6-lon-500ml-i2831565147.html", "https://www.lazada.vn/products/bia-viiking-duc-12-loc-6-lon-500ml-i2831565147.html")</f>
        <v>https://www.lazada.vn/products/bia-viiking-duc-12-loc-6-lon-500ml-i2831565147.html</v>
      </c>
      <c r="C7873" s="10" t="s">
        <v>7873</v>
      </c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>
      <c r="A7874" s="8">
        <v>12728.0</v>
      </c>
      <c r="B7874" s="9" t="str">
        <f>HYPERLINK("https://www.lazada.vn/products/thung-24-lon-bia-heineken-silver-coolpack-250mllon-i2831494704.html", "https://www.lazada.vn/products/thung-24-lon-bia-heineken-silver-coolpack-250mllon-i2831494704.html")</f>
        <v>https://www.lazada.vn/products/thung-24-lon-bia-heineken-silver-coolpack-250mllon-i2831494704.html</v>
      </c>
      <c r="C7874" s="10" t="s">
        <v>7874</v>
      </c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>
      <c r="A7875" s="8">
        <v>12729.0</v>
      </c>
      <c r="B7875" s="9" t="str">
        <f>HYPERLINK("https://www.lazada.vn/products/bia-guinness-draught-stout-42-nhap-khau-ireland-1-lon-440ml-i2830492004.html", "https://www.lazada.vn/products/bia-guinness-draught-stout-42-nhap-khau-ireland-1-lon-440ml-i2830492004.html")</f>
        <v>https://www.lazada.vn/products/bia-guinness-draught-stout-42-nhap-khau-ireland-1-lon-440ml-i2830492004.html</v>
      </c>
      <c r="C7875" s="10" t="s">
        <v>7875</v>
      </c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>
      <c r="A7876" s="8">
        <v>12730.0</v>
      </c>
      <c r="B7876" s="9" t="str">
        <f>HYPERLINK("https://www.lazada.vn/products/bia-guinness-draught-stout-42-nhap-khau-ireland-1-lon-440ml-i2830318263.html", "https://www.lazada.vn/products/bia-guinness-draught-stout-42-nhap-khau-ireland-1-lon-440ml-i2830318263.html")</f>
        <v>https://www.lazada.vn/products/bia-guinness-draught-stout-42-nhap-khau-ireland-1-lon-440ml-i2830318263.html</v>
      </c>
      <c r="C7876" s="10" t="s">
        <v>7876</v>
      </c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>
      <c r="A7877" s="8">
        <v>12731.0</v>
      </c>
      <c r="B7877" s="9" t="str">
        <f>HYPERLINK("https://www.lazada.vn/products/bia-guinness-draught-stout-42-nhap-khau-ireland-1-thung-24-lon-440ml-i2830099579.html", "https://www.lazada.vn/products/bia-guinness-draught-stout-42-nhap-khau-ireland-1-thung-24-lon-440ml-i2830099579.html")</f>
        <v>https://www.lazada.vn/products/bia-guinness-draught-stout-42-nhap-khau-ireland-1-thung-24-lon-440ml-i2830099579.html</v>
      </c>
      <c r="C7877" s="10" t="s">
        <v>7877</v>
      </c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>
      <c r="A7878" s="8">
        <v>12732.0</v>
      </c>
      <c r="B7878" s="9" t="str">
        <f>HYPERLINK("https://www.lazada.vn/products/bia-guinness-draught-stout-42-nhap-khau-ireland-1-loc-6-lon-440ml-i2830096662.html", "https://www.lazada.vn/products/bia-guinness-draught-stout-42-nhap-khau-ireland-1-loc-6-lon-440ml-i2830096662.html")</f>
        <v>https://www.lazada.vn/products/bia-guinness-draught-stout-42-nhap-khau-ireland-1-loc-6-lon-440ml-i2830096662.html</v>
      </c>
      <c r="C7878" s="10" t="s">
        <v>7878</v>
      </c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>
      <c r="A7879" s="8">
        <v>12733.0</v>
      </c>
      <c r="B7879" s="9" t="str">
        <f>HYPERLINK("https://www.lazada.vn/products/bo-binh-nuoc-dep-hoa-tiet-ve-tay-mau-pastel-xinh-xan-dung-tich-1500-ml-gom-su-bat-trang-i2830064135.html", "https://www.lazada.vn/products/bo-binh-nuoc-dep-hoa-tiet-ve-tay-mau-pastel-xinh-xan-dung-tich-1500-ml-gom-su-bat-trang-i2830064135.html")</f>
        <v>https://www.lazada.vn/products/bo-binh-nuoc-dep-hoa-tiet-ve-tay-mau-pastel-xinh-xan-dung-tich-1500-ml-gom-su-bat-trang-i2830064135.html</v>
      </c>
      <c r="C7879" s="10" t="s">
        <v>7879</v>
      </c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>
      <c r="A7880" s="8">
        <v>12734.0</v>
      </c>
      <c r="B7880" s="9" t="str">
        <f>HYPERLINK("https://www.lazada.vn/products/bia-guinness-draught-stout-42-nhap-khau-ireland-1-loc-6-lon-440ml-i2830047801.html", "https://www.lazada.vn/products/bia-guinness-draught-stout-42-nhap-khau-ireland-1-loc-6-lon-440ml-i2830047801.html")</f>
        <v>https://www.lazada.vn/products/bia-guinness-draught-stout-42-nhap-khau-ireland-1-loc-6-lon-440ml-i2830047801.html</v>
      </c>
      <c r="C7880" s="10" t="s">
        <v>7880</v>
      </c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>
      <c r="A7881" s="8">
        <v>12735.0</v>
      </c>
      <c r="B7881" s="9" t="str">
        <f>HYPERLINK("https://www.lazada.vn/products/loc-6-chai-tra-mat-ong-boncha-du-vi-450ml-i2691898063.html", "https://www.lazada.vn/products/loc-6-chai-tra-mat-ong-boncha-du-vi-450ml-i2691898063.html")</f>
        <v>https://www.lazada.vn/products/loc-6-chai-tra-mat-ong-boncha-du-vi-450ml-i2691898063.html</v>
      </c>
      <c r="C7881" s="10" t="s">
        <v>7881</v>
      </c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>
      <c r="A7882" s="8">
        <v>12736.0</v>
      </c>
      <c r="B7882" s="9" t="str">
        <f>HYPERLINK("https://www.lazada.vn/products/bap-rang-umiki-260g-vi-trai-cay-leetrinh-i2650417424.html", "https://www.lazada.vn/products/bap-rang-umiki-260g-vi-trai-cay-leetrinh-i2650417424.html")</f>
        <v>https://www.lazada.vn/products/bap-rang-umiki-260g-vi-trai-cay-leetrinh-i2650417424.html</v>
      </c>
      <c r="C7882" s="10" t="s">
        <v>7882</v>
      </c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>
      <c r="A7883" s="8">
        <v>12737.0</v>
      </c>
      <c r="B7883" s="9" t="str">
        <f>HYPERLINK("https://www.lazada.vn/products/chao-mon-nap-vang-loai-ngon-hu-800g-i2745313473.html", "https://www.lazada.vn/products/chao-mon-nap-vang-loai-ngon-hu-800g-i2745313473.html")</f>
        <v>https://www.lazada.vn/products/chao-mon-nap-vang-loai-ngon-hu-800g-i2745313473.html</v>
      </c>
      <c r="C7883" s="10" t="s">
        <v>7883</v>
      </c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>
      <c r="A7884" s="8">
        <v>12738.0</v>
      </c>
      <c r="B7884" s="9" t="str">
        <f>HYPERLINK("https://www.lazada.vn/products/bot-la-sam-giai-nhiet-mat-lanh-set-5-goi-i2645474186.html", "https://www.lazada.vn/products/bot-la-sam-giai-nhiet-mat-lanh-set-5-goi-i2645474186.html")</f>
        <v>https://www.lazada.vn/products/bot-la-sam-giai-nhiet-mat-lanh-set-5-goi-i2645474186.html</v>
      </c>
      <c r="C7884" s="10" t="s">
        <v>7884</v>
      </c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>
      <c r="A7885" s="8">
        <v>12739.0</v>
      </c>
      <c r="B7885" s="9" t="str">
        <f>HYPERLINK("https://www.lazada.vn/products/hat-no-lua-mach-tenten-hop-xanh-850g-i2645044378.html", "https://www.lazada.vn/products/hat-no-lua-mach-tenten-hop-xanh-850g-i2645044378.html")</f>
        <v>https://www.lazada.vn/products/hat-no-lua-mach-tenten-hop-xanh-850g-i2645044378.html</v>
      </c>
      <c r="C7885" s="10" t="s">
        <v>7885</v>
      </c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>
      <c r="A7886" s="8">
        <v>12740.0</v>
      </c>
      <c r="B7886" s="9" t="str">
        <f>HYPERLINK("https://www.lazada.vn/products/siro-nhan-hieu-giffard-1-lit-cua-phap-giao-hang-nhanh-i2451981382.html", "https://www.lazada.vn/products/siro-nhan-hieu-giffard-1-lit-cua-phap-giao-hang-nhanh-i2451981382.html")</f>
        <v>https://www.lazada.vn/products/siro-nhan-hieu-giffard-1-lit-cua-phap-giao-hang-nhanh-i2451981382.html</v>
      </c>
      <c r="C7886" s="10" t="s">
        <v>7886</v>
      </c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>
      <c r="A7887" s="8">
        <v>12741.0</v>
      </c>
      <c r="B7887" s="9" t="str">
        <f>HYPERLINK("https://www.lazada.vn/products/keo-socola-alenka-co-be-nga-goi-500g-i2881540552.html", "https://www.lazada.vn/products/keo-socola-alenka-co-be-nga-goi-500g-i2881540552.html")</f>
        <v>https://www.lazada.vn/products/keo-socola-alenka-co-be-nga-goi-500g-i2881540552.html</v>
      </c>
      <c r="C7887" s="10" t="s">
        <v>7887</v>
      </c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>
      <c r="A7888" s="8">
        <v>12742.0</v>
      </c>
      <c r="B7888" s="9" t="str">
        <f>HYPERLINK("https://www.lazada.vn/products/bia-budweiser-330-thung-24-lon-kho-ha-noi-i1105574199.html", "https://www.lazada.vn/products/bia-budweiser-330-thung-24-lon-kho-ha-noi-i1105574199.html")</f>
        <v>https://www.lazada.vn/products/bia-budweiser-330-thung-24-lon-kho-ha-noi-i1105574199.html</v>
      </c>
      <c r="C7888" s="10" t="s">
        <v>7888</v>
      </c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>
      <c r="A7889" s="8">
        <v>12743.0</v>
      </c>
      <c r="B7889" s="9" t="str">
        <f>HYPERLINK("https://www.lazada.vn/products/ca-phe-trung-nguyen-legend-ca-phe-hoa-tan-g7-3in1-goi-vuong-i2656011435.html", "https://www.lazada.vn/products/ca-phe-trung-nguyen-legend-ca-phe-hoa-tan-g7-3in1-goi-vuong-i2656011435.html")</f>
        <v>https://www.lazada.vn/products/ca-phe-trung-nguyen-legend-ca-phe-hoa-tan-g7-3in1-goi-vuong-i2656011435.html</v>
      </c>
      <c r="C7889" s="10" t="s">
        <v>7889</v>
      </c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>
      <c r="A7890" s="8">
        <v>12744.0</v>
      </c>
      <c r="B7890" s="9" t="str">
        <f>HYPERLINK("https://www.lazada.vn/products/jp-chenet-original-merlot-cabernet-limited-edition-i2485545925.html", "https://www.lazada.vn/products/jp-chenet-original-merlot-cabernet-limited-edition-i2485545925.html")</f>
        <v>https://www.lazada.vn/products/jp-chenet-original-merlot-cabernet-limited-edition-i2485545925.html</v>
      </c>
      <c r="C7890" s="10" t="s">
        <v>7890</v>
      </c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>
      <c r="A7891" s="8">
        <v>12745.0</v>
      </c>
      <c r="B7891" s="9" t="str">
        <f>HYPERLINK("https://www.lazada.vn/products/cot-chanh-day-thanh-mat-chua-chua-ngot-dam-qua-vat-da-lat-i2690850518.html", "https://www.lazada.vn/products/cot-chanh-day-thanh-mat-chua-chua-ngot-dam-qua-vat-da-lat-i2690850518.html")</f>
        <v>https://www.lazada.vn/products/cot-chanh-day-thanh-mat-chua-chua-ngot-dam-qua-vat-da-lat-i2690850518.html</v>
      </c>
      <c r="C7891" s="10" t="s">
        <v>7891</v>
      </c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>
      <c r="A7892" s="8">
        <v>12746.0</v>
      </c>
      <c r="B7892" s="9" t="str">
        <f>HYPERLINK("https://www.lazada.vn/products/20h-3-64-vc-18-cho-don-tu-199k-omachi-lau-tu-soi-xot-bo-ham-276g-i2745083884.html", "https://www.lazada.vn/products/20h-3-64-vc-18-cho-don-tu-199k-omachi-lau-tu-soi-xot-bo-ham-276g-i2745083884.html")</f>
        <v>https://www.lazada.vn/products/20h-3-64-vc-18-cho-don-tu-199k-omachi-lau-tu-soi-xot-bo-ham-276g-i2745083884.html</v>
      </c>
      <c r="C7892" s="10" t="s">
        <v>7892</v>
      </c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>
      <c r="A7893" s="8">
        <v>12747.0</v>
      </c>
      <c r="B7893" s="9" t="str">
        <f>HYPERLINK("https://www.lazada.vn/products/hcmbap-xoc-mam-an-la-nghien-lon-pet-350g-sang-trong-hop-ve-sinh-mon-qua-an-vat-tuyet-voi-moi-ngay-susuto-shop-i2631431143.html", "https://www.lazada.vn/products/hcmbap-xoc-mam-an-la-nghien-lon-pet-350g-sang-trong-hop-ve-sinh-mon-qua-an-vat-tuyet-voi-moi-ngay-susuto-shop-i2631431143.html")</f>
        <v>https://www.lazada.vn/products/hcmbap-xoc-mam-an-la-nghien-lon-pet-350g-sang-trong-hop-ve-sinh-mon-qua-an-vat-tuyet-voi-moi-ngay-susuto-shop-i2631431143.html</v>
      </c>
      <c r="C7893" s="10" t="s">
        <v>7893</v>
      </c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>
      <c r="A7894" s="8">
        <v>12748.0</v>
      </c>
      <c r="B7894" s="9" t="str">
        <f>HYPERLINK("https://www.lazada.vn/products/nui-sao-rau-cu-huu-co-dalla-costa-200gtui-cho-be-tu-6m-i2961511973.html", "https://www.lazada.vn/products/nui-sao-rau-cu-huu-co-dalla-costa-200gtui-cho-be-tu-6m-i2961511973.html")</f>
        <v>https://www.lazada.vn/products/nui-sao-rau-cu-huu-co-dalla-costa-200gtui-cho-be-tu-6m-i2961511973.html</v>
      </c>
      <c r="C7894" s="10" t="s">
        <v>7894</v>
      </c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>
      <c r="A7895" s="8">
        <v>12749.0</v>
      </c>
      <c r="B7895" s="9" t="str">
        <f>HYPERLINK("https://www.lazada.vn/products/combo-4-lit-mat-ong-bac-ha-va-mat-ong-ca-phe-daklak-1000ml1kg4x4chai-i2051833161.html", "https://www.lazada.vn/products/combo-4-lit-mat-ong-bac-ha-va-mat-ong-ca-phe-daklak-1000ml1kg4x4chai-i2051833161.html")</f>
        <v>https://www.lazada.vn/products/combo-4-lit-mat-ong-bac-ha-va-mat-ong-ca-phe-daklak-1000ml1kg4x4chai-i2051833161.html</v>
      </c>
      <c r="C7895" s="10" t="s">
        <v>7895</v>
      </c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>
      <c r="A7896" s="8">
        <v>12750.0</v>
      </c>
      <c r="B7896" s="9" t="str">
        <f>HYPERLINK("https://www.lazada.vn/products/nuoc-ngot-coca-nhat-ban-dang-chai-nhom-nap-van-va-lon-mini-i2069633436.html", "https://www.lazada.vn/products/nuoc-ngot-coca-nhat-ban-dang-chai-nhom-nap-van-va-lon-mini-i2069633436.html")</f>
        <v>https://www.lazada.vn/products/nuoc-ngot-coca-nhat-ban-dang-chai-nhom-nap-van-va-lon-mini-i2069633436.html</v>
      </c>
      <c r="C7896" s="10" t="s">
        <v>7896</v>
      </c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>
      <c r="A7897" s="8">
        <v>12751.0</v>
      </c>
      <c r="B7897" s="9" t="str">
        <f>HYPERLINK("https://www.lazada.vn/products/pate-gan-cora-phap-loc-3-hop-x-78g-i1841768520.html", "https://www.lazada.vn/products/pate-gan-cora-phap-loc-3-hop-x-78g-i1841768520.html")</f>
        <v>https://www.lazada.vn/products/pate-gan-cora-phap-loc-3-hop-x-78g-i1841768520.html</v>
      </c>
      <c r="C7897" s="10" t="s">
        <v>7897</v>
      </c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>
      <c r="A7898" s="8">
        <v>12752.0</v>
      </c>
      <c r="B7898" s="9" t="str">
        <f>HYPERLINK("https://www.lazada.vn/products/combo-2-mi-ly-mini-doraemon-hao-sua-pho-mai-hai-san-chua-ngot-mix-2-vi-acecook-ly-53gr-i2961341815.html", "https://www.lazada.vn/products/combo-2-mi-ly-mini-doraemon-hao-sua-pho-mai-hai-san-chua-ngot-mix-2-vi-acecook-ly-53gr-i2961341815.html")</f>
        <v>https://www.lazada.vn/products/combo-2-mi-ly-mini-doraemon-hao-sua-pho-mai-hai-san-chua-ngot-mix-2-vi-acecook-ly-53gr-i2961341815.html</v>
      </c>
      <c r="C7898" s="10" t="s">
        <v>7898</v>
      </c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>
      <c r="A7899" s="8">
        <v>12753.0</v>
      </c>
      <c r="B7899" s="9" t="str">
        <f>HYPERLINK("https://www.lazada.vn/products/vanduc-lo-450g-hat-bap-no-bong-ngo-usa-original-popcorn-i2609670377.html", "https://www.lazada.vn/products/vanduc-lo-450g-hat-bap-no-bong-ngo-usa-original-popcorn-i2609670377.html")</f>
        <v>https://www.lazada.vn/products/vanduc-lo-450g-hat-bap-no-bong-ngo-usa-original-popcorn-i2609670377.html</v>
      </c>
      <c r="C7899" s="10" t="s">
        <v>7899</v>
      </c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>
      <c r="A7900" s="8">
        <v>12754.0</v>
      </c>
      <c r="B7900" s="9" t="str">
        <f>HYPERLINK("https://www.lazada.vn/products/nhung-huou-tuoi-thai-lat-ket-hop-thao-duoc-quy-i2644871224.html", "https://www.lazada.vn/products/nhung-huou-tuoi-thai-lat-ket-hop-thao-duoc-quy-i2644871224.html")</f>
        <v>https://www.lazada.vn/products/nhung-huou-tuoi-thai-lat-ket-hop-thao-duoc-quy-i2644871224.html</v>
      </c>
      <c r="C7900" s="10" t="s">
        <v>7900</v>
      </c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>
      <c r="A7901" s="8">
        <v>12755.0</v>
      </c>
      <c r="B7901" s="9" t="str">
        <f>HYPERLINK("https://www.lazada.vn/products/combo-30-cai-nem-chua-la-oi-nem-chua-cho-huyen-nem-chua-binh-dinh-ong-tre-foods-i2744355788.html", "https://www.lazada.vn/products/combo-30-cai-nem-chua-la-oi-nem-chua-cho-huyen-nem-chua-binh-dinh-ong-tre-foods-i2744355788.html")</f>
        <v>https://www.lazada.vn/products/combo-30-cai-nem-chua-la-oi-nem-chua-cho-huyen-nem-chua-binh-dinh-ong-tre-foods-i2744355788.html</v>
      </c>
      <c r="C7901" s="10" t="s">
        <v>7901</v>
      </c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>
      <c r="A7902" s="8">
        <v>12756.0</v>
      </c>
      <c r="B7902" s="9" t="str">
        <f>HYPERLINK("https://www.lazada.vn/products/nuoc-cot-dau-tam-loai-dac-biet-thanh-mat-chua-chua-ngot-dam-thom-dau-qua-vat-da-lat-i2690847489.html", "https://www.lazada.vn/products/nuoc-cot-dau-tam-loai-dac-biet-thanh-mat-chua-chua-ngot-dam-thom-dau-qua-vat-da-lat-i2690847489.html")</f>
        <v>https://www.lazada.vn/products/nuoc-cot-dau-tam-loai-dac-biet-thanh-mat-chua-chua-ngot-dam-thom-dau-qua-vat-da-lat-i2690847489.html</v>
      </c>
      <c r="C7902" s="10" t="s">
        <v>7902</v>
      </c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>
      <c r="A7903" s="8">
        <v>12757.0</v>
      </c>
      <c r="B7903" s="9" t="str">
        <f>HYPERLINK("https://www.lazada.vn/products/loc-24-lon-soda-schweppes-tonic-320mllon-i2065758455.html", "https://www.lazada.vn/products/loc-24-lon-soda-schweppes-tonic-320mllon-i2065758455.html")</f>
        <v>https://www.lazada.vn/products/loc-24-lon-soda-schweppes-tonic-320mllon-i2065758455.html</v>
      </c>
      <c r="C7903" s="10" t="s">
        <v>7903</v>
      </c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>
      <c r="A7904" s="8">
        <v>12758.0</v>
      </c>
      <c r="B7904" s="9" t="str">
        <f>HYPERLINK("https://www.lazada.vn/products/ruou-vang-nhap-khau-vang-do-ruou-vang-phap-calvet-conversation-merlot-cabernet-sauvignon-750ml-135-i2484274449.html", "https://www.lazada.vn/products/ruou-vang-nhap-khau-vang-do-ruou-vang-phap-calvet-conversation-merlot-cabernet-sauvignon-750ml-135-i2484274449.html")</f>
        <v>https://www.lazada.vn/products/ruou-vang-nhap-khau-vang-do-ruou-vang-phap-calvet-conversation-merlot-cabernet-sauvignon-750ml-135-i2484274449.html</v>
      </c>
      <c r="C7904" s="10" t="s">
        <v>7904</v>
      </c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>
      <c r="A7905" s="8">
        <v>12759.0</v>
      </c>
      <c r="B7905" s="9" t="str">
        <f>HYPERLINK("https://www.lazada.vn/products/ruou-vang-nhap-khau-vang-do-ruou-vang-phap-calvet-varietal-cabernet-sauvignon-750ml-14-i2484187518.html", "https://www.lazada.vn/products/ruou-vang-nhap-khau-vang-do-ruou-vang-phap-calvet-varietal-cabernet-sauvignon-750ml-14-i2484187518.html")</f>
        <v>https://www.lazada.vn/products/ruou-vang-nhap-khau-vang-do-ruou-vang-phap-calvet-varietal-cabernet-sauvignon-750ml-14-i2484187518.html</v>
      </c>
      <c r="C7905" s="10" t="s">
        <v>7905</v>
      </c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>
      <c r="A7906" s="8">
        <v>12760.0</v>
      </c>
      <c r="B7906" s="9" t="str">
        <f>HYPERLINK("https://www.lazada.vn/products/ruou-vang-nhap-khau-vang-do-ruou-vang-y-domini-veneti-parrot-750ml-17-i2481783075.html", "https://www.lazada.vn/products/ruou-vang-nhap-khau-vang-do-ruou-vang-y-domini-veneti-parrot-750ml-17-i2481783075.html")</f>
        <v>https://www.lazada.vn/products/ruou-vang-nhap-khau-vang-do-ruou-vang-y-domini-veneti-parrot-750ml-17-i2481783075.html</v>
      </c>
      <c r="C7906" s="10" t="s">
        <v>7906</v>
      </c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>
      <c r="A7907" s="8">
        <v>12761.0</v>
      </c>
      <c r="B7907" s="9" t="str">
        <f>HYPERLINK("https://www.lazada.vn/products/ruou-vang-nhap-khau-vang-do-ruou-vang-y-uno-1-primitivo-di-manduria-riserva-750ml-145-i2481780028.html", "https://www.lazada.vn/products/ruou-vang-nhap-khau-vang-do-ruou-vang-y-uno-1-primitivo-di-manduria-riserva-750ml-145-i2481780028.html")</f>
        <v>https://www.lazada.vn/products/ruou-vang-nhap-khau-vang-do-ruou-vang-y-uno-1-primitivo-di-manduria-riserva-750ml-145-i2481780028.html</v>
      </c>
      <c r="C7907" s="10" t="s">
        <v>7907</v>
      </c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>
      <c r="A7908" s="8">
        <v>12762.0</v>
      </c>
      <c r="B7908" s="9" t="str">
        <f>HYPERLINK("https://www.lazada.vn/products/ruou-vang-nhap-khau-vang-do-ruou-vang-y-tremante-750ml-145-i2481753092.html", "https://www.lazada.vn/products/ruou-vang-nhap-khau-vang-do-ruou-vang-y-tremante-750ml-145-i2481753092.html")</f>
        <v>https://www.lazada.vn/products/ruou-vang-nhap-khau-vang-do-ruou-vang-y-tremante-750ml-145-i2481753092.html</v>
      </c>
      <c r="C7908" s="10" t="s">
        <v>7908</v>
      </c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>
      <c r="A7909" s="8">
        <v>12763.0</v>
      </c>
      <c r="B7909" s="9" t="str">
        <f>HYPERLINK("https://www.lazada.vn/products/ruou-vang-nhap-khau-vang-do-ruou-vang-phap-boulevard-bordeaux-families-750ml-135-i2481751039.html", "https://www.lazada.vn/products/ruou-vang-nhap-khau-vang-do-ruou-vang-phap-boulevard-bordeaux-families-750ml-135-i2481751039.html")</f>
        <v>https://www.lazada.vn/products/ruou-vang-nhap-khau-vang-do-ruou-vang-phap-boulevard-bordeaux-families-750ml-135-i2481751039.html</v>
      </c>
      <c r="C7909" s="10" t="s">
        <v>7909</v>
      </c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>
      <c r="A7910" s="8">
        <v>12764.0</v>
      </c>
      <c r="B7910" s="9" t="str">
        <f>HYPERLINK("https://www.lazada.vn/products/ruou-vang-nhap-khau-vang-do-ruou-vang-y-1919-anno-domini-750ml-19-i2481745070.html", "https://www.lazada.vn/products/ruou-vang-nhap-khau-vang-do-ruou-vang-y-1919-anno-domini-750ml-19-i2481745070.html")</f>
        <v>https://www.lazada.vn/products/ruou-vang-nhap-khau-vang-do-ruou-vang-y-1919-anno-domini-750ml-19-i2481745070.html</v>
      </c>
      <c r="C7910" s="10" t="s">
        <v>7910</v>
      </c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>
      <c r="A7911" s="8">
        <v>12765.0</v>
      </c>
      <c r="B7911" s="9" t="str">
        <f>HYPERLINK("https://www.lazada.vn/products/ruou-vang-nhap-khau-vang-do-ruou-vang-phap-cote-mas-syrah-grenache-750ml-135-i2481720276.html", "https://www.lazada.vn/products/ruou-vang-nhap-khau-vang-do-ruou-vang-phap-cote-mas-syrah-grenache-750ml-135-i2481720276.html")</f>
        <v>https://www.lazada.vn/products/ruou-vang-nhap-khau-vang-do-ruou-vang-phap-cote-mas-syrah-grenache-750ml-135-i2481720276.html</v>
      </c>
      <c r="C7911" s="10" t="s">
        <v>7911</v>
      </c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>
      <c r="A7912" s="8">
        <v>12766.0</v>
      </c>
      <c r="B7912" s="9" t="str">
        <f>HYPERLINK("https://www.lazada.vn/products/ruou-vang-nhap-khau-vang-do-ruou-vang-y-sansonina-merlot-750ml-135-i2481718380.html", "https://www.lazada.vn/products/ruou-vang-nhap-khau-vang-do-ruou-vang-y-sansonina-merlot-750ml-135-i2481718380.html")</f>
        <v>https://www.lazada.vn/products/ruou-vang-nhap-khau-vang-do-ruou-vang-y-sansonina-merlot-750ml-135-i2481718380.html</v>
      </c>
      <c r="C7912" s="10" t="s">
        <v>7912</v>
      </c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>
      <c r="A7913" s="8">
        <v>12767.0</v>
      </c>
      <c r="B7913" s="9" t="str">
        <f>HYPERLINK("https://www.lazada.vn/products/bot-khoai-mon-ciel-goi-500g-i2641902527.html", "https://www.lazada.vn/products/bot-khoai-mon-ciel-goi-500g-i2641902527.html")</f>
        <v>https://www.lazada.vn/products/bot-khoai-mon-ciel-goi-500g-i2641902527.html</v>
      </c>
      <c r="C7913" s="10" t="s">
        <v>7913</v>
      </c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>
      <c r="A7914" s="8">
        <v>12768.0</v>
      </c>
      <c r="B7914" s="9" t="str">
        <f>HYPERLINK("https://www.lazada.vn/products/ruou-vang-do-my-barrel-bomb-proprietary-red-blend-i2481709456.html", "https://www.lazada.vn/products/ruou-vang-do-my-barrel-bomb-proprietary-red-blend-i2481709456.html")</f>
        <v>https://www.lazada.vn/products/ruou-vang-do-my-barrel-bomb-proprietary-red-blend-i2481709456.html</v>
      </c>
      <c r="C7914" s="10" t="s">
        <v>7914</v>
      </c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>
      <c r="A7915" s="8">
        <v>12769.0</v>
      </c>
      <c r="B7915" s="9" t="str">
        <f>HYPERLINK("https://www.lazada.vn/products/cao-bach-dong-chinh-hang-100ml-i2641581181.html", "https://www.lazada.vn/products/cao-bach-dong-chinh-hang-100ml-i2641581181.html")</f>
        <v>https://www.lazada.vn/products/cao-bach-dong-chinh-hang-100ml-i2641581181.html</v>
      </c>
      <c r="C7915" s="10" t="s">
        <v>7915</v>
      </c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>
      <c r="A7916" s="8">
        <v>12770.0</v>
      </c>
      <c r="B7916" s="9" t="str">
        <f>HYPERLINK("https://www.lazada.vn/products/ruou-vang-nhap-khau-vang-do-ruou-vang-y-cantina-vierre-vino-rosso-ditalia-2022-750ml-145-i2481678575.html", "https://www.lazada.vn/products/ruou-vang-nhap-khau-vang-do-ruou-vang-y-cantina-vierre-vino-rosso-ditalia-2022-750ml-145-i2481678575.html")</f>
        <v>https://www.lazada.vn/products/ruou-vang-nhap-khau-vang-do-ruou-vang-y-cantina-vierre-vino-rosso-ditalia-2022-750ml-145-i2481678575.html</v>
      </c>
      <c r="C7916" s="10" t="s">
        <v>7916</v>
      </c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>
      <c r="A7917" s="8">
        <v>12771.0</v>
      </c>
      <c r="B7917" s="9" t="str">
        <f>HYPERLINK("https://www.lazada.vn/products/cao-bach-dong-100ml-chinh-hang-i2641399740.html", "https://www.lazada.vn/products/cao-bach-dong-100ml-chinh-hang-i2641399740.html")</f>
        <v>https://www.lazada.vn/products/cao-bach-dong-100ml-chinh-hang-i2641399740.html</v>
      </c>
      <c r="C7917" s="10" t="s">
        <v>7917</v>
      </c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>
      <c r="A7918" s="8">
        <v>12772.0</v>
      </c>
      <c r="B7918" s="9" t="str">
        <f>HYPERLINK("https://www.lazada.vn/products/ruou-vang-nhap-khau-vang-do-ruou-vang-tay-ba-nha-terra-linda-syrah-750ml-14-i2481656514.html", "https://www.lazada.vn/products/ruou-vang-nhap-khau-vang-do-ruou-vang-tay-ba-nha-terra-linda-syrah-750ml-14-i2481656514.html")</f>
        <v>https://www.lazada.vn/products/ruou-vang-nhap-khau-vang-do-ruou-vang-tay-ba-nha-terra-linda-syrah-750ml-14-i2481656514.html</v>
      </c>
      <c r="C7918" s="10" t="s">
        <v>7918</v>
      </c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>
      <c r="A7919" s="8">
        <v>12773.0</v>
      </c>
      <c r="B7919" s="9" t="str">
        <f>HYPERLINK("https://www.lazada.vn/products/kamizu-nuoc-uong-bo-sung-collagen-vitamin-c-e-loc-6-chai-i2641187519.html", "https://www.lazada.vn/products/kamizu-nuoc-uong-bo-sung-collagen-vitamin-c-e-loc-6-chai-i2641187519.html")</f>
        <v>https://www.lazada.vn/products/kamizu-nuoc-uong-bo-sung-collagen-vitamin-c-e-loc-6-chai-i2641187519.html</v>
      </c>
      <c r="C7919" s="10" t="s">
        <v>7919</v>
      </c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>
      <c r="A7920" s="8">
        <v>12774.0</v>
      </c>
      <c r="B7920" s="9" t="str">
        <f>HYPERLINK("https://www.lazada.vn/products/da-heo-chien-gion-toi-ot-nang-kho-140gr-gion-ngon-dam-vi-i1796460561.html", "https://www.lazada.vn/products/da-heo-chien-gion-toi-ot-nang-kho-140gr-gion-ngon-dam-vi-i1796460561.html")</f>
        <v>https://www.lazada.vn/products/da-heo-chien-gion-toi-ot-nang-kho-140gr-gion-ngon-dam-vi-i1796460561.html</v>
      </c>
      <c r="C7920" s="10" t="s">
        <v>7920</v>
      </c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>
      <c r="A7921" s="8">
        <v>12775.0</v>
      </c>
      <c r="B7921" s="9" t="str">
        <f>HYPERLINK("https://www.lazada.vn/products/nuoc-le-dao-dai-loan-chai-1000ml-ngot-diu-uong-la-nghien-i2688257288.html", "https://www.lazada.vn/products/nuoc-le-dao-dai-loan-chai-1000ml-ngot-diu-uong-la-nghien-i2688257288.html")</f>
        <v>https://www.lazada.vn/products/nuoc-le-dao-dai-loan-chai-1000ml-ngot-diu-uong-la-nghien-i2688257288.html</v>
      </c>
      <c r="C7921" s="10" t="s">
        <v>7921</v>
      </c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>
      <c r="A7922" s="8">
        <v>12776.0</v>
      </c>
      <c r="B7922" s="9" t="str">
        <f>HYPERLINK("https://www.lazada.vn/products/ruou-vang-nhap-khau-vang-do-ruou-vang-y-papias-primitivo-di-manduria-doc-750ml-15-i2481647507.html", "https://www.lazada.vn/products/ruou-vang-nhap-khau-vang-do-ruou-vang-y-papias-primitivo-di-manduria-doc-750ml-15-i2481647507.html")</f>
        <v>https://www.lazada.vn/products/ruou-vang-nhap-khau-vang-do-ruou-vang-y-papias-primitivo-di-manduria-doc-750ml-15-i2481647507.html</v>
      </c>
      <c r="C7922" s="10" t="s">
        <v>7922</v>
      </c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>
      <c r="A7923" s="8">
        <v>12777.0</v>
      </c>
      <c r="B7923" s="9" t="str">
        <f>HYPERLINK("https://www.lazada.vn/products/combo-3-mi-ly-khoai-tay-omachi-xot-bo-ham-ly-70g-x3-i2961041021.html", "https://www.lazada.vn/products/combo-3-mi-ly-khoai-tay-omachi-xot-bo-ham-ly-70g-x3-i2961041021.html")</f>
        <v>https://www.lazada.vn/products/combo-3-mi-ly-khoai-tay-omachi-xot-bo-ham-ly-70g-x3-i2961041021.html</v>
      </c>
      <c r="C7923" s="10" t="s">
        <v>7923</v>
      </c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>
      <c r="A7924" s="8">
        <v>12778.0</v>
      </c>
      <c r="B7924" s="9" t="str">
        <f>HYPERLINK("https://www.lazada.vn/products/mua-2-loc-tang-1-loc-kamizu-nuoc-uong-bo-sung-collagen-vitamin-ce-huong-dau-thanh-mat-i2641174587.html", "https://www.lazada.vn/products/mua-2-loc-tang-1-loc-kamizu-nuoc-uong-bo-sung-collagen-vitamin-ce-huong-dau-thanh-mat-i2641174587.html")</f>
        <v>https://www.lazada.vn/products/mua-2-loc-tang-1-loc-kamizu-nuoc-uong-bo-sung-collagen-vitamin-ce-huong-dau-thanh-mat-i2641174587.html</v>
      </c>
      <c r="C7924" s="10" t="s">
        <v>7924</v>
      </c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>
      <c r="A7925" s="8">
        <v>12779.0</v>
      </c>
      <c r="B7925" s="9" t="str">
        <f>HYPERLINK("https://www.lazada.vn/products/coca-cola-chai-nhom-nap-van-loai-dac-biet-nuoc-coca-chai-nhom-mini-kieu-nap-van-300ml-nhap-khau-nhat-ban-sieu-ngon-i2057630688.html", "https://www.lazada.vn/products/coca-cola-chai-nhom-nap-van-loai-dac-biet-nuoc-coca-chai-nhom-mini-kieu-nap-van-300ml-nhap-khau-nhat-ban-sieu-ngon-i2057630688.html")</f>
        <v>https://www.lazada.vn/products/coca-cola-chai-nhom-nap-van-loai-dac-biet-nuoc-coca-chai-nhom-mini-kieu-nap-van-300ml-nhap-khau-nhat-ban-sieu-ngon-i2057630688.html</v>
      </c>
      <c r="C7925" s="10" t="s">
        <v>7925</v>
      </c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>
      <c r="A7926" s="8">
        <v>12780.0</v>
      </c>
      <c r="B7926" s="9" t="str">
        <f>HYPERLINK("https://www.lazada.vn/products/bong-ngo-bach-ngoc-han-quoc-i2607757355.html", "https://www.lazada.vn/products/bong-ngo-bach-ngoc-han-quoc-i2607757355.html")</f>
        <v>https://www.lazada.vn/products/bong-ngo-bach-ngoc-han-quoc-i2607757355.html</v>
      </c>
      <c r="C7926" s="10" t="s">
        <v>7926</v>
      </c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>
      <c r="A7927" s="8">
        <v>12781.0</v>
      </c>
      <c r="B7927" s="9" t="str">
        <f>HYPERLINK("https://www.lazada.vn/products/freeship-combo-2-goi-lon-400gr-nui-ong-lon-safoco-i2960995088.html", "https://www.lazada.vn/products/freeship-combo-2-goi-lon-400gr-nui-ong-lon-safoco-i2960995088.html")</f>
        <v>https://www.lazada.vn/products/freeship-combo-2-goi-lon-400gr-nui-ong-lon-safoco-i2960995088.html</v>
      </c>
      <c r="C7927" s="10" t="s">
        <v>7927</v>
      </c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>
      <c r="A7928" s="8">
        <v>12782.0</v>
      </c>
      <c r="B7928" s="9" t="str">
        <f>HYPERLINK("https://www.lazada.vn/products/ruou-vang-nhap-khau-vang-do-ruou-vang-phap-raymond-huet-bordeaux-750ml-135-i2481641742.html", "https://www.lazada.vn/products/ruou-vang-nhap-khau-vang-do-ruou-vang-phap-raymond-huet-bordeaux-750ml-135-i2481641742.html")</f>
        <v>https://www.lazada.vn/products/ruou-vang-nhap-khau-vang-do-ruou-vang-phap-raymond-huet-bordeaux-750ml-135-i2481641742.html</v>
      </c>
      <c r="C7928" s="10" t="s">
        <v>7928</v>
      </c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>
      <c r="A7929" s="8">
        <v>12783.0</v>
      </c>
      <c r="B7929" s="9" t="str">
        <f>HYPERLINK("https://www.lazada.vn/products/loc-6-lon-nuoc-xa-xi-chuong-duong-330ml-i2687777188.html", "https://www.lazada.vn/products/loc-6-lon-nuoc-xa-xi-chuong-duong-330ml-i2687777188.html")</f>
        <v>https://www.lazada.vn/products/loc-6-lon-nuoc-xa-xi-chuong-duong-330ml-i2687777188.html</v>
      </c>
      <c r="C7929" s="10" t="s">
        <v>7929</v>
      </c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>
      <c r="A7930" s="8">
        <v>12784.0</v>
      </c>
      <c r="B7930" s="9" t="str">
        <f>HYPERLINK("https://www.lazada.vn/products/kamizu-nuoc-uong-bo-sung-collagen-vitamin-c-e-thung-24-chai-i2641144771.html", "https://www.lazada.vn/products/kamizu-nuoc-uong-bo-sung-collagen-vitamin-c-e-thung-24-chai-i2641144771.html")</f>
        <v>https://www.lazada.vn/products/kamizu-nuoc-uong-bo-sung-collagen-vitamin-c-e-thung-24-chai-i2641144771.html</v>
      </c>
      <c r="C7930" s="10" t="s">
        <v>7930</v>
      </c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>
      <c r="A7931" s="8">
        <v>12785.0</v>
      </c>
      <c r="B7931" s="9" t="str">
        <f>HYPERLINK("https://www.lazada.vn/products/combo-3-mi-ly-khoai-tay-omachi-tom-chua-ca-tha-ly-66g-x3-i2960986416.html", "https://www.lazada.vn/products/combo-3-mi-ly-khoai-tay-omachi-tom-chua-ca-tha-ly-66g-x3-i2960986416.html")</f>
        <v>https://www.lazada.vn/products/combo-3-mi-ly-khoai-tay-omachi-tom-chua-ca-tha-ly-66g-x3-i2960986416.html</v>
      </c>
      <c r="C7931" s="10" t="s">
        <v>7931</v>
      </c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>
      <c r="A7932" s="8">
        <v>12786.0</v>
      </c>
      <c r="B7932" s="9" t="str">
        <f>HYPERLINK("https://www.lazada.vn/products/nuoc-le-dao-dai-loan-chai-1000ml-ngot-diu-uong-la-nghien-i2686179648.html", "https://www.lazada.vn/products/nuoc-le-dao-dai-loan-chai-1000ml-ngot-diu-uong-la-nghien-i2686179648.html")</f>
        <v>https://www.lazada.vn/products/nuoc-le-dao-dai-loan-chai-1000ml-ngot-diu-uong-la-nghien-i2686179648.html</v>
      </c>
      <c r="C7932" s="10" t="s">
        <v>7932</v>
      </c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>
      <c r="A7933" s="8">
        <v>12787.0</v>
      </c>
      <c r="B7933" s="9" t="str">
        <f>HYPERLINK("https://www.lazada.vn/products/ruou-vang-nhap-khau-vang-do-ruou-vang-do-y-zenato-ripassa-valpolicella-superiore-1-14-i2481616775.html", "https://www.lazada.vn/products/ruou-vang-nhap-khau-vang-do-ruou-vang-do-y-zenato-ripassa-valpolicella-superiore-1-14-i2481616775.html")</f>
        <v>https://www.lazada.vn/products/ruou-vang-nhap-khau-vang-do-ruou-vang-do-y-zenato-ripassa-valpolicella-superiore-1-14-i2481616775.html</v>
      </c>
      <c r="C7933" s="10" t="s">
        <v>7933</v>
      </c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>
      <c r="A7934" s="8">
        <v>12788.0</v>
      </c>
      <c r="B7934" s="9" t="str">
        <f>HYPERLINK("https://www.lazada.vn/products/thach-dua-minh-chau-thach-dua-ben-tre-an-lien-thanh-mat-giai-nhiet-goi-500-gam-va-1kg-sai-gon-dac-san-i2640547704.html", "https://www.lazada.vn/products/thach-dua-minh-chau-thach-dua-ben-tre-an-lien-thanh-mat-giai-nhiet-goi-500-gam-va-1kg-sai-gon-dac-san-i2640547704.html")</f>
        <v>https://www.lazada.vn/products/thach-dua-minh-chau-thach-dua-ben-tre-an-lien-thanh-mat-giai-nhiet-goi-500-gam-va-1kg-sai-gon-dac-san-i2640547704.html</v>
      </c>
      <c r="C7934" s="10" t="s">
        <v>7934</v>
      </c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>
      <c r="A7935" s="8">
        <v>12789.0</v>
      </c>
      <c r="B7935" s="9" t="str">
        <f>HYPERLINK("https://www.lazada.vn/products/ruou-vang-nhap-khau-vang-do-ruou-vang-phap-chateau-belles-eaux-carmin-750ml-14-i2481589860.html", "https://www.lazada.vn/products/ruou-vang-nhap-khau-vang-do-ruou-vang-phap-chateau-belles-eaux-carmin-750ml-14-i2481589860.html")</f>
        <v>https://www.lazada.vn/products/ruou-vang-nhap-khau-vang-do-ruou-vang-phap-chateau-belles-eaux-carmin-750ml-14-i2481589860.html</v>
      </c>
      <c r="C7935" s="10" t="s">
        <v>7935</v>
      </c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>
      <c r="A7936" s="8">
        <v>12790.0</v>
      </c>
      <c r="B7936" s="9" t="str">
        <f>HYPERLINK("https://www.lazada.vn/products/mi-snack-baby-star-nhap-khau-nhat-ban-bo-duong-khong-hoa-pham-i2960955140.html", "https://www.lazada.vn/products/mi-snack-baby-star-nhap-khau-nhat-ban-bo-duong-khong-hoa-pham-i2960955140.html")</f>
        <v>https://www.lazada.vn/products/mi-snack-baby-star-nhap-khau-nhat-ban-bo-duong-khong-hoa-pham-i2960955140.html</v>
      </c>
      <c r="C7936" s="10" t="s">
        <v>7936</v>
      </c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>
      <c r="A7937" s="8">
        <v>12791.0</v>
      </c>
      <c r="B7937" s="9" t="str">
        <f>HYPERLINK("https://www.lazada.vn/products/nuoc-nho-nguyen-chat-co-gas-patritti-chai-750ml-i2684891450.html", "https://www.lazada.vn/products/nuoc-nho-nguyen-chat-co-gas-patritti-chai-750ml-i2684891450.html")</f>
        <v>https://www.lazada.vn/products/nuoc-nho-nguyen-chat-co-gas-patritti-chai-750ml-i2684891450.html</v>
      </c>
      <c r="C7937" s="10" t="s">
        <v>7937</v>
      </c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>
      <c r="A7938" s="8">
        <v>12792.0</v>
      </c>
      <c r="B7938" s="9" t="str">
        <f>HYPERLINK("https://www.lazada.vn/products/thung-nuoc-yen-nha-dam-davis-24-chai-450ml-i2636873123.html", "https://www.lazada.vn/products/thung-nuoc-yen-nha-dam-davis-24-chai-450ml-i2636873123.html")</f>
        <v>https://www.lazada.vn/products/thung-nuoc-yen-nha-dam-davis-24-chai-450ml-i2636873123.html</v>
      </c>
      <c r="C7938" s="10" t="s">
        <v>7938</v>
      </c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>
      <c r="A7939" s="8">
        <v>12793.0</v>
      </c>
      <c r="B7939" s="9" t="str">
        <f>HYPERLINK("https://www.lazada.vn/products/ruou-vang-chile-g7-reserva-cabernet-sauvignon-i2481105060.html", "https://www.lazada.vn/products/ruou-vang-chile-g7-reserva-cabernet-sauvignon-i2481105060.html")</f>
        <v>https://www.lazada.vn/products/ruou-vang-chile-g7-reserva-cabernet-sauvignon-i2481105060.html</v>
      </c>
      <c r="C7939" s="10" t="s">
        <v>7939</v>
      </c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>
      <c r="A7940" s="8">
        <v>12794.0</v>
      </c>
      <c r="B7940" s="9" t="str">
        <f>HYPERLINK("https://www.lazada.vn/products/combo-2-mi-to-siukay-tia-chop-vi-hai-san-acecook-to-96gr-i2960941377.html", "https://www.lazada.vn/products/combo-2-mi-to-siukay-tia-chop-vi-hai-san-acecook-to-96gr-i2960941377.html")</f>
        <v>https://www.lazada.vn/products/combo-2-mi-to-siukay-tia-chop-vi-hai-san-acecook-to-96gr-i2960941377.html</v>
      </c>
      <c r="C7940" s="10" t="s">
        <v>7940</v>
      </c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>
      <c r="A7941" s="8">
        <v>12795.0</v>
      </c>
      <c r="B7941" s="9" t="str">
        <f>HYPERLINK("https://www.lazada.vn/products/san-pham-moi-goi-le-kem-uong-thach-dua-mogu-mogu-cac-vi-150ml-i2683380019.html", "https://www.lazada.vn/products/san-pham-moi-goi-le-kem-uong-thach-dua-mogu-mogu-cac-vi-150ml-i2683380019.html")</f>
        <v>https://www.lazada.vn/products/san-pham-moi-goi-le-kem-uong-thach-dua-mogu-mogu-cac-vi-150ml-i2683380019.html</v>
      </c>
      <c r="C7941" s="10" t="s">
        <v>7941</v>
      </c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>
      <c r="A7942" s="8">
        <v>12796.0</v>
      </c>
      <c r="B7942" s="9" t="str">
        <f>HYPERLINK("https://www.lazada.vn/products/me-lao-1-nang-kem-muoi-i2636397534.html", "https://www.lazada.vn/products/me-lao-1-nang-kem-muoi-i2636397534.html")</f>
        <v>https://www.lazada.vn/products/me-lao-1-nang-kem-muoi-i2636397534.html</v>
      </c>
      <c r="C7942" s="10" t="s">
        <v>7942</v>
      </c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>
      <c r="A7943" s="8">
        <v>12797.0</v>
      </c>
      <c r="B7943" s="9" t="str">
        <f>HYPERLINK("https://www.lazada.vn/products/ruou-vang-nhap-khau-vang-do-ruou-vang-phap-mjg-briu-heritage-750ml-15-i2481098019.html", "https://www.lazada.vn/products/ruou-vang-nhap-khau-vang-do-ruou-vang-phap-mjg-briu-heritage-750ml-15-i2481098019.html")</f>
        <v>https://www.lazada.vn/products/ruou-vang-nhap-khau-vang-do-ruou-vang-phap-mjg-briu-heritage-750ml-15-i2481098019.html</v>
      </c>
      <c r="C7943" s="10" t="s">
        <v>7943</v>
      </c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>
      <c r="A7944" s="8">
        <v>12798.0</v>
      </c>
      <c r="B7944" s="9" t="str">
        <f>HYPERLINK("https://www.lazada.vn/products/40-cay-nem-chua-thanh-hoa-vi-thom-thit-sach-ngon-tu-nhien-vua-kho-kien-tuong-i2683179479.html", "https://www.lazada.vn/products/40-cay-nem-chua-thanh-hoa-vi-thom-thit-sach-ngon-tu-nhien-vua-kho-kien-tuong-i2683179479.html")</f>
        <v>https://www.lazada.vn/products/40-cay-nem-chua-thanh-hoa-vi-thom-thit-sach-ngon-tu-nhien-vua-kho-kien-tuong-i2683179479.html</v>
      </c>
      <c r="C7944" s="10" t="s">
        <v>7944</v>
      </c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>
      <c r="A7945" s="8">
        <v>12799.0</v>
      </c>
      <c r="B7945" s="9" t="str">
        <f>HYPERLINK("https://www.lazada.vn/products/combo-3-mi-ly-khoai-tay-omachi-xuc-xich-that-tom-chua-ca-tha-ly-111g-x3-i2960898916.html", "https://www.lazada.vn/products/combo-3-mi-ly-khoai-tay-omachi-xuc-xich-that-tom-chua-ca-tha-ly-111g-x3-i2960898916.html")</f>
        <v>https://www.lazada.vn/products/combo-3-mi-ly-khoai-tay-omachi-xuc-xich-that-tom-chua-ca-tha-ly-111g-x3-i2960898916.html</v>
      </c>
      <c r="C7945" s="10" t="s">
        <v>7945</v>
      </c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>
      <c r="A7946" s="8">
        <v>12800.0</v>
      </c>
      <c r="B7946" s="9" t="str">
        <f>HYPERLINK("https://www.lazada.vn/products/1kg-thach-dua-xuat-khau-vi-trai-cay-i2636345795.html", "https://www.lazada.vn/products/1kg-thach-dua-xuat-khau-vi-trai-cay-i2636345795.html")</f>
        <v>https://www.lazada.vn/products/1kg-thach-dua-xuat-khau-vi-trai-cay-i2636345795.html</v>
      </c>
      <c r="C7946" s="10" t="s">
        <v>7946</v>
      </c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>
      <c r="A7947" s="8">
        <v>12801.0</v>
      </c>
      <c r="B7947" s="9" t="str">
        <f>HYPERLINK("https://www.lazada.vn/products/ruou-vang-nhap-khau-vang-do-ruou-vang-phap-chateau-dauzac-margaux-2016-750ml-145-i2481084346.html", "https://www.lazada.vn/products/ruou-vang-nhap-khau-vang-do-ruou-vang-phap-chateau-dauzac-margaux-2016-750ml-145-i2481084346.html")</f>
        <v>https://www.lazada.vn/products/ruou-vang-nhap-khau-vang-do-ruou-vang-phap-chateau-dauzac-margaux-2016-750ml-145-i2481084346.html</v>
      </c>
      <c r="C7947" s="10" t="s">
        <v>7947</v>
      </c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>
      <c r="A7948" s="8">
        <v>12802.0</v>
      </c>
      <c r="B7948" s="9" t="str">
        <f>HYPERLINK("https://www.lazada.vn/products/bot-pudding-bkb-goi-1kg-lam-pudding-trung-socola-matcha-khoai-mon-i2682803824.html", "https://www.lazada.vn/products/bot-pudding-bkb-goi-1kg-lam-pudding-trung-socola-matcha-khoai-mon-i2682803824.html")</f>
        <v>https://www.lazada.vn/products/bot-pudding-bkb-goi-1kg-lam-pudding-trung-socola-matcha-khoai-mon-i2682803824.html</v>
      </c>
      <c r="C7948" s="10" t="s">
        <v>7948</v>
      </c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>
      <c r="A7949" s="8">
        <v>12803.0</v>
      </c>
      <c r="B7949" s="9" t="str">
        <f>HYPERLINK("https://www.lazada.vn/products/thung-48-hop-sua-kun-trai-cay-huong-nho-180ml-dam-da-thom-ngon-giau-chat-dinh-duong-can-thiet-cho-suc-khoe-moi-lua-tuoi-han-su-dung-luon-moi-i2634684031.html", "https://www.lazada.vn/products/thung-48-hop-sua-kun-trai-cay-huong-nho-180ml-dam-da-thom-ngon-giau-chat-dinh-duong-can-thiet-cho-suc-khoe-moi-lua-tuoi-han-su-dung-luon-moi-i2634684031.html")</f>
        <v>https://www.lazada.vn/products/thung-48-hop-sua-kun-trai-cay-huong-nho-180ml-dam-da-thom-ngon-giau-chat-dinh-duong-can-thiet-cho-suc-khoe-moi-lua-tuoi-han-su-dung-luon-moi-i2634684031.html</v>
      </c>
      <c r="C7949" s="10" t="s">
        <v>7949</v>
      </c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>
      <c r="A7950" s="8">
        <v>12804.0</v>
      </c>
      <c r="B7950" s="9" t="str">
        <f>HYPERLINK("https://www.lazada.vn/products/1-ly-mi-chay-mi-ly-handy-lau-nam-thap-cam-hao-hao-66gr-i2960886134.html", "https://www.lazada.vn/products/1-ly-mi-chay-mi-ly-handy-lau-nam-thap-cam-hao-hao-66gr-i2960886134.html")</f>
        <v>https://www.lazada.vn/products/1-ly-mi-chay-mi-ly-handy-lau-nam-thap-cam-hao-hao-66gr-i2960886134.html</v>
      </c>
      <c r="C7950" s="10" t="s">
        <v>7950</v>
      </c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>
      <c r="A7951" s="8">
        <v>12805.0</v>
      </c>
      <c r="B7951" s="9" t="str">
        <f>HYPERLINK("https://www.lazada.vn/products/ruou-vang-chile-huaso-chileno-i2481084218.html", "https://www.lazada.vn/products/ruou-vang-chile-huaso-chileno-i2481084218.html")</f>
        <v>https://www.lazada.vn/products/ruou-vang-chile-huaso-chileno-i2481084218.html</v>
      </c>
      <c r="C7951" s="10" t="s">
        <v>7951</v>
      </c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>
      <c r="A7952" s="8">
        <v>12806.0</v>
      </c>
      <c r="B7952" s="9" t="str">
        <f>HYPERLINK("https://www.lazada.vn/products/bot-pudding-mole-goi-1kg-lam-pudding-trung-socola-matcha-khoai-mon-i2682788621.html", "https://www.lazada.vn/products/bot-pudding-mole-goi-1kg-lam-pudding-trung-socola-matcha-khoai-mon-i2682788621.html")</f>
        <v>https://www.lazada.vn/products/bot-pudding-mole-goi-1kg-lam-pudding-trung-socola-matcha-khoai-mon-i2682788621.html</v>
      </c>
      <c r="C7952" s="10" t="s">
        <v>7952</v>
      </c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>
      <c r="A7953" s="8">
        <v>12807.0</v>
      </c>
      <c r="B7953" s="9" t="str">
        <f>HYPERLINK("https://www.lazada.vn/products/tra-trung-quoc-achene-tra-thao-moc-cao-cap-garcinia-cambogia-500g-i2634214063.html", "https://www.lazada.vn/products/tra-trung-quoc-achene-tra-thao-moc-cao-cap-garcinia-cambogia-500g-i2634214063.html")</f>
        <v>https://www.lazada.vn/products/tra-trung-quoc-achene-tra-thao-moc-cao-cap-garcinia-cambogia-500g-i2634214063.html</v>
      </c>
      <c r="C7953" s="10" t="s">
        <v>7953</v>
      </c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>
      <c r="A7954" s="8">
        <v>12808.0</v>
      </c>
      <c r="B7954" s="9" t="str">
        <f>HYPERLINK("https://www.lazada.vn/products/acecook-thung-24-mi-ly-modern-lau-tha-tom-65gr-i2960879378.html", "https://www.lazada.vn/products/acecook-thung-24-mi-ly-modern-lau-tha-tom-65gr-i2960879378.html")</f>
        <v>https://www.lazada.vn/products/acecook-thung-24-mi-ly-modern-lau-tha-tom-65gr-i2960879378.html</v>
      </c>
      <c r="C7954" s="10" t="s">
        <v>7954</v>
      </c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>
      <c r="A7955" s="8">
        <v>12809.0</v>
      </c>
      <c r="B7955" s="9" t="str">
        <f>HYPERLINK("https://www.lazada.vn/products/ruou-vang-nhap-khau-champagne-ruou-vang-phap-arthur-metz-cremant-dalsace-perle-alsace-750ml-125-i2481082262.html", "https://www.lazada.vn/products/ruou-vang-nhap-khau-champagne-ruou-vang-phap-arthur-metz-cremant-dalsace-perle-alsace-750ml-125-i2481082262.html")</f>
        <v>https://www.lazada.vn/products/ruou-vang-nhap-khau-champagne-ruou-vang-phap-arthur-metz-cremant-dalsace-perle-alsace-750ml-125-i2481082262.html</v>
      </c>
      <c r="C7955" s="10" t="s">
        <v>7955</v>
      </c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>
      <c r="A7956" s="8">
        <v>12810.0</v>
      </c>
      <c r="B7956" s="9" t="str">
        <f>HYPERLINK("https://www.lazada.vn/products/nuoc-cot-dua-thai-lan-ampawa-400ml-i2681361465.html", "https://www.lazada.vn/products/nuoc-cot-dua-thai-lan-ampawa-400ml-i2681361465.html")</f>
        <v>https://www.lazada.vn/products/nuoc-cot-dua-thai-lan-ampawa-400ml-i2681361465.html</v>
      </c>
      <c r="C7956" s="10" t="s">
        <v>7956</v>
      </c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>
      <c r="A7957" s="8">
        <v>12811.0</v>
      </c>
      <c r="B7957" s="9" t="str">
        <f>HYPERLINK("https://www.lazada.vn/products/tra-dong-trung-ha-thao-7-vi-hang-viet-nam-chinh-hang-i2632421040.html", "https://www.lazada.vn/products/tra-dong-trung-ha-thao-7-vi-hang-viet-nam-chinh-hang-i2632421040.html")</f>
        <v>https://www.lazada.vn/products/tra-dong-trung-ha-thao-7-vi-hang-viet-nam-chinh-hang-i2632421040.html</v>
      </c>
      <c r="C7957" s="10" t="s">
        <v>7957</v>
      </c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>
      <c r="A7958" s="8">
        <v>12812.0</v>
      </c>
      <c r="B7958" s="9" t="str">
        <f>HYPERLINK("https://www.lazada.vn/products/ruou-vang-nhap-khau-vang-do-ruou-vang-phap-cruse-1819-medoc-750ml-13-i2481076242.html", "https://www.lazada.vn/products/ruou-vang-nhap-khau-vang-do-ruou-vang-phap-cruse-1819-medoc-750ml-13-i2481076242.html")</f>
        <v>https://www.lazada.vn/products/ruou-vang-nhap-khau-vang-do-ruou-vang-phap-cruse-1819-medoc-750ml-13-i2481076242.html</v>
      </c>
      <c r="C7958" s="10" t="s">
        <v>7958</v>
      </c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>
      <c r="A7959" s="8">
        <v>12813.0</v>
      </c>
      <c r="B7959" s="9" t="str">
        <f>HYPERLINK("https://www.lazada.vn/products/combo-3-mi-ly-khoai-tay-omachi-xuc-xich-that-xot-bo-ham-ly-114g-x3-i2960858282.html", "https://www.lazada.vn/products/combo-3-mi-ly-khoai-tay-omachi-xuc-xich-that-xot-bo-ham-ly-114g-x3-i2960858282.html")</f>
        <v>https://www.lazada.vn/products/combo-3-mi-ly-khoai-tay-omachi-xuc-xich-that-xot-bo-ham-ly-114g-x3-i2960858282.html</v>
      </c>
      <c r="C7959" s="10" t="s">
        <v>7959</v>
      </c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>
      <c r="A7960" s="8">
        <v>12814.0</v>
      </c>
      <c r="B7960" s="9" t="str">
        <f>HYPERLINK("https://www.lazada.vn/products/nuoc-ep-cam-nho-dua-sunny-ten-15lit-nhap-khau-han-quoc-i2679032370.html", "https://www.lazada.vn/products/nuoc-ep-cam-nho-dua-sunny-ten-15lit-nhap-khau-han-quoc-i2679032370.html")</f>
        <v>https://www.lazada.vn/products/nuoc-ep-cam-nho-dua-sunny-ten-15lit-nhap-khau-han-quoc-i2679032370.html</v>
      </c>
      <c r="C7960" s="10" t="s">
        <v>7960</v>
      </c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>
      <c r="A7961" s="8">
        <v>12815.0</v>
      </c>
      <c r="B7961" s="9" t="str">
        <f>HYPERLINK("https://www.lazada.vn/products/combo-20-lo-nuoc-giam-say-tau-xe-han-quoc-date-xa-i2631990040.html", "https://www.lazada.vn/products/combo-20-lo-nuoc-giam-say-tau-xe-han-quoc-date-xa-i2631990040.html")</f>
        <v>https://www.lazada.vn/products/combo-20-lo-nuoc-giam-say-tau-xe-han-quoc-date-xa-i2631990040.html</v>
      </c>
      <c r="C7961" s="10" t="s">
        <v>7961</v>
      </c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>
      <c r="A7962" s="8">
        <v>12816.0</v>
      </c>
      <c r="B7962" s="9" t="str">
        <f>HYPERLINK("https://www.lazada.vn/products/ruou-vang-nhap-khau-vang-huu-co-ruou-vang-phap-chateau-la-croix-cuvee-tradition-750ml-145-i2481065123.html", "https://www.lazada.vn/products/ruou-vang-nhap-khau-vang-huu-co-ruou-vang-phap-chateau-la-croix-cuvee-tradition-750ml-145-i2481065123.html")</f>
        <v>https://www.lazada.vn/products/ruou-vang-nhap-khau-vang-huu-co-ruou-vang-phap-chateau-la-croix-cuvee-tradition-750ml-145-i2481065123.html</v>
      </c>
      <c r="C7962" s="10" t="s">
        <v>7962</v>
      </c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>
      <c r="A7963" s="8">
        <v>12817.0</v>
      </c>
      <c r="B7963" s="9" t="str">
        <f>HYPERLINK("https://www.lazada.vn/products/nui-ong-lon-safoco-goi-lon-400g-i2960850286.html", "https://www.lazada.vn/products/nui-ong-lon-safoco-goi-lon-400g-i2960850286.html")</f>
        <v>https://www.lazada.vn/products/nui-ong-lon-safoco-goi-lon-400g-i2960850286.html</v>
      </c>
      <c r="C7963" s="10" t="s">
        <v>7963</v>
      </c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>
      <c r="A7964" s="8">
        <v>12818.0</v>
      </c>
      <c r="B7964" s="9" t="str">
        <f>HYPERLINK("https://www.lazada.vn/products/chanh-vang-my-nhap-khau-500g-i2677586691.html", "https://www.lazada.vn/products/chanh-vang-my-nhap-khau-500g-i2677586691.html")</f>
        <v>https://www.lazada.vn/products/chanh-vang-my-nhap-khau-500g-i2677586691.html</v>
      </c>
      <c r="C7964" s="10" t="s">
        <v>7964</v>
      </c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>
      <c r="A7965" s="8">
        <v>12819.0</v>
      </c>
      <c r="B7965" s="9" t="str">
        <f>HYPERLINK("https://www.lazada.vn/products/mu-trom-ninh-thuan-dang-vien-1kg2-phan-loai-de-dang-lua-chon-thuc-uong-thanh-mat-giai-nhiet-tot-cho-suc-khoe-an-tam-mua-sam-tai-omnimall-i2631032044.html", "https://www.lazada.vn/products/mu-trom-ninh-thuan-dang-vien-1kg2-phan-loai-de-dang-lua-chon-thuc-uong-thanh-mat-giai-nhiet-tot-cho-suc-khoe-an-tam-mua-sam-tai-omnimall-i2631032044.html")</f>
        <v>https://www.lazada.vn/products/mu-trom-ninh-thuan-dang-vien-1kg2-phan-loai-de-dang-lua-chon-thuc-uong-thanh-mat-giai-nhiet-tot-cho-suc-khoe-an-tam-mua-sam-tai-omnimall-i2631032044.html</v>
      </c>
      <c r="C7965" s="10" t="s">
        <v>7965</v>
      </c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>
      <c r="A7966" s="8">
        <v>12820.0</v>
      </c>
      <c r="B7966" s="9" t="str">
        <f>HYPERLINK("https://www.lazada.vn/products/acecook-combo-6-mi-ly-modern-vi-lau-tha-tom-65gr-i2960819379.html", "https://www.lazada.vn/products/acecook-combo-6-mi-ly-modern-vi-lau-tha-tom-65gr-i2960819379.html")</f>
        <v>https://www.lazada.vn/products/acecook-combo-6-mi-ly-modern-vi-lau-tha-tom-65gr-i2960819379.html</v>
      </c>
      <c r="C7966" s="10" t="s">
        <v>7966</v>
      </c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>
      <c r="A7967" s="8">
        <v>12821.0</v>
      </c>
      <c r="B7967" s="9" t="str">
        <f>HYPERLINK("https://www.lazada.vn/products/ruou-vang-chile-cantagua-cabernet-sauvignon-i2481050252.html", "https://www.lazada.vn/products/ruou-vang-chile-cantagua-cabernet-sauvignon-i2481050252.html")</f>
        <v>https://www.lazada.vn/products/ruou-vang-chile-cantagua-cabernet-sauvignon-i2481050252.html</v>
      </c>
      <c r="C7967" s="10" t="s">
        <v>7967</v>
      </c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>
      <c r="A7968" s="8">
        <v>12822.0</v>
      </c>
      <c r="B7968" s="9" t="str">
        <f>HYPERLINK("https://www.lazada.vn/products/nuoc-ep-viet-quat-nguyen-chat-ho-tro-suc-khoe-bickfords-1-lit-hang-uc-nhap-khau-i2677374096.html", "https://www.lazada.vn/products/nuoc-ep-viet-quat-nguyen-chat-ho-tro-suc-khoe-bickfords-1-lit-hang-uc-nhap-khau-i2677374096.html")</f>
        <v>https://www.lazada.vn/products/nuoc-ep-viet-quat-nguyen-chat-ho-tro-suc-khoe-bickfords-1-lit-hang-uc-nhap-khau-i2677374096.html</v>
      </c>
      <c r="C7968" s="10" t="s">
        <v>7968</v>
      </c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>
      <c r="A7969" s="8">
        <v>12823.0</v>
      </c>
      <c r="B7969" s="9" t="str">
        <f>HYPERLINK("https://www.lazada.vn/products/ruou-vang-nhap-khau-vang-do-ruou-vang-y-816-primitivo-di-manduria-750ml-145-i2481032344.html", "https://www.lazada.vn/products/ruou-vang-nhap-khau-vang-do-ruou-vang-y-816-primitivo-di-manduria-750ml-145-i2481032344.html")</f>
        <v>https://www.lazada.vn/products/ruou-vang-nhap-khau-vang-do-ruou-vang-y-816-primitivo-di-manduria-750ml-145-i2481032344.html</v>
      </c>
      <c r="C7969" s="10" t="s">
        <v>7969</v>
      </c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>
      <c r="A7970" s="8">
        <v>12824.0</v>
      </c>
      <c r="B7970" s="9" t="str">
        <f>HYPERLINK("https://www.lazada.vn/products/combo-3-mi-ly-cung-dinh-lau-tom-bo-ham-mix-3-vi-mi-soi-khoai-tay-trung-65gr-i2960742983.html", "https://www.lazada.vn/products/combo-3-mi-ly-cung-dinh-lau-tom-bo-ham-mix-3-vi-mi-soi-khoai-tay-trung-65gr-i2960742983.html")</f>
        <v>https://www.lazada.vn/products/combo-3-mi-ly-cung-dinh-lau-tom-bo-ham-mix-3-vi-mi-soi-khoai-tay-trung-65gr-i2960742983.html</v>
      </c>
      <c r="C7970" s="10" t="s">
        <v>7970</v>
      </c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>
      <c r="A7971" s="8">
        <v>12825.0</v>
      </c>
      <c r="B7971" s="9" t="str">
        <f>HYPERLINK("https://www.lazada.vn/products/nuoc-ep-luu-do-nguyen-chat-ho-tro-lam-cham-qua-trinh-lao-hoa-bickfords-1-lit-hang-uc-nhap-khau-i2677360070.html", "https://www.lazada.vn/products/nuoc-ep-luu-do-nguyen-chat-ho-tro-lam-cham-qua-trinh-lao-hoa-bickfords-1-lit-hang-uc-nhap-khau-i2677360070.html")</f>
        <v>https://www.lazada.vn/products/nuoc-ep-luu-do-nguyen-chat-ho-tro-lam-cham-qua-trinh-lao-hoa-bickfords-1-lit-hang-uc-nhap-khau-i2677360070.html</v>
      </c>
      <c r="C7971" s="10" t="s">
        <v>7971</v>
      </c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>
      <c r="A7972" s="8">
        <v>12826.0</v>
      </c>
      <c r="B7972" s="9" t="str">
        <f>HYPERLINK("https://www.lazada.vn/products/ruou-vang-nhap-khau-vang-no-ruou-vang-y-bepin-de-eto-docgs-extra-dry-750ml-115-i2481015480.html", "https://www.lazada.vn/products/ruou-vang-nhap-khau-vang-no-ruou-vang-y-bepin-de-eto-docgs-extra-dry-750ml-115-i2481015480.html")</f>
        <v>https://www.lazada.vn/products/ruou-vang-nhap-khau-vang-no-ruou-vang-y-bepin-de-eto-docgs-extra-dry-750ml-115-i2481015480.html</v>
      </c>
      <c r="C7972" s="10" t="s">
        <v>7972</v>
      </c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>
      <c r="A7973" s="8">
        <v>12827.0</v>
      </c>
      <c r="B7973" s="9" t="str">
        <f>HYPERLINK("https://www.lazada.vn/products/to-nho-mai-mai-mi-vi-lau-tha-tom-pho-bo-hu-tieu-nam-vang-mien-suon-heo-84gr-i2960721370.html", "https://www.lazada.vn/products/to-nho-mai-mai-mi-vi-lau-tha-tom-pho-bo-hu-tieu-nam-vang-mien-suon-heo-84gr-i2960721370.html")</f>
        <v>https://www.lazada.vn/products/to-nho-mai-mai-mi-vi-lau-tha-tom-pho-bo-hu-tieu-nam-vang-mien-suon-heo-84gr-i2960721370.html</v>
      </c>
      <c r="C7973" s="10" t="s">
        <v>7973</v>
      </c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>
      <c r="A7974" s="8">
        <v>12828.0</v>
      </c>
      <c r="B7974" s="9" t="str">
        <f>HYPERLINK("https://www.lazada.vn/products/ruou-vang-nhap-khau-vang-do-ruou-vang-phap-chateau-lauriga-hommage-giorgio-grai-2018-750ml-135-i2480996708.html", "https://www.lazada.vn/products/ruou-vang-nhap-khau-vang-do-ruou-vang-phap-chateau-lauriga-hommage-giorgio-grai-2018-750ml-135-i2480996708.html")</f>
        <v>https://www.lazada.vn/products/ruou-vang-nhap-khau-vang-do-ruou-vang-phap-chateau-lauriga-hommage-giorgio-grai-2018-750ml-135-i2480996708.html</v>
      </c>
      <c r="C7974" s="10" t="s">
        <v>7974</v>
      </c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>
      <c r="A7975" s="8">
        <v>12829.0</v>
      </c>
      <c r="B7975" s="9" t="str">
        <f>HYPERLINK("https://www.lazada.vn/products/nuoc-ep-cherry-nguyen-chat-ho-tro-kiem-soat-can-nang-bickfords-1-lit-hang-uc-nhap-khau-i2677347133.html", "https://www.lazada.vn/products/nuoc-ep-cherry-nguyen-chat-ho-tro-kiem-soat-can-nang-bickfords-1-lit-hang-uc-nhap-khau-i2677347133.html")</f>
        <v>https://www.lazada.vn/products/nuoc-ep-cherry-nguyen-chat-ho-tro-kiem-soat-can-nang-bickfords-1-lit-hang-uc-nhap-khau-i2677347133.html</v>
      </c>
      <c r="C7975" s="10" t="s">
        <v>7975</v>
      </c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>
      <c r="A7976" s="8">
        <v>12830.0</v>
      </c>
      <c r="B7976" s="9" t="str">
        <f>HYPERLINK("https://www.lazada.vn/products/mi-ly-khoai-tay-omachi-tom-chua-ca-xot-bo-ham-ly-66g-i2960281639.html", "https://www.lazada.vn/products/mi-ly-khoai-tay-omachi-tom-chua-ca-xot-bo-ham-ly-66g-i2960281639.html")</f>
        <v>https://www.lazada.vn/products/mi-ly-khoai-tay-omachi-tom-chua-ca-xot-bo-ham-ly-66g-i2960281639.html</v>
      </c>
      <c r="C7976" s="10" t="s">
        <v>7976</v>
      </c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>
      <c r="A7977" s="8">
        <v>12831.0</v>
      </c>
      <c r="B7977" s="9" t="str">
        <f>HYPERLINK("https://www.lazada.vn/products/ruou-vang-do-chile-iris-syrah-reserva-2021-i2480990583.html", "https://www.lazada.vn/products/ruou-vang-do-chile-iris-syrah-reserva-2021-i2480990583.html")</f>
        <v>https://www.lazada.vn/products/ruou-vang-do-chile-iris-syrah-reserva-2021-i2480990583.html</v>
      </c>
      <c r="C7977" s="10" t="s">
        <v>7977</v>
      </c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>
      <c r="A7978" s="8">
        <v>12832.0</v>
      </c>
      <c r="B7978" s="9" t="str">
        <f>HYPERLINK("https://www.lazada.vn/products/nuoc-trai-cay-welchs-han-quoc-355ml-soda-i2677158728.html", "https://www.lazada.vn/products/nuoc-trai-cay-welchs-han-quoc-355ml-soda-i2677158728.html")</f>
        <v>https://www.lazada.vn/products/nuoc-trai-cay-welchs-han-quoc-355ml-soda-i2677158728.html</v>
      </c>
      <c r="C7978" s="10" t="s">
        <v>7978</v>
      </c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>
      <c r="A7979" s="8">
        <v>12833.0</v>
      </c>
      <c r="B7979" s="9" t="str">
        <f>HYPERLINK("https://www.lazada.vn/products/combo-5-banh-mi-teppanyaki-phu-cha-bong-luck-family-b133-beegin-food-store-i2589725286.html", "https://www.lazada.vn/products/combo-5-banh-mi-teppanyaki-phu-cha-bong-luck-family-b133-beegin-food-store-i2589725286.html")</f>
        <v>https://www.lazada.vn/products/combo-5-banh-mi-teppanyaki-phu-cha-bong-luck-family-b133-beegin-food-store-i2589725286.html</v>
      </c>
      <c r="C7979" s="10" t="s">
        <v>7979</v>
      </c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>
      <c r="A7980" s="8">
        <v>12834.0</v>
      </c>
      <c r="B7980" s="9" t="str">
        <f>HYPERLINK("https://www.lazada.vn/products/500g-thach-zai-zai-plus-tra-sua-tran-chau-thach-zai-thanh-dai-chuan-duc-hanh-i2063958282.html", "https://www.lazada.vn/products/500g-thach-zai-zai-plus-tra-sua-tran-chau-thach-zai-thanh-dai-chuan-duc-hanh-i2063958282.html")</f>
        <v>https://www.lazada.vn/products/500g-thach-zai-zai-plus-tra-sua-tran-chau-thach-zai-thanh-dai-chuan-duc-hanh-i2063958282.html</v>
      </c>
      <c r="C7980" s="10" t="s">
        <v>7980</v>
      </c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>
      <c r="A7981" s="8">
        <v>12835.0</v>
      </c>
      <c r="B7981" s="9" t="str">
        <f>HYPERLINK("https://www.lazada.vn/products/mam-tom-pha-san-nha-lam-dam-da-thom-ngon-1-chai-370g-ngoc-hien-foody-i1742615309.html", "https://www.lazada.vn/products/mam-tom-pha-san-nha-lam-dam-da-thom-ngon-1-chai-370g-ngoc-hien-foody-i1742615309.html")</f>
        <v>https://www.lazada.vn/products/mam-tom-pha-san-nha-lam-dam-da-thom-ngon-1-chai-370g-ngoc-hien-foody-i1742615309.html</v>
      </c>
      <c r="C7981" s="10" t="s">
        <v>7981</v>
      </c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>
      <c r="A7982" s="8">
        <v>12836.0</v>
      </c>
      <c r="B7982" s="9" t="str">
        <f>HYPERLINK("https://www.lazada.vn/products/thung-ruou-go-soi-50-lit-thung-go-soi-ngam-ruou-cao-cap-go-soi-nga-nhap-khau-i2451194139.html", "https://www.lazada.vn/products/thung-ruou-go-soi-50-lit-thung-go-soi-ngam-ruou-cao-cap-go-soi-nga-nhap-khau-i2451194139.html")</f>
        <v>https://www.lazada.vn/products/thung-ruou-go-soi-50-lit-thung-go-soi-ngam-ruou-cao-cap-go-soi-nga-nhap-khau-i2451194139.html</v>
      </c>
      <c r="C7982" s="10" t="s">
        <v>7982</v>
      </c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>
      <c r="A7983" s="8">
        <v>12837.0</v>
      </c>
      <c r="B7983" s="9" t="str">
        <f>HYPERLINK("https://www.lazada.vn/products/ca-phe-trung-nguyen-legend-ca-phe-hoa-tan-g7-3in1-bich-100-sticks-x-16gr-goi-dai-i2655995475.html", "https://www.lazada.vn/products/ca-phe-trung-nguyen-legend-ca-phe-hoa-tan-g7-3in1-bich-100-sticks-x-16gr-goi-dai-i2655995475.html")</f>
        <v>https://www.lazada.vn/products/ca-phe-trung-nguyen-legend-ca-phe-hoa-tan-g7-3in1-bich-100-sticks-x-16gr-goi-dai-i2655995475.html</v>
      </c>
      <c r="C7983" s="10" t="s">
        <v>7983</v>
      </c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>
      <c r="A7984" s="8">
        <v>12838.0</v>
      </c>
      <c r="B7984" s="9" t="str">
        <f>HYPERLINK("https://www.lazada.vn/products/bia-becks-ice-thung-24-lon-330ml-kho-hang-ha-noi-i1105570426.html", "https://www.lazada.vn/products/bia-becks-ice-thung-24-lon-330ml-kho-hang-ha-noi-i1105570426.html")</f>
        <v>https://www.lazada.vn/products/bia-becks-ice-thung-24-lon-330ml-kho-hang-ha-noi-i1105570426.html</v>
      </c>
      <c r="C7984" s="10" t="s">
        <v>7984</v>
      </c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>
      <c r="A7985" s="8">
        <v>12839.0</v>
      </c>
      <c r="B7985" s="9" t="str">
        <f>HYPERLINK("https://www.lazada.vn/products/keo-socola-hanh-nhan-krokant-goi-500g-date-moi-i2881524386.html", "https://www.lazada.vn/products/keo-socola-hanh-nhan-krokant-goi-500g-date-moi-i2881524386.html")</f>
        <v>https://www.lazada.vn/products/keo-socola-hanh-nhan-krokant-goi-500g-date-moi-i2881524386.html</v>
      </c>
      <c r="C7985" s="10" t="s">
        <v>7985</v>
      </c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>
      <c r="A7986" s="8">
        <v>12840.0</v>
      </c>
      <c r="B7986" s="9" t="str">
        <f>HYPERLINK("https://www.lazada.vn/products/combo-3-banh-gao-nuong-orion-an-vung-1152g-i2841635163.html", "https://www.lazada.vn/products/combo-3-banh-gao-nuong-orion-an-vung-1152g-i2841635163.html")</f>
        <v>https://www.lazada.vn/products/combo-3-banh-gao-nuong-orion-an-vung-1152g-i2841635163.html</v>
      </c>
      <c r="C7986" s="10" t="s">
        <v>7986</v>
      </c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>
      <c r="A7987" s="8">
        <v>12841.0</v>
      </c>
      <c r="B7987" s="9" t="str">
        <f>HYPERLINK("https://www.lazada.vn/products/combo-2-thung-24-lon-pepsi-khong-calo-320mllon-i2051041101.html", "https://www.lazada.vn/products/combo-2-thung-24-lon-pepsi-khong-calo-320mllon-i2051041101.html")</f>
        <v>https://www.lazada.vn/products/combo-2-thung-24-lon-pepsi-khong-calo-320mllon-i2051041101.html</v>
      </c>
      <c r="C7987" s="10" t="s">
        <v>7987</v>
      </c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>
      <c r="A7988" s="8">
        <v>12842.0</v>
      </c>
      <c r="B7988" s="9" t="str">
        <f>HYPERLINK("https://www.lazada.vn/products/set-bap-rang-bo-2-trong-1-500gr-ngo-250gr-bo-i2586736792.html", "https://www.lazada.vn/products/set-bap-rang-bo-2-trong-1-500gr-ngo-250gr-bo-i2586736792.html")</f>
        <v>https://www.lazada.vn/products/set-bap-rang-bo-2-trong-1-500gr-ngo-250gr-bo-i2586736792.html</v>
      </c>
      <c r="C7988" s="10" t="s">
        <v>7988</v>
      </c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>
      <c r="A7989" s="8">
        <v>12843.0</v>
      </c>
      <c r="B7989" s="9" t="str">
        <f>HYPERLINK("https://www.lazada.vn/products/bao-tu-ca-ngu-dai-duong-khay-1kg-giao-tphcm-i2988139619.html", "https://www.lazada.vn/products/bao-tu-ca-ngu-dai-duong-khay-1kg-giao-tphcm-i2988139619.html")</f>
        <v>https://www.lazada.vn/products/bao-tu-ca-ngu-dai-duong-khay-1kg-giao-tphcm-i2988139619.html</v>
      </c>
      <c r="C7989" s="10" t="s">
        <v>7989</v>
      </c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>
      <c r="A7990" s="8">
        <v>12844.0</v>
      </c>
      <c r="B7990" s="9" t="str">
        <f>HYPERLINK("https://www.lazada.vn/products/10-chai-nuoc-tang-luc-han-quoc-bacchus-100ml-i2046595432.html", "https://www.lazada.vn/products/10-chai-nuoc-tang-luc-han-quoc-bacchus-100ml-i2046595432.html")</f>
        <v>https://www.lazada.vn/products/10-chai-nuoc-tang-luc-han-quoc-bacchus-100ml-i2046595432.html</v>
      </c>
      <c r="C7990" s="10" t="s">
        <v>7990</v>
      </c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>
      <c r="A7991" s="8">
        <v>12845.0</v>
      </c>
      <c r="B7991" s="9" t="str">
        <f>HYPERLINK("https://www.lazada.vn/products/mau-moi-to-nho-mai-mai-mi-vi-lau-tha-tom-84gr-i2960233974.html", "https://www.lazada.vn/products/mau-moi-to-nho-mai-mai-mi-vi-lau-tha-tom-84gr-i2960233974.html")</f>
        <v>https://www.lazada.vn/products/mau-moi-to-nho-mai-mai-mi-vi-lau-tha-tom-84gr-i2960233974.html</v>
      </c>
      <c r="C7991" s="10" t="s">
        <v>7991</v>
      </c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>
      <c r="A7992" s="8">
        <v>12846.0</v>
      </c>
      <c r="B7992" s="9" t="str">
        <f>HYPERLINK("https://www.lazada.vn/products/500g-thach-zai-zai-plus-tra-sua-tran-chau-thach-zai-thanh-dai-chuan-duc-hanh-do-an-vat-i2063902443.html", "https://www.lazada.vn/products/500g-thach-zai-zai-plus-tra-sua-tran-chau-thach-zai-thanh-dai-chuan-duc-hanh-do-an-vat-i2063902443.html")</f>
        <v>https://www.lazada.vn/products/500g-thach-zai-zai-plus-tra-sua-tran-chau-thach-zai-thanh-dai-chuan-duc-hanh-do-an-vat-i2063902443.html</v>
      </c>
      <c r="C7992" s="10" t="s">
        <v>7992</v>
      </c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>
      <c r="A7993" s="8">
        <v>12847.0</v>
      </c>
      <c r="B7993" s="9" t="str">
        <f>HYPERLINK("https://www.lazada.vn/products/xuc-xich-duc-hieu-meica-truemans-hot-dog-540g-6-stuck-i1742055741.html", "https://www.lazada.vn/products/xuc-xich-duc-hieu-meica-truemans-hot-dog-540g-6-stuck-i1742055741.html")</f>
        <v>https://www.lazada.vn/products/xuc-xich-duc-hieu-meica-truemans-hot-dog-540g-6-stuck-i1742055741.html</v>
      </c>
      <c r="C7993" s="10" t="s">
        <v>7993</v>
      </c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>
      <c r="A7994" s="8">
        <v>12848.0</v>
      </c>
      <c r="B7994" s="9" t="str">
        <f>HYPERLINK("https://www.lazada.vn/products/nui-y-ong-34-pasta-reggia-500g-i2955425376.html", "https://www.lazada.vn/products/nui-y-ong-34-pasta-reggia-500g-i2955425376.html")</f>
        <v>https://www.lazada.vn/products/nui-y-ong-34-pasta-reggia-500g-i2955425376.html</v>
      </c>
      <c r="C7994" s="10" t="s">
        <v>7994</v>
      </c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>
      <c r="A7995" s="8">
        <v>12849.0</v>
      </c>
      <c r="B7995" s="9" t="str">
        <f>HYPERLINK("https://www.lazada.vn/products/mi-den-i2952815234.html", "https://www.lazada.vn/products/mi-den-i2952815234.html")</f>
        <v>https://www.lazada.vn/products/mi-den-i2952815234.html</v>
      </c>
      <c r="C7995" s="10" t="s">
        <v>7995</v>
      </c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>
      <c r="A7996" s="8">
        <v>12850.0</v>
      </c>
      <c r="B7996" s="9" t="str">
        <f>HYPERLINK("https://www.lazada.vn/products/banh-mi-cho-meo-good-master-cat-lick-sauce-snack-nourishing-weight-gain-for-kittens-and-adult-cats-wet-food-10-sticks-pet-supplies-i2949775648.html", "https://www.lazada.vn/products/banh-mi-cho-meo-good-master-cat-lick-sauce-snack-nourishing-weight-gain-for-kittens-and-adult-cats-wet-food-10-sticks-pet-supplies-i2949775648.html")</f>
        <v>https://www.lazada.vn/products/banh-mi-cho-meo-good-master-cat-lick-sauce-snack-nourishing-weight-gain-for-kittens-and-adult-cats-wet-food-10-sticks-pet-supplies-i2949775648.html</v>
      </c>
      <c r="C7996" s="10" t="s">
        <v>7996</v>
      </c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>
      <c r="A7997" s="8">
        <v>12851.0</v>
      </c>
      <c r="B7997" s="9" t="str">
        <f>HYPERLINK("https://www.lazada.vn/products/gia-vi-haidilao-mien-hop-vi-ca-chua-vi-chua-cay-127g-i2947121031.html", "https://www.lazada.vn/products/gia-vi-haidilao-mien-hop-vi-ca-chua-vi-chua-cay-127g-i2947121031.html")</f>
        <v>https://www.lazada.vn/products/gia-vi-haidilao-mien-hop-vi-ca-chua-vi-chua-cay-127g-i2947121031.html</v>
      </c>
      <c r="C7997" s="10" t="s">
        <v>7997</v>
      </c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>
      <c r="A7998" s="8">
        <v>12852.0</v>
      </c>
      <c r="B7998" s="9" t="str">
        <f>HYPERLINK("https://www.lazada.vn/products/mi-mama-thai-lan-bich-10-goi-vi-tomyum-i2944362992.html", "https://www.lazada.vn/products/mi-mama-thai-lan-bich-10-goi-vi-tomyum-i2944362992.html")</f>
        <v>https://www.lazada.vn/products/mi-mama-thai-lan-bich-10-goi-vi-tomyum-i2944362992.html</v>
      </c>
      <c r="C7998" s="10" t="s">
        <v>7998</v>
      </c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>
      <c r="A7999" s="8">
        <v>12853.0</v>
      </c>
      <c r="B7999" s="9" t="str">
        <f>HYPERLINK("https://www.lazada.vn/products/saigon-si-thung-40-goi-mi-tron-indo-chinh-hang-date-moi-i2940265117.html", "https://www.lazada.vn/products/saigon-si-thung-40-goi-mi-tron-indo-chinh-hang-date-moi-i2940265117.html")</f>
        <v>https://www.lazada.vn/products/saigon-si-thung-40-goi-mi-tron-indo-chinh-hang-date-moi-i2940265117.html</v>
      </c>
      <c r="C7999" s="10" t="s">
        <v>7999</v>
      </c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>
      <c r="A8000" s="8">
        <v>12854.0</v>
      </c>
      <c r="B8000" s="9" t="str">
        <f>HYPERLINK("https://www.lazada.vn/products/mi-mug-nissin-udon-i2938167650.html", "https://www.lazada.vn/products/mi-mug-nissin-udon-i2938167650.html")</f>
        <v>https://www.lazada.vn/products/mi-mug-nissin-udon-i2938167650.html</v>
      </c>
      <c r="C8000" s="10" t="s">
        <v>8000</v>
      </c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>
      <c r="A8001" s="8">
        <v>12855.0</v>
      </c>
      <c r="B8001" s="9" t="str">
        <f>HYPERLINK("https://www.lazada.vn/products/pho-tron-cay-tu-xuyen-an-lien-gudasao-nhieu-vi-i2935995480.html", "https://www.lazada.vn/products/pho-tron-cay-tu-xuyen-an-lien-gudasao-nhieu-vi-i2935995480.html")</f>
        <v>https://www.lazada.vn/products/pho-tron-cay-tu-xuyen-an-lien-gudasao-nhieu-vi-i2935995480.html</v>
      </c>
      <c r="C8001" s="10" t="s">
        <v>8001</v>
      </c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>
      <c r="A8002" s="8">
        <v>12856.0</v>
      </c>
      <c r="B8002" s="9" t="str">
        <f>HYPERLINK("https://www.lazada.vn/products/ruou-vang-chile-antai-cabernet-sauvignon-i2480989457.html", "https://www.lazada.vn/products/ruou-vang-chile-antai-cabernet-sauvignon-i2480989457.html")</f>
        <v>https://www.lazada.vn/products/ruou-vang-chile-antai-cabernet-sauvignon-i2480989457.html</v>
      </c>
      <c r="C8002" s="10" t="s">
        <v>8002</v>
      </c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>
      <c r="A8003" s="8">
        <v>12857.0</v>
      </c>
      <c r="B8003" s="9" t="str">
        <f>HYPERLINK("https://www.lazada.vn/products/mi-nau-tu-soi-top-cup-chua-ca-tha-lan-i2932827765.html", "https://www.lazada.vn/products/mi-nau-tu-soi-top-cup-chua-ca-tha-lan-i2932827765.html")</f>
        <v>https://www.lazada.vn/products/mi-nau-tu-soi-top-cup-chua-ca-tha-lan-i2932827765.html</v>
      </c>
      <c r="C8003" s="10" t="s">
        <v>8003</v>
      </c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>
      <c r="A8004" s="8">
        <v>12858.0</v>
      </c>
      <c r="B8004" s="9" t="str">
        <f>HYPERLINK("https://www.lazada.vn/products/ca-hoi-phi-le-cat-mieng-tui-1kg-giao-tphcm-i2988029696.html", "https://www.lazada.vn/products/ca-hoi-phi-le-cat-mieng-tui-1kg-giao-tphcm-i2988029696.html")</f>
        <v>https://www.lazada.vn/products/ca-hoi-phi-le-cat-mieng-tui-1kg-giao-tphcm-i2988029696.html</v>
      </c>
      <c r="C8004" s="10" t="s">
        <v>8004</v>
      </c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>
      <c r="A8005" s="8">
        <v>12859.0</v>
      </c>
      <c r="B8005" s="9" t="str">
        <f>HYPERLINK("https://www.lazada.vn/products/combo-10-banh-mi-teppanyaki-phu-cha-bong-luck-family-b133-beegin-food-store-i2589695459.html", "https://www.lazada.vn/products/combo-10-banh-mi-teppanyaki-phu-cha-bong-luck-family-b133-beegin-food-store-i2589695459.html")</f>
        <v>https://www.lazada.vn/products/combo-10-banh-mi-teppanyaki-phu-cha-bong-luck-family-b133-beegin-food-store-i2589695459.html</v>
      </c>
      <c r="C8005" s="10" t="s">
        <v>8005</v>
      </c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>
      <c r="A8006" s="8">
        <v>12860.0</v>
      </c>
      <c r="B8006" s="9" t="str">
        <f>HYPERLINK("https://www.lazada.vn/products/ruou-vang-nhap-khau-vang-do-ruou-vang-phap-chateau-meillier-bordeaux-superieur-750ml-135-i2480980782.html", "https://www.lazada.vn/products/ruou-vang-nhap-khau-vang-do-ruou-vang-phap-chateau-meillier-bordeaux-superieur-750ml-135-i2480980782.html")</f>
        <v>https://www.lazada.vn/products/ruou-vang-nhap-khau-vang-do-ruou-vang-phap-chateau-meillier-bordeaux-superieur-750ml-135-i2480980782.html</v>
      </c>
      <c r="C8006" s="10" t="s">
        <v>8006</v>
      </c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>
      <c r="A8007" s="8">
        <v>12861.0</v>
      </c>
      <c r="B8007" s="9" t="str">
        <f>HYPERLINK("https://www.lazada.vn/products/mi-ly-dinh-duong-nissin-tre-em-i2924966213.html", "https://www.lazada.vn/products/mi-ly-dinh-duong-nissin-tre-em-i2924966213.html")</f>
        <v>https://www.lazada.vn/products/mi-ly-dinh-duong-nissin-tre-em-i2924966213.html</v>
      </c>
      <c r="C8007" s="10" t="s">
        <v>8007</v>
      </c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>
      <c r="A8008" s="8">
        <v>12862.0</v>
      </c>
      <c r="B8008" s="9" t="str">
        <f>HYPERLINK("https://www.lazada.vn/products/ca-hoi-vun-phi-le-tui-1kg-giao-hcm-i2983886383.html", "https://www.lazada.vn/products/ca-hoi-vun-phi-le-tui-1kg-giao-hcm-i2983886383.html")</f>
        <v>https://www.lazada.vn/products/ca-hoi-vun-phi-le-tui-1kg-giao-hcm-i2983886383.html</v>
      </c>
      <c r="C8008" s="10" t="s">
        <v>8008</v>
      </c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>
      <c r="A8009" s="8">
        <v>12863.0</v>
      </c>
      <c r="B8009" s="9" t="str">
        <f>HYPERLINK("https://www.lazada.vn/products/ruou-vang-chile-cantagua-merlot-i2480979658.html", "https://www.lazada.vn/products/ruou-vang-chile-cantagua-merlot-i2480979658.html")</f>
        <v>https://www.lazada.vn/products/ruou-vang-chile-cantagua-merlot-i2480979658.html</v>
      </c>
      <c r="C8009" s="10" t="s">
        <v>8009</v>
      </c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>
      <c r="A8010" s="8">
        <v>12864.0</v>
      </c>
      <c r="B8010" s="9" t="str">
        <f>HYPERLINK("https://www.lazada.vn/products/mi-ly-mama-tha-lan-60gr-i2924952243.html", "https://www.lazada.vn/products/mi-ly-mama-tha-lan-60gr-i2924952243.html")</f>
        <v>https://www.lazada.vn/products/mi-ly-mama-tha-lan-60gr-i2924952243.html</v>
      </c>
      <c r="C8010" s="10" t="s">
        <v>8010</v>
      </c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>
      <c r="A8011" s="8">
        <v>12865.0</v>
      </c>
      <c r="B8011" s="9" t="str">
        <f>HYPERLINK("https://www.lazada.vn/products/mjamjam-cat-food-wet-food-for-kittens-and-adult-cats-nutritious-grain-free-muscle-development-high-quality-pet-supplies-i2983557209.html", "https://www.lazada.vn/products/mjamjam-cat-food-wet-food-for-kittens-and-adult-cats-nutritious-grain-free-muscle-development-high-quality-pet-supplies-i2983557209.html")</f>
        <v>https://www.lazada.vn/products/mjamjam-cat-food-wet-food-for-kittens-and-adult-cats-nutritious-grain-free-muscle-development-high-quality-pet-supplies-i2983557209.html</v>
      </c>
      <c r="C8011" s="10" t="s">
        <v>8011</v>
      </c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>
      <c r="A8012" s="8">
        <v>12866.0</v>
      </c>
      <c r="B8012" s="9" t="str">
        <f>HYPERLINK("https://www.lazada.vn/products/ruou-vang-nhap-khau-vang-no-ruou-vang-y-vip-prosecco-conte-priuli-oro-brut-750ml-115-i2480967588.html", "https://www.lazada.vn/products/ruou-vang-nhap-khau-vang-no-ruou-vang-y-vip-prosecco-conte-priuli-oro-brut-750ml-115-i2480967588.html")</f>
        <v>https://www.lazada.vn/products/ruou-vang-nhap-khau-vang-no-ruou-vang-y-vip-prosecco-conte-priuli-oro-brut-750ml-115-i2480967588.html</v>
      </c>
      <c r="C8012" s="10" t="s">
        <v>8012</v>
      </c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>
      <c r="A8013" s="8">
        <v>12867.0</v>
      </c>
      <c r="B8013" s="9" t="str">
        <f>HYPERLINK("https://www.lazada.vn/products/05kg-bim-bim-snack-oc-mit-an-vat-sieu-ngon-gion-tan-i2327023280.html", "https://www.lazada.vn/products/05kg-bim-bim-snack-oc-mit-an-vat-sieu-ngon-gion-tan-i2327023280.html")</f>
        <v>https://www.lazada.vn/products/05kg-bim-bim-snack-oc-mit-an-vat-sieu-ngon-gion-tan-i2327023280.html</v>
      </c>
      <c r="C8013" s="10" t="s">
        <v>8013</v>
      </c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>
      <c r="A8014" s="8">
        <v>12868.0</v>
      </c>
      <c r="B8014" s="9" t="str">
        <f>HYPERLINK("https://www.lazada.vn/products/mi-mama-vit-tiem-tha-lan-i2924919344.html", "https://www.lazada.vn/products/mi-mama-vit-tiem-tha-lan-i2924919344.html")</f>
        <v>https://www.lazada.vn/products/mi-mama-vit-tiem-tha-lan-i2924919344.html</v>
      </c>
      <c r="C8014" s="10" t="s">
        <v>8014</v>
      </c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>
      <c r="A8015" s="8">
        <v>12869.0</v>
      </c>
      <c r="B8015" s="9" t="str">
        <f>HYPERLINK("https://www.lazada.vn/products/mam-tep-du-du-mien-tay-nha-lam-i2981003324.html", "https://www.lazada.vn/products/mam-tep-du-du-mien-tay-nha-lam-i2981003324.html")</f>
        <v>https://www.lazada.vn/products/mam-tep-du-du-mien-tay-nha-lam-i2981003324.html</v>
      </c>
      <c r="C8015" s="10" t="s">
        <v>8015</v>
      </c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>
      <c r="A8016" s="8">
        <v>12870.0</v>
      </c>
      <c r="B8016" s="9" t="str">
        <f>HYPERLINK("https://www.lazada.vn/products/ruou-vang-chile-vigno-red-wine-i2480964581.html", "https://www.lazada.vn/products/ruou-vang-chile-vigno-red-wine-i2480964581.html")</f>
        <v>https://www.lazada.vn/products/ruou-vang-chile-vigno-red-wine-i2480964581.html</v>
      </c>
      <c r="C8016" s="10" t="s">
        <v>8016</v>
      </c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>
      <c r="A8017" s="8">
        <v>12871.0</v>
      </c>
      <c r="B8017" s="9" t="str">
        <f>HYPERLINK("https://www.lazada.vn/products/thung-1kg-banh-mi-teppanyaki-phu-cha-bong-luck-family-khoang-12c-b133-gia-ngan-food-i2589650451.html", "https://www.lazada.vn/products/thung-1kg-banh-mi-teppanyaki-phu-cha-bong-luck-family-khoang-12c-b133-gia-ngan-food-i2589650451.html")</f>
        <v>https://www.lazada.vn/products/thung-1kg-banh-mi-teppanyaki-phu-cha-bong-luck-family-khoang-12c-b133-gia-ngan-food-i2589650451.html</v>
      </c>
      <c r="C8017" s="10" t="s">
        <v>8017</v>
      </c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>
      <c r="A8018" s="8">
        <v>12872.0</v>
      </c>
      <c r="B8018" s="9" t="str">
        <f>HYPERLINK("https://www.lazada.vn/products/bia-thu-cong-rooster-beers-blonde-330ml-x-4-lon-i1021254375.html", "https://www.lazada.vn/products/bia-thu-cong-rooster-beers-blonde-330ml-x-4-lon-i1021254375.html")</f>
        <v>https://www.lazada.vn/products/bia-thu-cong-rooster-beers-blonde-330ml-x-4-lon-i1021254375.html</v>
      </c>
      <c r="C8018" s="10" t="s">
        <v>8018</v>
      </c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>
      <c r="A8019" s="8">
        <v>12873.0</v>
      </c>
      <c r="B8019" s="9" t="str">
        <f>HYPERLINK("https://www.lazada.vn/products/1kg-ca-phe-hat-robusta-rang-moc-i2655947155.html", "https://www.lazada.vn/products/1kg-ca-phe-hat-robusta-rang-moc-i2655947155.html")</f>
        <v>https://www.lazada.vn/products/1kg-ca-phe-hat-robusta-rang-moc-i2655947155.html</v>
      </c>
      <c r="C8019" s="10" t="s">
        <v>8019</v>
      </c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>
      <c r="A8020" s="8">
        <v>12874.0</v>
      </c>
      <c r="B8020" s="9" t="str">
        <f>HYPERLINK("https://www.lazada.vn/products/syrup-torani-nhap-khau-my-chai-750ml-si-le-siro-torani-gia-tot-i2449666456.html", "https://www.lazada.vn/products/syrup-torani-nhap-khau-my-chai-750ml-si-le-siro-torani-gia-tot-i2449666456.html")</f>
        <v>https://www.lazada.vn/products/syrup-torani-nhap-khau-my-chai-750ml-si-le-siro-torani-gia-tot-i2449666456.html</v>
      </c>
      <c r="C8020" s="10" t="s">
        <v>8020</v>
      </c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>
      <c r="A8021" s="8">
        <v>12875.0</v>
      </c>
      <c r="B8021" s="9" t="str">
        <f>HYPERLINK("https://www.lazada.vn/products/keo-socola-dayozh-caramel-dau-phong-5-lop-goi-500g-i2881517644.html", "https://www.lazada.vn/products/keo-socola-dayozh-caramel-dau-phong-5-lop-goi-500g-i2881517644.html")</f>
        <v>https://www.lazada.vn/products/keo-socola-dayozh-caramel-dau-phong-5-lop-goi-500g-i2881517644.html</v>
      </c>
      <c r="C8021" s="10" t="s">
        <v>8021</v>
      </c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>
      <c r="A8022" s="8">
        <v>12876.0</v>
      </c>
      <c r="B8022" s="9" t="str">
        <f>HYPERLINK("https://www.lazada.vn/products/combo-3-tui-banh-gao-nuong-an-vi-com-sen-168g-i2841621303.html", "https://www.lazada.vn/products/combo-3-tui-banh-gao-nuong-an-vi-com-sen-168g-i2841621303.html")</f>
        <v>https://www.lazada.vn/products/combo-3-tui-banh-gao-nuong-an-vi-com-sen-168g-i2841621303.html</v>
      </c>
      <c r="C8022" s="10" t="s">
        <v>8022</v>
      </c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>
      <c r="A8023" s="8">
        <v>12877.0</v>
      </c>
      <c r="B8023" s="9" t="str">
        <f>HYPERLINK("https://www.lazada.vn/products/kun-nuoc-trai-cay-oi-thung-24-tui-x-110ml-i2676809303.html", "https://www.lazada.vn/products/kun-nuoc-trai-cay-oi-thung-24-tui-x-110ml-i2676809303.html")</f>
        <v>https://www.lazada.vn/products/kun-nuoc-trai-cay-oi-thung-24-tui-x-110ml-i2676809303.html</v>
      </c>
      <c r="C8023" s="10" t="s">
        <v>8023</v>
      </c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>
      <c r="A8024" s="8">
        <v>12878.0</v>
      </c>
      <c r="B8024" s="9" t="str">
        <f>HYPERLINK("https://www.lazada.vn/products/1-hop-8-vien-keo-ca-phe-thom-ngon-bo-duong-i3060091364.html", "https://www.lazada.vn/products/1-hop-8-vien-keo-ca-phe-thom-ngon-bo-duong-i3060091364.html")</f>
        <v>https://www.lazada.vn/products/1-hop-8-vien-keo-ca-phe-thom-ngon-bo-duong-i3060091364.html</v>
      </c>
      <c r="C8024" s="10" t="s">
        <v>8024</v>
      </c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>
      <c r="A8025" s="8">
        <v>12879.0</v>
      </c>
      <c r="B8025" s="9" t="str">
        <f>HYPERLINK("https://www.lazada.vn/products/combo-bung-xoa-cuc-da-1-thung-pepsi-lon-va-1-thung-7up-320mllon-hoac-350mllon-i2051029145.html", "https://www.lazada.vn/products/combo-bung-xoa-cuc-da-1-thung-pepsi-lon-va-1-thung-7up-320mllon-hoac-350mllon-i2051029145.html")</f>
        <v>https://www.lazada.vn/products/combo-bung-xoa-cuc-da-1-thung-pepsi-lon-va-1-thung-7up-320mllon-hoac-350mllon-i2051029145.html</v>
      </c>
      <c r="C8025" s="10" t="s">
        <v>8025</v>
      </c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>
      <c r="A8026" s="8">
        <v>12880.0</v>
      </c>
      <c r="B8026" s="9" t="str">
        <f>HYPERLINK("https://www.lazada.vn/products/combo-5-set-no-bong-tai-nha-sieu-hoi-i2586128678.html", "https://www.lazada.vn/products/combo-5-set-no-bong-tai-nha-sieu-hoi-i2586128678.html")</f>
        <v>https://www.lazada.vn/products/combo-5-set-no-bong-tai-nha-sieu-hoi-i2586128678.html</v>
      </c>
      <c r="C8026" s="10" t="s">
        <v>8026</v>
      </c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>
      <c r="A8027" s="8">
        <v>12881.0</v>
      </c>
      <c r="B8027" s="9" t="str">
        <f>HYPERLINK("https://www.lazada.vn/products/thung-24-lon-nuoc-tang-luc-warrior-dau-lon-330-ml-i2043054260.html", "https://www.lazada.vn/products/thung-24-lon-nuoc-tang-luc-warrior-dau-lon-330-ml-i2043054260.html")</f>
        <v>https://www.lazada.vn/products/thung-24-lon-nuoc-tang-luc-warrior-dau-lon-330-ml-i2043054260.html</v>
      </c>
      <c r="C8027" s="10" t="s">
        <v>8027</v>
      </c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>
      <c r="A8028" s="8">
        <v>12882.0</v>
      </c>
      <c r="B8028" s="9" t="str">
        <f>HYPERLINK("https://www.lazada.vn/products/nam-rom-dong-hop-nam-rom-den-425g-i1741426800.html", "https://www.lazada.vn/products/nam-rom-dong-hop-nam-rom-den-425g-i1741426800.html")</f>
        <v>https://www.lazada.vn/products/nam-rom-dong-hop-nam-rom-den-425g-i1741426800.html</v>
      </c>
      <c r="C8028" s="10" t="s">
        <v>8028</v>
      </c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>
      <c r="A8029" s="8">
        <v>12883.0</v>
      </c>
      <c r="B8029" s="9" t="str">
        <f>HYPERLINK("https://www.lazada.vn/products/hop-10-goi-bot-pha-nuoc-trai-cay-vi-cam-emergen-c-vitamin-c-1000mg-10-goi-x-91g-i2900959265.html", "https://www.lazada.vn/products/hop-10-goi-bot-pha-nuoc-trai-cay-vi-cam-emergen-c-vitamin-c-1000mg-10-goi-x-91g-i2900959265.html")</f>
        <v>https://www.lazada.vn/products/hop-10-goi-bot-pha-nuoc-trai-cay-vi-cam-emergen-c-vitamin-c-1000mg-10-goi-x-91g-i2900959265.html</v>
      </c>
      <c r="C8029" s="10" t="s">
        <v>8029</v>
      </c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>
      <c r="A8030" s="8">
        <v>12884.0</v>
      </c>
      <c r="B8030" s="9" t="str">
        <f>HYPERLINK("https://www.lazada.vn/products/banh-gau-nhan-kem-sua-thom-ngon-beo-ngay-banh-gau-thien-hong-chat-luong-an-vat-nha-com-i3040494595.html", "https://www.lazada.vn/products/banh-gau-nhan-kem-sua-thom-ngon-beo-ngay-banh-gau-thien-hong-chat-luong-an-vat-nha-com-i3040494595.html")</f>
        <v>https://www.lazada.vn/products/banh-gau-nhan-kem-sua-thom-ngon-beo-ngay-banh-gau-thien-hong-chat-luong-an-vat-nha-com-i3040494595.html</v>
      </c>
      <c r="C8030" s="10" t="s">
        <v>8030</v>
      </c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>
      <c r="A8031" s="8">
        <v>12885.0</v>
      </c>
      <c r="B8031" s="9" t="str">
        <f>HYPERLINK("https://www.lazada.vn/products/cacao-mass-cacaomi-nguyen-chat-nguyen-lieu-lam-chocolate-chuan-xuat-khau-1kg-i1267734666.html", "https://www.lazada.vn/products/cacao-mass-cacaomi-nguyen-chat-nguyen-lieu-lam-chocolate-chuan-xuat-khau-1kg-i1267734666.html")</f>
        <v>https://www.lazada.vn/products/cacao-mass-cacaomi-nguyen-chat-nguyen-lieu-lam-chocolate-chuan-xuat-khau-1kg-i1267734666.html</v>
      </c>
      <c r="C8031" s="10" t="s">
        <v>8031</v>
      </c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>
      <c r="A8032" s="8">
        <v>12886.0</v>
      </c>
      <c r="B8032" s="9" t="str">
        <f>HYPERLINK("https://www.lazada.vn/products/500gr-banh-trang-rong-bien-chay-toi-thom-ngon-chuan-tay-ninh-i2327019590.html", "https://www.lazada.vn/products/500gr-banh-trang-rong-bien-chay-toi-thom-ngon-chuan-tay-ninh-i2327019590.html")</f>
        <v>https://www.lazada.vn/products/500gr-banh-trang-rong-bien-chay-toi-thom-ngon-chuan-tay-ninh-i2327019590.html</v>
      </c>
      <c r="C8032" s="10" t="s">
        <v>8032</v>
      </c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>
      <c r="A8033" s="8">
        <v>12887.0</v>
      </c>
      <c r="B8033" s="9" t="str">
        <f>HYPERLINK("https://www.lazada.vn/products/fordsha-black-olives-khong-hat-900g-baking-salad-pizza-mon-an-nhe-nhang-de-thuong-thuong-hieu-fordsha-san-xuat-tai-tay-ban-nha-i2923801249.html", "https://www.lazada.vn/products/fordsha-black-olives-khong-hat-900g-baking-salad-pizza-mon-an-nhe-nhang-de-thuong-thuong-hieu-fordsha-san-xuat-tai-tay-ban-nha-i2923801249.html")</f>
        <v>https://www.lazada.vn/products/fordsha-black-olives-khong-hat-900g-baking-salad-pizza-mon-an-nhe-nhang-de-thuong-thuong-hieu-fordsha-san-xuat-tai-tay-ban-nha-i2923801249.html</v>
      </c>
      <c r="C8033" s="10" t="s">
        <v>8033</v>
      </c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>
      <c r="A8034" s="8">
        <v>12888.0</v>
      </c>
      <c r="B8034" s="9" t="str">
        <f>HYPERLINK("https://www.lazada.vn/products/si-gia-re-goi-1kg-ngo-cay-say-gion-xoc-mam-cay-ngo-bap-say-gion-bap-rang-toi-ot-an-vat-tao-be-i3010210726.html", "https://www.lazada.vn/products/si-gia-re-goi-1kg-ngo-cay-say-gion-xoc-mam-cay-ngo-bap-say-gion-bap-rang-toi-ot-an-vat-tao-be-i3010210726.html")</f>
        <v>https://www.lazada.vn/products/si-gia-re-goi-1kg-ngo-cay-say-gion-xoc-mam-cay-ngo-bap-say-gion-bap-rang-toi-ot-an-vat-tao-be-i3010210726.html</v>
      </c>
      <c r="C8034" s="10" t="s">
        <v>8034</v>
      </c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>
      <c r="A8035" s="8">
        <v>12889.0</v>
      </c>
      <c r="B8035" s="9" t="str">
        <f>HYPERLINK("https://www.lazada.vn/products/ruou-vang-chile-aliwen-reserva-cabernet-sauvignon-i-carmenere-i2480958672.html", "https://www.lazada.vn/products/ruou-vang-chile-aliwen-reserva-cabernet-sauvignon-i-carmenere-i2480958672.html")</f>
        <v>https://www.lazada.vn/products/ruou-vang-chile-aliwen-reserva-cabernet-sauvignon-i-carmenere-i2480958672.html</v>
      </c>
      <c r="C8035" s="10" t="s">
        <v>8035</v>
      </c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>
      <c r="A8036" s="8">
        <v>12890.0</v>
      </c>
      <c r="B8036" s="9" t="str">
        <f>HYPERLINK("https://www.lazada.vn/products/tui-25kg-keo-c-trai-cay-mix-12-vi-chuan-loai-1-the-mat-thom-ngon-keo-noi-dia-trung-keo-an-vat-i3040163918.html", "https://www.lazada.vn/products/tui-25kg-keo-c-trai-cay-mix-12-vi-chuan-loai-1-the-mat-thom-ngon-keo-noi-dia-trung-keo-an-vat-i3040163918.html")</f>
        <v>https://www.lazada.vn/products/tui-25kg-keo-c-trai-cay-mix-12-vi-chuan-loai-1-the-mat-thom-ngon-keo-noi-dia-trung-keo-an-vat-i3040163918.html</v>
      </c>
      <c r="C8036" s="10" t="s">
        <v>8036</v>
      </c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>
      <c r="A8037" s="8">
        <v>12891.0</v>
      </c>
      <c r="B8037" s="9" t="str">
        <f>HYPERLINK("https://www.lazada.vn/products/combo-5-hop-pate-thit-bo-3-bong-mai-vissan-hop-150g-date-2027-i2975779829.html", "https://www.lazada.vn/products/combo-5-hop-pate-thit-bo-3-bong-mai-vissan-hop-150g-date-2027-i2975779829.html")</f>
        <v>https://www.lazada.vn/products/combo-5-hop-pate-thit-bo-3-bong-mai-vissan-hop-150g-date-2027-i2975779829.html</v>
      </c>
      <c r="C8037" s="10" t="s">
        <v>8037</v>
      </c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>
      <c r="A8038" s="8">
        <v>12892.0</v>
      </c>
      <c r="B8038" s="9" t="str">
        <f>HYPERLINK("https://www.lazada.vn/products/vang-chile-toro-de-piedra-grand-reserve-2020-i2480955911.html", "https://www.lazada.vn/products/vang-chile-toro-de-piedra-grand-reserve-2020-i2480955911.html")</f>
        <v>https://www.lazada.vn/products/vang-chile-toro-de-piedra-grand-reserve-2020-i2480955911.html</v>
      </c>
      <c r="C8038" s="10" t="s">
        <v>8038</v>
      </c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>
      <c r="A8039" s="8">
        <v>12893.0</v>
      </c>
      <c r="B8039" s="9" t="str">
        <f>HYPERLINK("https://www.lazada.vn/products/1kg-banh-trang-xi-ke-cay-xe-sieu-ngon-chuan-tay-ninh-an-la-ghien-i2327011333.html", "https://www.lazada.vn/products/1kg-banh-trang-xi-ke-cay-xe-sieu-ngon-chuan-tay-ninh-an-la-ghien-i2327011333.html")</f>
        <v>https://www.lazada.vn/products/1kg-banh-trang-xi-ke-cay-xe-sieu-ngon-chuan-tay-ninh-an-la-ghien-i2327011333.html</v>
      </c>
      <c r="C8039" s="10" t="s">
        <v>8039</v>
      </c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>
      <c r="A8040" s="8">
        <v>12894.0</v>
      </c>
      <c r="B8040" s="9" t="str">
        <f>HYPERLINK("https://www.lazada.vn/products/hop-nua-ki-banh-mi-kep-sandwich-sua-chua-horsh-b54g500-beegin-food-shop-i3031881699.html", "https://www.lazada.vn/products/hop-nua-ki-banh-mi-kep-sandwich-sua-chua-horsh-b54g500-beegin-food-shop-i3031881699.html")</f>
        <v>https://www.lazada.vn/products/hop-nua-ki-banh-mi-kep-sandwich-sua-chua-horsh-b54g500-beegin-food-shop-i3031881699.html</v>
      </c>
      <c r="C8040" s="10" t="s">
        <v>8040</v>
      </c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>
      <c r="A8041" s="8">
        <v>12895.0</v>
      </c>
      <c r="B8041" s="9" t="str">
        <f>HYPERLINK("https://www.lazada.vn/products/combo-10-banh-mi-teppanyaki-phu-cha-bong-luck-family-b133-beegin-food-shop-i2589627451.html", "https://www.lazada.vn/products/combo-10-banh-mi-teppanyaki-phu-cha-bong-luck-family-b133-beegin-food-shop-i2589627451.html")</f>
        <v>https://www.lazada.vn/products/combo-10-banh-mi-teppanyaki-phu-cha-bong-luck-family-b133-beegin-food-shop-i2589627451.html</v>
      </c>
      <c r="C8041" s="10" t="s">
        <v>8041</v>
      </c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>
      <c r="A8042" s="8">
        <v>12896.0</v>
      </c>
      <c r="B8042" s="9" t="str">
        <f>HYPERLINK("https://www.lazada.vn/products/combo-keo-le-an-phe-mix-vi-100g-chanh-muoi-mat-ong-keo-le-cung-keo-ngam-ho-tieu-dom-bo-phe-i3001621130.html", "https://www.lazada.vn/products/combo-keo-le-an-phe-mix-vi-100g-chanh-muoi-mat-ong-keo-le-cung-keo-ngam-ho-tieu-dom-bo-phe-i3001621130.html")</f>
        <v>https://www.lazada.vn/products/combo-keo-le-an-phe-mix-vi-100g-chanh-muoi-mat-ong-keo-le-cung-keo-ngam-ho-tieu-dom-bo-phe-i3001621130.html</v>
      </c>
      <c r="C8042" s="10" t="s">
        <v>8042</v>
      </c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>
      <c r="A8043" s="8">
        <v>12897.0</v>
      </c>
      <c r="B8043" s="9" t="str">
        <f>HYPERLINK("https://www.lazada.vn/products/ruou-vang-bich-san-clemente-carmenere-cabernet-syrah-i2480931840.html", "https://www.lazada.vn/products/ruou-vang-bich-san-clemente-carmenere-cabernet-syrah-i2480931840.html")</f>
        <v>https://www.lazada.vn/products/ruou-vang-bich-san-clemente-carmenere-cabernet-syrah-i2480931840.html</v>
      </c>
      <c r="C8043" s="10" t="s">
        <v>8043</v>
      </c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>
      <c r="A8044" s="8">
        <v>12898.0</v>
      </c>
      <c r="B8044" s="9" t="str">
        <f>HYPERLINK("https://www.lazada.vn/products/bia-thu-cong-rooster-beers-bia-ga-blonde-thung-12-lon-i1020612704.html", "https://www.lazada.vn/products/bia-thu-cong-rooster-beers-bia-ga-blonde-thung-12-lon-i1020612704.html")</f>
        <v>https://www.lazada.vn/products/bia-thu-cong-rooster-beers-bia-ga-blonde-thung-12-lon-i1020612704.html</v>
      </c>
      <c r="C8044" s="10" t="s">
        <v>8044</v>
      </c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>
      <c r="A8045" s="8">
        <v>12899.0</v>
      </c>
      <c r="B8045" s="9" t="str">
        <f>HYPERLINK("https://www.lazada.vn/products/ca-phe-trung-nguyen-legend-ca-phe-hoa-tan-rang-xay-3in1-special-edition-hop-18-goi-x-25gr-i2655828986.html", "https://www.lazada.vn/products/ca-phe-trung-nguyen-legend-ca-phe-hoa-tan-rang-xay-3in1-special-edition-hop-18-goi-x-25gr-i2655828986.html")</f>
        <v>https://www.lazada.vn/products/ca-phe-trung-nguyen-legend-ca-phe-hoa-tan-rang-xay-3in1-special-edition-hop-18-goi-x-25gr-i2655828986.html</v>
      </c>
      <c r="C8045" s="10" t="s">
        <v>8045</v>
      </c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>
      <c r="A8046" s="8">
        <v>12900.0</v>
      </c>
      <c r="B8046" s="9" t="str">
        <f>HYPERLINK("https://www.lazada.vn/products/keo-socola-bonjour-vi-dua-caramen-goi-500g-i2881516416.html", "https://www.lazada.vn/products/keo-socola-bonjour-vi-dua-caramen-goi-500g-i2881516416.html")</f>
        <v>https://www.lazada.vn/products/keo-socola-bonjour-vi-dua-caramen-goi-500g-i2881516416.html</v>
      </c>
      <c r="C8046" s="10" t="s">
        <v>8046</v>
      </c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>
      <c r="A8047" s="8">
        <v>12901.0</v>
      </c>
      <c r="B8047" s="9" t="str">
        <f>HYPERLINK("https://www.lazada.vn/products/thach-dua-trung-tin-goi-500g-i2448973869.html", "https://www.lazada.vn/products/thach-dua-trung-tin-goi-500g-i2448973869.html")</f>
        <v>https://www.lazada.vn/products/thach-dua-trung-tin-goi-500g-i2448973869.html</v>
      </c>
      <c r="C8047" s="10" t="s">
        <v>8047</v>
      </c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>
      <c r="A8048" s="8">
        <v>12902.0</v>
      </c>
      <c r="B8048" s="9" t="str">
        <f>HYPERLINK("https://www.lazada.vn/products/banh-bong-lan-soi-thit-ga-orion-cest-bon-goi-5-cai-x-17g-i2957391261.html", "https://www.lazada.vn/products/banh-bong-lan-soi-thit-ga-orion-cest-bon-goi-5-cai-x-17g-i2957391261.html")</f>
        <v>https://www.lazada.vn/products/banh-bong-lan-soi-thit-ga-orion-cest-bon-goi-5-cai-x-17g-i2957391261.html</v>
      </c>
      <c r="C8048" s="10" t="s">
        <v>8048</v>
      </c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>
      <c r="A8049" s="8">
        <v>12903.0</v>
      </c>
      <c r="B8049" s="9" t="str">
        <f>HYPERLINK("https://www.lazada.vn/products/combo-5-hop-pate-thit-heo-3-bong-mai-vissan-hop-150g-date-2027-i2975775828.html", "https://www.lazada.vn/products/combo-5-hop-pate-thit-heo-3-bong-mai-vissan-hop-150g-date-2027-i2975775828.html")</f>
        <v>https://www.lazada.vn/products/combo-5-hop-pate-thit-heo-3-bong-mai-vissan-hop-150g-date-2027-i2975775828.html</v>
      </c>
      <c r="C8049" s="10" t="s">
        <v>8049</v>
      </c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>
      <c r="A8050" s="8">
        <v>12904.0</v>
      </c>
      <c r="B8050" s="9" t="str">
        <f>HYPERLINK("https://www.lazada.vn/products/combo-4-hop-banh-bong-lan-tipo-cuon-com-360g-i3024363399.html", "https://www.lazada.vn/products/combo-4-hop-banh-bong-lan-tipo-cuon-com-360g-i3024363399.html")</f>
        <v>https://www.lazada.vn/products/combo-4-hop-banh-bong-lan-tipo-cuon-com-360g-i3024363399.html</v>
      </c>
      <c r="C8050" s="10" t="s">
        <v>8050</v>
      </c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>
      <c r="A8051" s="8">
        <v>12905.0</v>
      </c>
      <c r="B8051" s="9" t="str">
        <f>HYPERLINK("https://www.lazada.vn/products/su-ket-hop-hoan-hao-tu-bot-sua-dua-nha-nam-kinh-bot-sua-dua-yen-mach-hat-chia-i2802900110.html", "https://www.lazada.vn/products/su-ket-hop-hoan-hao-tu-bot-sua-dua-nha-nam-kinh-bot-sua-dua-yen-mach-hat-chia-i2802900110.html")</f>
        <v>https://www.lazada.vn/products/su-ket-hop-hoan-hao-tu-bot-sua-dua-nha-nam-kinh-bot-sua-dua-yen-mach-hat-chia-i2802900110.html</v>
      </c>
      <c r="C8051" s="10" t="s">
        <v>8051</v>
      </c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>
      <c r="A8052" s="8">
        <v>12906.0</v>
      </c>
      <c r="B8052" s="9" t="str">
        <f>HYPERLINK("https://www.lazada.vn/products/ma-linh-dried-olives-250g-huong-dau-tay-kho-huong-thao-moc-huong-vi-cay-nong-nhiet-qua-tang-nam-moi-duoc-can-do-va-do-luong-i2923789843.html", "https://www.lazada.vn/products/ma-linh-dried-olives-250g-huong-dau-tay-kho-huong-thao-moc-huong-vi-cay-nong-nhiet-qua-tang-nam-moi-duoc-can-do-va-do-luong-i2923789843.html")</f>
        <v>https://www.lazada.vn/products/ma-linh-dried-olives-250g-huong-dau-tay-kho-huong-thao-moc-huong-vi-cay-nong-nhiet-qua-tang-nam-moi-duoc-can-do-va-do-luong-i2923789843.html</v>
      </c>
      <c r="C8052" s="10" t="s">
        <v>8052</v>
      </c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>
      <c r="A8053" s="8">
        <v>12907.0</v>
      </c>
      <c r="B8053" s="9" t="str">
        <f>HYPERLINK("https://www.lazada.vn/products/combo-2-hop-banh-quy-an-sang-toonies-miz-vi-so-co-la-54g-i2841554836.html", "https://www.lazada.vn/products/combo-2-hop-banh-quy-an-sang-toonies-miz-vi-so-co-la-54g-i2841554836.html")</f>
        <v>https://www.lazada.vn/products/combo-2-hop-banh-quy-an-sang-toonies-miz-vi-so-co-la-54g-i2841554836.html</v>
      </c>
      <c r="C8053" s="10" t="s">
        <v>8053</v>
      </c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>
      <c r="A8054" s="8">
        <v>12908.0</v>
      </c>
      <c r="B8054" s="9" t="str">
        <f>HYPERLINK("https://www.lazada.vn/products/3-vien-keo-sam-xtreme-chinh-hang-malay-date-moi-nhat-2027-i2953686911.html", "https://www.lazada.vn/products/3-vien-keo-sam-xtreme-chinh-hang-malay-date-moi-nhat-2027-i2953686911.html")</f>
        <v>https://www.lazada.vn/products/3-vien-keo-sam-xtreme-chinh-hang-malay-date-moi-nhat-2027-i2953686911.html</v>
      </c>
      <c r="C8054" s="10" t="s">
        <v>8054</v>
      </c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>
      <c r="A8055" s="8">
        <v>12909.0</v>
      </c>
      <c r="B8055" s="9" t="str">
        <f>HYPERLINK("https://www.lazada.vn/products/mit-say-gion-i2964095509.html", "https://www.lazada.vn/products/mit-say-gion-i2964095509.html")</f>
        <v>https://www.lazada.vn/products/mit-say-gion-i2964095509.html</v>
      </c>
      <c r="C8055" s="10" t="s">
        <v>8055</v>
      </c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>
      <c r="A8056" s="8">
        <v>12910.0</v>
      </c>
      <c r="B8056" s="9" t="str">
        <f>HYPERLINK("https://www.lazada.vn/products/set-bap-rang-bo-thom-ngon-bap-rang-bo-i2434697725.html", "https://www.lazada.vn/products/set-bap-rang-bo-thom-ngon-bap-rang-bo-i2434697725.html")</f>
        <v>https://www.lazada.vn/products/set-bap-rang-bo-thom-ngon-bap-rang-bo-i2434697725.html</v>
      </c>
      <c r="C8056" s="10" t="s">
        <v>8056</v>
      </c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>
      <c r="A8057" s="8">
        <v>12911.0</v>
      </c>
      <c r="B8057" s="9" t="str">
        <f>HYPERLINK("https://www.lazada.vn/products/pho-gao-luc-kho-sa-dec-200g-i1740763069.html", "https://www.lazada.vn/products/pho-gao-luc-kho-sa-dec-200g-i1740763069.html")</f>
        <v>https://www.lazada.vn/products/pho-gao-luc-kho-sa-dec-200g-i1740763069.html</v>
      </c>
      <c r="C8057" s="10" t="s">
        <v>8057</v>
      </c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>
      <c r="A8058" s="8">
        <v>12912.0</v>
      </c>
      <c r="B8058" s="9" t="str">
        <f>HYPERLINK("https://www.lazada.vn/products/thach-3q-tran-chau-trang-eurodeli-viet-nam-goi-2kg-an-lien-topping-dai-gion-san-sat-cho-tra-sua-che-tra-hoa-qua-i2062474426.html", "https://www.lazada.vn/products/thach-3q-tran-chau-trang-eurodeli-viet-nam-goi-2kg-an-lien-topping-dai-gion-san-sat-cho-tra-sua-che-tra-hoa-qua-i2062474426.html")</f>
        <v>https://www.lazada.vn/products/thach-3q-tran-chau-trang-eurodeli-viet-nam-goi-2kg-an-lien-topping-dai-gion-san-sat-cho-tra-sua-che-tra-hoa-qua-i2062474426.html</v>
      </c>
      <c r="C8058" s="10" t="s">
        <v>8058</v>
      </c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>
      <c r="A8059" s="8">
        <v>12913.0</v>
      </c>
      <c r="B8059" s="9" t="str">
        <f>HYPERLINK("https://www.lazada.vn/products/combo-2-thung-pepsi-lon-320mllon-hoac-350mllon-i2050960553.html", "https://www.lazada.vn/products/combo-2-thung-pepsi-lon-320mllon-hoac-350mllon-i2050960553.html")</f>
        <v>https://www.lazada.vn/products/combo-2-thung-pepsi-lon-320mllon-hoac-350mllon-i2050960553.html</v>
      </c>
      <c r="C8059" s="10" t="s">
        <v>8059</v>
      </c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>
      <c r="A8060" s="8">
        <v>12914.0</v>
      </c>
      <c r="B8060" s="9" t="str">
        <f>HYPERLINK("https://www.lazada.vn/products/nuoc-cot-nhau-ngam-duong-phen-100-tu-nhien-khong-chat-bao-quan-tot-cho-suc-khoe-chai-500ml-i2676588353.html", "https://www.lazada.vn/products/nuoc-cot-nhau-ngam-duong-phen-100-tu-nhien-khong-chat-bao-quan-tot-cho-suc-khoe-chai-500ml-i2676588353.html")</f>
        <v>https://www.lazada.vn/products/nuoc-cot-nhau-ngam-duong-phen-100-tu-nhien-khong-chat-bao-quan-tot-cho-suc-khoe-chai-500ml-i2676588353.html</v>
      </c>
      <c r="C8060" s="10" t="s">
        <v>8060</v>
      </c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>
      <c r="A8061" s="8">
        <v>12915.0</v>
      </c>
      <c r="B8061" s="9" t="str">
        <f>HYPERLINK("https://www.lazada.vn/products/thung-24-lon-nuoc-tang-luc-sting-dau-320mllon-i2041547008.html", "https://www.lazada.vn/products/thung-24-lon-nuoc-tang-luc-sting-dau-320mllon-i2041547008.html")</f>
        <v>https://www.lazada.vn/products/thung-24-lon-nuoc-tang-luc-sting-dau-320mllon-i2041547008.html</v>
      </c>
      <c r="C8061" s="10" t="s">
        <v>8061</v>
      </c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>
      <c r="A8062" s="8">
        <v>12916.0</v>
      </c>
      <c r="B8062" s="9" t="str">
        <f>HYPERLINK("https://www.lazada.vn/products/combo-dung-thu-3-goi-bot-ca-cao-sua-dua-cacaomi-thuc-uong-so-co-la-dam-da-cacao-nguyen-chat-thom-ngon-20ggoi-i1267730595.html", "https://www.lazada.vn/products/combo-dung-thu-3-goi-bot-ca-cao-sua-dua-cacaomi-thuc-uong-so-co-la-dam-da-cacao-nguyen-chat-thom-ngon-20ggoi-i1267730595.html")</f>
        <v>https://www.lazada.vn/products/combo-dung-thu-3-goi-bot-ca-cao-sua-dua-cacaomi-thuc-uong-so-co-la-dam-da-cacao-nguyen-chat-thom-ngon-20ggoi-i1267730595.html</v>
      </c>
      <c r="C8062" s="10" t="s">
        <v>8062</v>
      </c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>
      <c r="A8063" s="8">
        <v>12917.0</v>
      </c>
      <c r="B8063" s="9" t="str">
        <f>HYPERLINK("https://www.lazada.vn/products/thung-1kg-banh-mi-teppanyaki-phu-cha-bong-luck-family-b133-an-vat-beegin-i2589625626.html", "https://www.lazada.vn/products/thung-1kg-banh-mi-teppanyaki-phu-cha-bong-luck-family-b133-an-vat-beegin-i2589625626.html")</f>
        <v>https://www.lazada.vn/products/thung-1kg-banh-mi-teppanyaki-phu-cha-bong-luck-family-b133-an-vat-beegin-i2589625626.html</v>
      </c>
      <c r="C8063" s="10" t="s">
        <v>8063</v>
      </c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>
      <c r="A8064" s="8">
        <v>12918.0</v>
      </c>
      <c r="B8064" s="9" t="str">
        <f>HYPERLINK("https://www.lazada.vn/products/snack-ba-khia-mam-hanh-viettin-mart-i2322960788.html", "https://www.lazada.vn/products/snack-ba-khia-mam-hanh-viettin-mart-i2322960788.html")</f>
        <v>https://www.lazada.vn/products/snack-ba-khia-mam-hanh-viettin-mart-i2322960788.html</v>
      </c>
      <c r="C8064" s="10" t="s">
        <v>8064</v>
      </c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>
      <c r="A8065" s="8">
        <v>12919.0</v>
      </c>
      <c r="B8065" s="9" t="str">
        <f>HYPERLINK("https://www.lazada.vn/products/thung-24-lon-330ml-bia-tiger-xuan-i956902722.html", "https://www.lazada.vn/products/thung-24-lon-330ml-bia-tiger-xuan-i956902722.html")</f>
        <v>https://www.lazada.vn/products/thung-24-lon-330ml-bia-tiger-xuan-i956902722.html</v>
      </c>
      <c r="C8065" s="10" t="s">
        <v>8065</v>
      </c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>
      <c r="A8066" s="8">
        <v>12920.0</v>
      </c>
      <c r="B8066" s="9" t="str">
        <f>HYPERLINK("https://www.lazada.vn/products/ca-phe-hoa-tan-2in1-ca-phe-va-bot-kem-khong-sua-king-coffee-tui-22-goi-x-10g-khong-duong-i2655355098.html", "https://www.lazada.vn/products/ca-phe-hoa-tan-2in1-ca-phe-va-bot-kem-khong-sua-king-coffee-tui-22-goi-x-10g-khong-duong-i2655355098.html")</f>
        <v>https://www.lazada.vn/products/ca-phe-hoa-tan-2in1-ca-phe-va-bot-kem-khong-sua-king-coffee-tui-22-goi-x-10g-khong-duong-i2655355098.html</v>
      </c>
      <c r="C8066" s="10" t="s">
        <v>8066</v>
      </c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>
      <c r="A8067" s="8">
        <v>12921.0</v>
      </c>
      <c r="B8067" s="9" t="str">
        <f>HYPERLINK("https://www.lazada.vn/products/ruou-vang-nhap-khau-vang-do-ruou-vang-phap-bellevue-la-ferriere-750ml-145-i2480907849.html", "https://www.lazada.vn/products/ruou-vang-nhap-khau-vang-do-ruou-vang-phap-bellevue-la-ferriere-750ml-145-i2480907849.html")</f>
        <v>https://www.lazada.vn/products/ruou-vang-nhap-khau-vang-do-ruou-vang-phap-bellevue-la-ferriere-750ml-145-i2480907849.html</v>
      </c>
      <c r="C8067" s="10" t="s">
        <v>8067</v>
      </c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>
      <c r="A8068" s="8">
        <v>12922.0</v>
      </c>
      <c r="B8068" s="9" t="str">
        <f>HYPERLINK("https://www.lazada.vn/products/socola-nguyen-chat-nhan-mut-hop-24-vien-4-vi-i2881511644.html", "https://www.lazada.vn/products/socola-nguyen-chat-nhan-mut-hop-24-vien-4-vi-i2881511644.html")</f>
        <v>https://www.lazada.vn/products/socola-nguyen-chat-nhan-mut-hop-24-vien-4-vi-i2881511644.html</v>
      </c>
      <c r="C8068" s="10" t="s">
        <v>8068</v>
      </c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>
      <c r="A8069" s="8">
        <v>12923.0</v>
      </c>
      <c r="B8069" s="9" t="str">
        <f>HYPERLINK("https://www.lazada.vn/products/siro-teisseire-siro-teisseire-tessi-cac-huong-vi-chai-thuy-tinh-700ml-gia-tot-giao-hang-nhanh-i2442658570.html", "https://www.lazada.vn/products/siro-teisseire-siro-teisseire-tessi-cac-huong-vi-chai-thuy-tinh-700ml-gia-tot-giao-hang-nhanh-i2442658570.html")</f>
        <v>https://www.lazada.vn/products/siro-teisseire-siro-teisseire-tessi-cac-huong-vi-chai-thuy-tinh-700ml-gia-tot-giao-hang-nhanh-i2442658570.html</v>
      </c>
      <c r="C8069" s="10" t="s">
        <v>8069</v>
      </c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>
      <c r="A8070" s="8">
        <v>12924.0</v>
      </c>
      <c r="B8070" s="9" t="str">
        <f>HYPERLINK("https://www.lazada.vn/products/loc-6-goi-bim-bim-que-mix-vi-cay-thai-lan-60ggoi-i2658499100.html", "https://www.lazada.vn/products/loc-6-goi-bim-bim-que-mix-vi-cay-thai-lan-60ggoi-i2658499100.html")</f>
        <v>https://www.lazada.vn/products/loc-6-goi-bim-bim-que-mix-vi-cay-thai-lan-60ggoi-i2658499100.html</v>
      </c>
      <c r="C8070" s="10" t="s">
        <v>8070</v>
      </c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>
      <c r="A8071" s="8">
        <v>12925.0</v>
      </c>
      <c r="B8071" s="9" t="str">
        <f>HYPERLINK("https://www.lazada.vn/products/acai-bot-anthocyanin-bot-thay-the-bua-an-i2748867830.html", "https://www.lazada.vn/products/acai-bot-anthocyanin-bot-thay-the-bua-an-i2748867830.html")</f>
        <v>https://www.lazada.vn/products/acai-bot-anthocyanin-bot-thay-the-bua-an-i2748867830.html</v>
      </c>
      <c r="C8071" s="10" t="s">
        <v>8071</v>
      </c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>
      <c r="A8072" s="8">
        <v>12926.0</v>
      </c>
      <c r="B8072" s="9" t="str">
        <f>HYPERLINK("https://www.lazada.vn/products/bot-san-day-herbacito-i2736695304.html", "https://www.lazada.vn/products/bot-san-day-herbacito-i2736695304.html")</f>
        <v>https://www.lazada.vn/products/bot-san-day-herbacito-i2736695304.html</v>
      </c>
      <c r="C8072" s="10" t="s">
        <v>8072</v>
      </c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>
      <c r="A8073" s="8">
        <v>12927.0</v>
      </c>
      <c r="B8073" s="9" t="str">
        <f>HYPERLINK("https://www.lazada.vn/products/15kg-hat-cature-easy-farm-co-topping-ruoc-cho-meo-day-du-dinh-duong-tai-thu-y-yeu-thuong-i2972874043.html", "https://www.lazada.vn/products/15kg-hat-cature-easy-farm-co-topping-ruoc-cho-meo-day-du-dinh-duong-tai-thu-y-yeu-thuong-i2972874043.html")</f>
        <v>https://www.lazada.vn/products/15kg-hat-cature-easy-farm-co-topping-ruoc-cho-meo-day-du-dinh-duong-tai-thu-y-yeu-thuong-i2972874043.html</v>
      </c>
      <c r="C8073" s="10" t="s">
        <v>8073</v>
      </c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>
      <c r="A8074" s="8">
        <v>12928.0</v>
      </c>
      <c r="B8074" s="9" t="str">
        <f>HYPERLINK("https://www.lazada.vn/products/banh-bong-lan-tipo-cuon-dau-360g-i3024240810.html", "https://www.lazada.vn/products/banh-bong-lan-tipo-cuon-dau-360g-i3024240810.html")</f>
        <v>https://www.lazada.vn/products/banh-bong-lan-tipo-cuon-dau-360g-i3024240810.html</v>
      </c>
      <c r="C8074" s="10" t="s">
        <v>8074</v>
      </c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>
      <c r="A8075" s="8">
        <v>12929.0</v>
      </c>
      <c r="B8075" s="9" t="str">
        <f>HYPERLINK("https://www.lazada.vn/products/snack-quay-xoan-upon-han-quoc-280gr-i2658288735.html", "https://www.lazada.vn/products/snack-quay-xoan-upon-han-quoc-280gr-i2658288735.html")</f>
        <v>https://www.lazada.vn/products/snack-quay-xoan-upon-han-quoc-280gr-i2658288735.html</v>
      </c>
      <c r="C8075" s="10" t="s">
        <v>8075</v>
      </c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>
      <c r="A8076" s="8">
        <v>12930.0</v>
      </c>
      <c r="B8076" s="9" t="str">
        <f>HYPERLINK("https://www.lazada.vn/products/combo-3-banh-gao-nuong-an-orion-vi-khoai-tay-pho-mai-nuong-1008g-i2841461840.html", "https://www.lazada.vn/products/combo-3-banh-gao-nuong-an-orion-vi-khoai-tay-pho-mai-nuong-1008g-i2841461840.html")</f>
        <v>https://www.lazada.vn/products/combo-3-banh-gao-nuong-an-orion-vi-khoai-tay-pho-mai-nuong-1008g-i2841461840.html</v>
      </c>
      <c r="C8076" s="10" t="s">
        <v>8076</v>
      </c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>
      <c r="A8077" s="8">
        <v>12931.0</v>
      </c>
      <c r="B8077" s="9" t="str">
        <f>HYPERLINK("https://www.lazada.vn/products/thung-24-lon-nuoc-tang-luc-sting-vang-320mllon-i2041467200.html", "https://www.lazada.vn/products/thung-24-lon-nuoc-tang-luc-sting-vang-320mllon-i2041467200.html")</f>
        <v>https://www.lazada.vn/products/thung-24-lon-nuoc-tang-luc-sting-vang-320mllon-i2041467200.html</v>
      </c>
      <c r="C8077" s="10" t="s">
        <v>8077</v>
      </c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>
      <c r="A8078" s="8">
        <v>12932.0</v>
      </c>
      <c r="B8078" s="9" t="str">
        <f>HYPERLINK("https://www.lazada.vn/products/thung-24-chai-nuoc-tang-luc-sting-dau-330mlchai-i2041435776.html", "https://www.lazada.vn/products/thung-24-chai-nuoc-tang-luc-sting-dau-330mlchai-i2041435776.html")</f>
        <v>https://www.lazada.vn/products/thung-24-chai-nuoc-tang-luc-sting-dau-330mlchai-i2041435776.html</v>
      </c>
      <c r="C8078" s="10" t="s">
        <v>8078</v>
      </c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>
      <c r="A8079" s="8">
        <v>12933.0</v>
      </c>
      <c r="B8079" s="9" t="str">
        <f>HYPERLINK("https://www.lazada.vn/products/khoai-lang-thanh-tam-vung-dung-de-chien-goi-250g-i2657985923.html", "https://www.lazada.vn/products/khoai-lang-thanh-tam-vung-dung-de-chien-goi-250g-i2657985923.html")</f>
        <v>https://www.lazada.vn/products/khoai-lang-thanh-tam-vung-dung-de-chien-goi-250g-i2657985923.html</v>
      </c>
      <c r="C8079" s="10" t="s">
        <v>8079</v>
      </c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>
      <c r="A8080" s="8">
        <v>12934.0</v>
      </c>
      <c r="B8080" s="9" t="str">
        <f>HYPERLINK("https://www.lazada.vn/products/banh-quy-bo-sua-mix-vi-dac-biet-lss-i2840453373.html", "https://www.lazada.vn/products/banh-quy-bo-sua-mix-vi-dac-biet-lss-i2840453373.html")</f>
        <v>https://www.lazada.vn/products/banh-quy-bo-sua-mix-vi-dac-biet-lss-i2840453373.html</v>
      </c>
      <c r="C8080" s="10" t="s">
        <v>8080</v>
      </c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>
      <c r="A8081" s="8">
        <v>12935.0</v>
      </c>
      <c r="B8081" s="9" t="str">
        <f>HYPERLINK("https://www.lazada.vn/products/1-hu-400gr-so-khom-thai-lan-i2676538268.html", "https://www.lazada.vn/products/1-hu-400gr-so-khom-thai-lan-i2676538268.html")</f>
        <v>https://www.lazada.vn/products/1-hu-400gr-so-khom-thai-lan-i2676538268.html</v>
      </c>
      <c r="C8081" s="10" t="s">
        <v>8081</v>
      </c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>
      <c r="A8082" s="8">
        <v>12936.0</v>
      </c>
      <c r="B8082" s="9" t="str">
        <f>HYPERLINK("https://www.lazada.vn/products/thung-24-chai-nuoc-giai-khat-revive-500mlchai-i2041367521.html", "https://www.lazada.vn/products/thung-24-chai-nuoc-giai-khat-revive-500mlchai-i2041367521.html")</f>
        <v>https://www.lazada.vn/products/thung-24-chai-nuoc-giai-khat-revive-500mlchai-i2041367521.html</v>
      </c>
      <c r="C8082" s="10" t="s">
        <v>8082</v>
      </c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>
      <c r="A8083" s="8">
        <v>12937.0</v>
      </c>
      <c r="B8083" s="9" t="str">
        <f>HYPERLINK("https://www.lazada.vn/products/tot-cho-suc-khoe-banh-quy-man-soda-biscuit-240gr-an-kieng-an-chay-i2839402970.html", "https://www.lazada.vn/products/tot-cho-suc-khoe-banh-quy-man-soda-biscuit-240gr-an-kieng-an-chay-i2839402970.html")</f>
        <v>https://www.lazada.vn/products/tot-cho-suc-khoe-banh-quy-man-soda-biscuit-240gr-an-kieng-an-chay-i2839402970.html</v>
      </c>
      <c r="C8083" s="10" t="s">
        <v>8083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>
      <c r="A8084" s="8">
        <v>12938.0</v>
      </c>
      <c r="B8084" s="9" t="str">
        <f>HYPERLINK("https://www.lazada.vn/products/snack-bap-cay-lotte-72g-ktown-market-i2656771938.html", "https://www.lazada.vn/products/snack-bap-cay-lotte-72g-ktown-market-i2656771938.html")</f>
        <v>https://www.lazada.vn/products/snack-bap-cay-lotte-72g-ktown-market-i2656771938.html</v>
      </c>
      <c r="C8084" s="10" t="s">
        <v>8084</v>
      </c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>
      <c r="A8085" s="8">
        <v>12939.0</v>
      </c>
      <c r="B8085" s="9" t="str">
        <f>HYPERLINK("https://www.lazada.vn/products/set-4-goi-dung-thu-thuc-uong-so-co-la-mix-vi-cafe-sua-dua-chocolate-nguyen-chat-thom-ngon-cacaomi-thuong-hang-i1267724642.html", "https://www.lazada.vn/products/set-4-goi-dung-thu-thuc-uong-so-co-la-mix-vi-cafe-sua-dua-chocolate-nguyen-chat-thom-ngon-cacaomi-thuong-hang-i1267724642.html")</f>
        <v>https://www.lazada.vn/products/set-4-goi-dung-thu-thuc-uong-so-co-la-mix-vi-cafe-sua-dua-chocolate-nguyen-chat-thom-ngon-cacaomi-thuong-hang-i1267724642.html</v>
      </c>
      <c r="C8085" s="10" t="s">
        <v>8085</v>
      </c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>
      <c r="A8086" s="8">
        <v>12940.0</v>
      </c>
      <c r="B8086" s="9" t="str">
        <f>HYPERLINK("https://www.lazada.vn/products/keo-thach-rau-cau-zaizai-cot-trai-cay-tuoi-vietfoods-du-vi-chung-nhan-hang-viet-nam-chat-luong-cao-i2061742199.html", "https://www.lazada.vn/products/keo-thach-rau-cau-zaizai-cot-trai-cay-tuoi-vietfoods-du-vi-chung-nhan-hang-viet-nam-chat-luong-cao-i2061742199.html")</f>
        <v>https://www.lazada.vn/products/keo-thach-rau-cau-zaizai-cot-trai-cay-tuoi-vietfoods-du-vi-chung-nhan-hang-viet-nam-chat-luong-cao-i2061742199.html</v>
      </c>
      <c r="C8086" s="10" t="s">
        <v>8086</v>
      </c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>
      <c r="A8087" s="8">
        <v>12941.0</v>
      </c>
      <c r="B8087" s="9" t="str">
        <f>HYPERLINK("https://www.lazada.vn/products/mieng-deo-gion-millenium-garden-wedding-candy-snacks-cho-tiec-cuoi-va-le-don-tre-em-mieng-deo-gion-mieng-deo-tron-500g-i2923800686.html", "https://www.lazada.vn/products/mieng-deo-gion-millenium-garden-wedding-candy-snacks-cho-tiec-cuoi-va-le-don-tre-em-mieng-deo-gion-mieng-deo-tron-500g-i2923800686.html")</f>
        <v>https://www.lazada.vn/products/mieng-deo-gion-millenium-garden-wedding-candy-snacks-cho-tiec-cuoi-va-le-don-tre-em-mieng-deo-gion-mieng-deo-tron-500g-i2923800686.html</v>
      </c>
      <c r="C8087" s="10" t="s">
        <v>8087</v>
      </c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>
      <c r="A8088" s="8">
        <v>12942.0</v>
      </c>
      <c r="B8088" s="9" t="str">
        <f>HYPERLINK("https://www.lazada.vn/products/mi-y-spaghetti-no4-balducci-500ggiao-hcm-i2921499792.html", "https://www.lazada.vn/products/mi-y-spaghetti-no4-balducci-500ggiao-hcm-i2921499792.html")</f>
        <v>https://www.lazada.vn/products/mi-y-spaghetti-no4-balducci-500ggiao-hcm-i2921499792.html</v>
      </c>
      <c r="C8088" s="10" t="s">
        <v>8088</v>
      </c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>
      <c r="A8089" s="8">
        <v>12943.0</v>
      </c>
      <c r="B8089" s="9" t="str">
        <f>HYPERLINK("https://www.lazada.vn/products/mi-quang-kho-sa-dec-200gr-dac-san-dong-thap-soi-tuoi-dai-thom-ngon-i1740751844.html", "https://www.lazada.vn/products/mi-quang-kho-sa-dec-200gr-dac-san-dong-thap-soi-tuoi-dai-thom-ngon-i1740751844.html")</f>
        <v>https://www.lazada.vn/products/mi-quang-kho-sa-dec-200gr-dac-san-dong-thap-soi-tuoi-dai-thom-ngon-i1740751844.html</v>
      </c>
      <c r="C8089" s="10" t="s">
        <v>8089</v>
      </c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>
      <c r="A8090" s="8">
        <v>12944.0</v>
      </c>
      <c r="B8090" s="9" t="str">
        <f>HYPERLINK("https://www.lazada.vn/products/bap-bung-vi-caramel-dan-d-pak-170g-i2423339478.html", "https://www.lazada.vn/products/bap-bung-vi-caramel-dan-d-pak-170g-i2423339478.html")</f>
        <v>https://www.lazada.vn/products/bap-bung-vi-caramel-dan-d-pak-170g-i2423339478.html</v>
      </c>
      <c r="C8090" s="10" t="s">
        <v>8090</v>
      </c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>
      <c r="A8091" s="8">
        <v>12945.0</v>
      </c>
      <c r="B8091" s="9" t="str">
        <f>HYPERLINK("https://www.lazada.vn/products/5-vien-keo-sam-xtreme-chinh-hang-gia-tot-che-ten-san-pham-i2945641291.html", "https://www.lazada.vn/products/5-vien-keo-sam-xtreme-chinh-hang-gia-tot-che-ten-san-pham-i2945641291.html")</f>
        <v>https://www.lazada.vn/products/5-vien-keo-sam-xtreme-chinh-hang-gia-tot-che-ten-san-pham-i2945641291.html</v>
      </c>
      <c r="C8091" s="10" t="s">
        <v>8091</v>
      </c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>
      <c r="A8092" s="8">
        <v>12946.0</v>
      </c>
      <c r="B8092" s="9" t="str">
        <f>HYPERLINK("https://www.lazada.vn/products/combo-2-thung-24-lon-pepsi-vi-chanh-khong-calo-320mllon-i2050956320.html", "https://www.lazada.vn/products/combo-2-thung-24-lon-pepsi-vi-chanh-khong-calo-320mllon-i2050956320.html")</f>
        <v>https://www.lazada.vn/products/combo-2-thung-24-lon-pepsi-vi-chanh-khong-calo-320mllon-i2050956320.html</v>
      </c>
      <c r="C8092" s="10" t="s">
        <v>8092</v>
      </c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>
      <c r="A8093" s="8">
        <v>12947.0</v>
      </c>
      <c r="B8093" s="9" t="str">
        <f>HYPERLINK("https://www.lazada.vn/products/bia-guinness-draught-stout-42-nhap-khau-ireland-1-thung-24-lon-440ml-i2830036835.html", "https://www.lazada.vn/products/bia-guinness-draught-stout-42-nhap-khau-ireland-1-thung-24-lon-440ml-i2830036835.html")</f>
        <v>https://www.lazada.vn/products/bia-guinness-draught-stout-42-nhap-khau-ireland-1-thung-24-lon-440ml-i2830036835.html</v>
      </c>
      <c r="C8093" s="10" t="s">
        <v>8093</v>
      </c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>
      <c r="A8094" s="8">
        <v>12948.0</v>
      </c>
      <c r="B8094" s="9" t="str">
        <f>HYPERLINK("https://www.lazada.vn/products/banh-dua-nuong-quang-nam-goi-180gr-gion-thom-ngon-i3023754193.html", "https://www.lazada.vn/products/banh-dua-nuong-quang-nam-goi-180gr-gion-thom-ngon-i3023754193.html")</f>
        <v>https://www.lazada.vn/products/banh-dua-nuong-quang-nam-goi-180gr-gion-thom-ngon-i3023754193.html</v>
      </c>
      <c r="C8094" s="10" t="s">
        <v>8094</v>
      </c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>
      <c r="A8095" s="8">
        <v>12949.0</v>
      </c>
      <c r="B8095" s="9" t="str">
        <f>HYPERLINK("https://www.lazada.vn/products/thung-24-chai-nuoc-tang-luc-sting-vang-330mlchai-i2041331678.html", "https://www.lazada.vn/products/thung-24-chai-nuoc-tang-luc-sting-vang-330mlchai-i2041331678.html")</f>
        <v>https://www.lazada.vn/products/thung-24-chai-nuoc-tang-luc-sting-vang-330mlchai-i2041331678.html</v>
      </c>
      <c r="C8095" s="10" t="s">
        <v>8095</v>
      </c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>
      <c r="A8096" s="8">
        <v>12950.0</v>
      </c>
      <c r="B8096" s="9" t="str">
        <f>HYPERLINK("https://www.lazada.vn/products/combo-10-banh-mi-teppanyaki-phu-cha-bong-luck-family-b133-gia-ngan-food-i2589615573.html", "https://www.lazada.vn/products/combo-10-banh-mi-teppanyaki-phu-cha-bong-luck-family-b133-gia-ngan-food-i2589615573.html")</f>
        <v>https://www.lazada.vn/products/combo-10-banh-mi-teppanyaki-phu-cha-bong-luck-family-b133-gia-ngan-food-i2589615573.html</v>
      </c>
      <c r="C8096" s="10" t="s">
        <v>8096</v>
      </c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>
      <c r="A8097" s="8">
        <v>12951.0</v>
      </c>
      <c r="B8097" s="9" t="str">
        <f>HYPERLINK("https://www.lazada.vn/products/banh-trang-tom-mo-hanh-1-goi-i2320780017.html", "https://www.lazada.vn/products/banh-trang-tom-mo-hanh-1-goi-i2320780017.html")</f>
        <v>https://www.lazada.vn/products/banh-trang-tom-mo-hanh-1-goi-i2320780017.html</v>
      </c>
      <c r="C8097" s="10" t="s">
        <v>8097</v>
      </c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>
      <c r="A8098" s="8">
        <v>12952.0</v>
      </c>
      <c r="B8098" s="9" t="str">
        <f>HYPERLINK("https://www.lazada.vn/products/combo-4-loai-bia-kasteel-tripel-doker-rouge-cuvee-du-chauteau-date-2022-i665402515.html", "https://www.lazada.vn/products/combo-4-loai-bia-kasteel-tripel-doker-rouge-cuvee-du-chauteau-date-2022-i665402515.html")</f>
        <v>https://www.lazada.vn/products/combo-4-loai-bia-kasteel-tripel-doker-rouge-cuvee-du-chauteau-date-2022-i665402515.html</v>
      </c>
      <c r="C8098" s="10" t="s">
        <v>8098</v>
      </c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>
      <c r="A8099" s="8">
        <v>12953.0</v>
      </c>
      <c r="B8099" s="9" t="str">
        <f>HYPERLINK("https://www.lazada.vn/products/combo-2-goi-ca-phe-sua-hoa-tan-3in1-king-coffee-tui-50-goi-x-20g-i2655315505.html", "https://www.lazada.vn/products/combo-2-goi-ca-phe-sua-hoa-tan-3in1-king-coffee-tui-50-goi-x-20g-i2655315505.html")</f>
        <v>https://www.lazada.vn/products/combo-2-goi-ca-phe-sua-hoa-tan-3in1-king-coffee-tui-50-goi-x-20g-i2655315505.html</v>
      </c>
      <c r="C8099" s="10" t="s">
        <v>8099</v>
      </c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>
      <c r="A8100" s="8">
        <v>12954.0</v>
      </c>
      <c r="B8100" s="9" t="str">
        <f>HYPERLINK("https://www.lazada.vn/products/combo-2-loc-6-lon-bia-asahi-super-dry-chinh-hang-330mllon-i2826780490.html", "https://www.lazada.vn/products/combo-2-loc-6-lon-bia-asahi-super-dry-chinh-hang-330mllon-i2826780490.html")</f>
        <v>https://www.lazada.vn/products/combo-2-loc-6-lon-bia-asahi-super-dry-chinh-hang-330mllon-i2826780490.html</v>
      </c>
      <c r="C8100" s="10" t="s">
        <v>8100</v>
      </c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>
      <c r="A8101" s="8">
        <v>12955.0</v>
      </c>
      <c r="B8101" s="9" t="str">
        <f>HYPERLINK("https://www.lazada.vn/products/ruou-vang-nhap-khau-vang-do-ruou-vang-phap-cruse-1819-saint-emilion-reserve-750ml-13-i2480874955.html", "https://www.lazada.vn/products/ruou-vang-nhap-khau-vang-do-ruou-vang-phap-cruse-1819-saint-emilion-reserve-750ml-13-i2480874955.html")</f>
        <v>https://www.lazada.vn/products/ruou-vang-nhap-khau-vang-do-ruou-vang-phap-cruse-1819-saint-emilion-reserve-750ml-13-i2480874955.html</v>
      </c>
      <c r="C8101" s="10" t="s">
        <v>8101</v>
      </c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>
      <c r="A8102" s="8">
        <v>12956.0</v>
      </c>
      <c r="B8102" s="9" t="str">
        <f>HYPERLINK("https://www.lazada.vn/products/trang-trung-ga-non-long-me-tim-gan-hop-500gr-giao-tphcm-i3022234700.html", "https://www.lazada.vn/products/trang-trung-ga-non-long-me-tim-gan-hop-500gr-giao-tphcm-i3022234700.html")</f>
        <v>https://www.lazada.vn/products/trang-trung-ga-non-long-me-tim-gan-hop-500gr-giao-tphcm-i3022234700.html</v>
      </c>
      <c r="C8102" s="10" t="s">
        <v>8102</v>
      </c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>
      <c r="A8103" s="8">
        <v>12957.0</v>
      </c>
      <c r="B8103" s="9" t="str">
        <f>HYPERLINK("https://www.lazada.vn/products/keo-socola-dua-agejib-noi-dia-nga-150g-i2881468622.html", "https://www.lazada.vn/products/keo-socola-dua-agejib-noi-dia-nga-150g-i2881468622.html")</f>
        <v>https://www.lazada.vn/products/keo-socola-dua-agejib-noi-dia-nga-150g-i2881468622.html</v>
      </c>
      <c r="C8103" s="10" t="s">
        <v>8103</v>
      </c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>
      <c r="A8104" s="8">
        <v>12958.0</v>
      </c>
      <c r="B8104" s="9" t="str">
        <f>HYPERLINK("https://www.lazada.vn/products/thung-24-lon-chill-cocktail-vi-cam-330mllon-do-con-3-i2439546027.html", "https://www.lazada.vn/products/thung-24-lon-chill-cocktail-vi-cam-330mllon-do-con-3-i2439546027.html")</f>
        <v>https://www.lazada.vn/products/thung-24-lon-chill-cocktail-vi-cam-330mllon-do-con-3-i2439546027.html</v>
      </c>
      <c r="C8104" s="10" t="s">
        <v>8104</v>
      </c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>
      <c r="A8105" s="8">
        <v>12959.0</v>
      </c>
      <c r="B8105" s="9" t="str">
        <f>HYPERLINK("https://www.lazada.vn/products/muc-rim-me-i2972292734.html", "https://www.lazada.vn/products/muc-rim-me-i2972292734.html")</f>
        <v>https://www.lazada.vn/products/muc-rim-me-i2972292734.html</v>
      </c>
      <c r="C8105" s="10" t="s">
        <v>8105</v>
      </c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>
      <c r="A8106" s="8">
        <v>12960.0</v>
      </c>
      <c r="B8106" s="9" t="str">
        <f>HYPERLINK("https://www.lazada.vn/products/1-tui-24-que-keo-thach-rau-cau-dai-huong-trai-cay-tuoi-poke-vietfoods-du-vi-chung-nhan-hang-viet-nam-chat-luong-cao-i2061544985.html", "https://www.lazada.vn/products/1-tui-24-que-keo-thach-rau-cau-dai-huong-trai-cay-tuoi-poke-vietfoods-du-vi-chung-nhan-hang-viet-nam-chat-luong-cao-i2061544985.html")</f>
        <v>https://www.lazada.vn/products/1-tui-24-que-keo-thach-rau-cau-dai-huong-trai-cay-tuoi-poke-vietfoods-du-vi-chung-nhan-hang-viet-nam-chat-luong-cao-i2061544985.html</v>
      </c>
      <c r="C8106" s="10" t="s">
        <v>8106</v>
      </c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>
      <c r="A8107" s="8">
        <v>12961.0</v>
      </c>
      <c r="B8107" s="9" t="str">
        <f>HYPERLINK("https://www.lazada.vn/products/bai-tho-vi-dried-strawberry-crisp-30gx2-tui-dried-fruit-snack-popular-internet-red-small-snack-dry-fruit-i2923534725.html", "https://www.lazada.vn/products/bai-tho-vi-dried-strawberry-crisp-30gx2-tui-dried-fruit-snack-popular-internet-red-small-snack-dry-fruit-i2923534725.html")</f>
        <v>https://www.lazada.vn/products/bai-tho-vi-dried-strawberry-crisp-30gx2-tui-dried-fruit-snack-popular-internet-red-small-snack-dry-fruit-i2923534725.html</v>
      </c>
      <c r="C8107" s="10" t="s">
        <v>8107</v>
      </c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>
      <c r="A8108" s="8">
        <v>12962.0</v>
      </c>
      <c r="B8108" s="9" t="str">
        <f>HYPERLINK("https://www.lazada.vn/products/bich-30goi-snack-keo-xuong-cho-vi-matcha-va-coffee-i2655868206.html", "https://www.lazada.vn/products/bich-30goi-snack-keo-xuong-cho-vi-matcha-va-coffee-i2655868206.html")</f>
        <v>https://www.lazada.vn/products/bich-30goi-snack-keo-xuong-cho-vi-matcha-va-coffee-i2655868206.html</v>
      </c>
      <c r="C8108" s="10" t="s">
        <v>8108</v>
      </c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>
      <c r="A8109" s="8">
        <v>12963.0</v>
      </c>
      <c r="B8109" s="9" t="str">
        <f>HYPERLINK("https://www.lazada.vn/products/combo-2-hop-banh-quy-munchys-lexus-2-vi-lua-chon-vi-kep-kem-pho-mai-cheese-cream-va-vi-socola-hop-150gx2-i2838714167.html", "https://www.lazada.vn/products/combo-2-hop-banh-quy-munchys-lexus-2-vi-lua-chon-vi-kep-kem-pho-mai-cheese-cream-va-vi-socola-hop-150gx2-i2838714167.html")</f>
        <v>https://www.lazada.vn/products/combo-2-hop-banh-quy-munchys-lexus-2-vi-lua-chon-vi-kep-kem-pho-mai-cheese-cream-va-vi-socola-hop-150gx2-i2838714167.html</v>
      </c>
      <c r="C8109" s="10" t="s">
        <v>8109</v>
      </c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>
      <c r="A8110" s="8">
        <v>12964.0</v>
      </c>
      <c r="B8110" s="9" t="str">
        <f>HYPERLINK("https://www.lazada.vn/products/bot-cacao-nguyen-chat-khong-duong-cacaomi-premium-thuc-uong-socola-nong-dam-vi-ca-cao-chuyen-pha-che-so-co-la-nong-tra-sua-milo-dam-phu-hop-an-kieng-giam-can-keto-eatclean-an-chay-thuc-duong-healthy-chuan-xuat-khau-250g-i126", "https://www.lazada.vn/products/bot-cacao-nguyen-chat-khong-duong-cacaomi-premium-thuc-uong-socola-nong-dam-vi-ca-cao-chuyen-pha-che-so-co-la-nong-tra-sua-milo-dam-phu-hop-an-kieng-giam-can-keto-eatclean-an-chay-thuc-duong-healthy-chuan-xuat-khau-250g-i126")</f>
        <v>https://www.lazada.vn/products/bot-cacao-nguyen-chat-khong-duong-cacaomi-premium-thuc-uong-socola-nong-dam-vi-ca-cao-chuyen-pha-che-so-co-la-nong-tra-sua-milo-dam-phu-hop-an-kieng-giam-can-keto-eatclean-an-chay-thuc-duong-healthy-chuan-xuat-khau-250g-i126</v>
      </c>
      <c r="C8110" s="10" t="s">
        <v>8110</v>
      </c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>
      <c r="A8111" s="8">
        <v>12965.0</v>
      </c>
      <c r="B8111" s="9" t="str">
        <f>HYPERLINK("https://www.lazada.vn/products/muoi-hong-himalaya-organic-1kg-i1740694193.html", "https://www.lazada.vn/products/muoi-hong-himalaya-organic-1kg-i1740694193.html")</f>
        <v>https://www.lazada.vn/products/muoi-hong-himalaya-organic-1kg-i1740694193.html</v>
      </c>
      <c r="C8111" s="10" t="s">
        <v>8111</v>
      </c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>
      <c r="A8112" s="8">
        <v>12966.0</v>
      </c>
      <c r="B8112" s="9" t="str">
        <f>HYPERLINK("https://www.lazada.vn/products/bap-rang-no-striking-du-vi-100g-i2370698206.html", "https://www.lazada.vn/products/bap-rang-no-striking-du-vi-100g-i2370698206.html")</f>
        <v>https://www.lazada.vn/products/bap-rang-no-striking-du-vi-100g-i2370698206.html</v>
      </c>
      <c r="C8112" s="10" t="s">
        <v>8112</v>
      </c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>
      <c r="A8113" s="8">
        <v>12967.0</v>
      </c>
      <c r="B8113" s="9" t="str">
        <f>HYPERLINK("https://www.lazada.vn/products/do-an-vat-keo-duong-den-keo-man-keo-cuoi-keo-ngot-chua-keo-cung-dong-goi-hat-sua-keo-vat-cho-tre-em-keo-duong-nguyen-chat-i2923877108.html", "https://www.lazada.vn/products/do-an-vat-keo-duong-den-keo-man-keo-cuoi-keo-ngot-chua-keo-cung-dong-goi-hat-sua-keo-vat-cho-tre-em-keo-duong-nguyen-chat-i2923877108.html")</f>
        <v>https://www.lazada.vn/products/do-an-vat-keo-duong-den-keo-man-keo-cuoi-keo-ngot-chua-keo-cung-dong-goi-hat-sua-keo-vat-cho-tre-em-keo-duong-nguyen-chat-i2923877108.html</v>
      </c>
      <c r="C8113" s="10" t="s">
        <v>8113</v>
      </c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>
      <c r="A8114" s="8">
        <v>12968.0</v>
      </c>
      <c r="B8114" s="9" t="str">
        <f>HYPERLINK("https://www.lazada.vn/products/1-thung-30-lon-nuoc-giai-khat-co-ga-fanta-cam-160ml-x-30-lon-i2049993279.html", "https://www.lazada.vn/products/1-thung-30-lon-nuoc-giai-khat-co-ga-fanta-cam-160ml-x-30-lon-i2049993279.html")</f>
        <v>https://www.lazada.vn/products/1-thung-30-lon-nuoc-giai-khat-co-ga-fanta-cam-160ml-x-30-lon-i2049993279.html</v>
      </c>
      <c r="C8114" s="10" t="s">
        <v>8114</v>
      </c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>
      <c r="A8115" s="8">
        <v>12969.0</v>
      </c>
      <c r="B8115" s="9" t="str">
        <f>HYPERLINK("https://www.lazada.vn/products/mi-ly-modern-lau-thai-tom-67gr-i2916240257.html", "https://www.lazada.vn/products/mi-ly-modern-lau-thai-tom-67gr-i2916240257.html")</f>
        <v>https://www.lazada.vn/products/mi-ly-modern-lau-thai-tom-67gr-i2916240257.html</v>
      </c>
      <c r="C8115" s="10" t="s">
        <v>8115</v>
      </c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>
      <c r="A8116" s="8">
        <v>12970.0</v>
      </c>
      <c r="B8116" s="9" t="str">
        <f>HYPERLINK("https://www.lazada.vn/products/banh-bong-lan-dai-loan-mix-8-loai-banh-kg-i3006818251.html", "https://www.lazada.vn/products/banh-bong-lan-dai-loan-mix-8-loai-banh-kg-i3006818251.html")</f>
        <v>https://www.lazada.vn/products/banh-bong-lan-dai-loan-mix-8-loai-banh-kg-i3006818251.html</v>
      </c>
      <c r="C8116" s="10" t="s">
        <v>8116</v>
      </c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>
      <c r="A8117" s="8">
        <v>12971.0</v>
      </c>
      <c r="B8117" s="9" t="str">
        <f>HYPERLINK("https://www.lazada.vn/products/thung-24-chai-nuoc-giai-khat-revive-chanh-muoi-390mlchai-i2041274786.html", "https://www.lazada.vn/products/thung-24-chai-nuoc-giai-khat-revive-chanh-muoi-390mlchai-i2041274786.html")</f>
        <v>https://www.lazada.vn/products/thung-24-chai-nuoc-giai-khat-revive-chanh-muoi-390mlchai-i2041274786.html</v>
      </c>
      <c r="C8117" s="10" t="s">
        <v>8117</v>
      </c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>
      <c r="A8118" s="8">
        <v>12972.0</v>
      </c>
      <c r="B8118" s="9" t="str">
        <f>HYPERLINK("https://www.lazada.vn/products/banh-trang-muoi-toi-xi-ke-tay-ninh-i2320641394.html", "https://www.lazada.vn/products/banh-trang-muoi-toi-xi-ke-tay-ninh-i2320641394.html")</f>
        <v>https://www.lazada.vn/products/banh-trang-muoi-toi-xi-ke-tay-ninh-i2320641394.html</v>
      </c>
      <c r="C8118" s="10" t="s">
        <v>8118</v>
      </c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>
      <c r="A8119" s="8">
        <v>12973.0</v>
      </c>
      <c r="B8119" s="9" t="str">
        <f>HYPERLINK("https://www.lazada.vn/products/thung-1kg-banh-mi-teppanyaki-phu-cha-bong-luck-family-b133-beegin-food-i2589587617.html", "https://www.lazada.vn/products/thung-1kg-banh-mi-teppanyaki-phu-cha-bong-luck-family-b133-beegin-food-i2589587617.html")</f>
        <v>https://www.lazada.vn/products/thung-1kg-banh-mi-teppanyaki-phu-cha-bong-luck-family-b133-beegin-food-i2589587617.html</v>
      </c>
      <c r="C8119" s="10" t="s">
        <v>8119</v>
      </c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>
      <c r="A8120" s="8">
        <v>12974.0</v>
      </c>
      <c r="B8120" s="9" t="str">
        <f>HYPERLINK("https://www.lazada.vn/products/hcmbia-platinum-golden-5-330ml-i657648241.html", "https://www.lazada.vn/products/hcmbia-platinum-golden-5-330ml-i657648241.html")</f>
        <v>https://www.lazada.vn/products/hcmbia-platinum-golden-5-330ml-i657648241.html</v>
      </c>
      <c r="C8120" s="10" t="s">
        <v>8120</v>
      </c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>
      <c r="A8121" s="8">
        <v>12975.0</v>
      </c>
      <c r="B8121" s="9" t="str">
        <f>HYPERLINK("https://www.lazada.vn/products/ca-phe-pho-den-bich-35-goi-i2655172619.html", "https://www.lazada.vn/products/ca-phe-pho-den-bich-35-goi-i2655172619.html")</f>
        <v>https://www.lazada.vn/products/ca-phe-pho-den-bich-35-goi-i2655172619.html</v>
      </c>
      <c r="C8121" s="10" t="s">
        <v>8121</v>
      </c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>
      <c r="A8122" s="8">
        <v>12976.0</v>
      </c>
      <c r="B8122" s="9" t="str">
        <f>HYPERLINK("https://www.lazada.vn/products/combo-2-thung-24-lon-bia-asahi-super-dry-chinh-hang-330mllon-i2826710862.html", "https://www.lazada.vn/products/combo-2-thung-24-lon-bia-asahi-super-dry-chinh-hang-330mllon-i2826710862.html")</f>
        <v>https://www.lazada.vn/products/combo-2-thung-24-lon-bia-asahi-super-dry-chinh-hang-330mllon-i2826710862.html</v>
      </c>
      <c r="C8122" s="10" t="s">
        <v>8122</v>
      </c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>
      <c r="A8123" s="8">
        <v>12977.0</v>
      </c>
      <c r="B8123" s="9" t="str">
        <f>HYPERLINK("https://www.lazada.vn/products/cb-15-goi-mi-omachi-tron-vi-thit-xien-nuong-82gr-68760-i3054079421.html", "https://www.lazada.vn/products/cb-15-goi-mi-omachi-tron-vi-thit-xien-nuong-82gr-68760-i3054079421.html")</f>
        <v>https://www.lazada.vn/products/cb-15-goi-mi-omachi-tron-vi-thit-xien-nuong-82gr-68760-i3054079421.html</v>
      </c>
      <c r="C8123" s="10" t="s">
        <v>8123</v>
      </c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>
      <c r="A8124" s="8">
        <v>12978.0</v>
      </c>
      <c r="B8124" s="9" t="str">
        <f>HYPERLINK("https://www.lazada.vn/products/vang-y-passorano-i2478352211.html", "https://www.lazada.vn/products/vang-y-passorano-i2478352211.html")</f>
        <v>https://www.lazada.vn/products/vang-y-passorano-i2478352211.html</v>
      </c>
      <c r="C8124" s="10" t="s">
        <v>8124</v>
      </c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>
      <c r="A8125" s="8">
        <v>12979.0</v>
      </c>
      <c r="B8125" s="9" t="str">
        <f>HYPERLINK("https://www.lazada.vn/products/keo-socola-ruou-cherry-cua-nga-i2881402935.html", "https://www.lazada.vn/products/keo-socola-ruou-cherry-cua-nga-i2881402935.html")</f>
        <v>https://www.lazada.vn/products/keo-socola-ruou-cherry-cua-nga-i2881402935.html</v>
      </c>
      <c r="C8125" s="10" t="s">
        <v>8125</v>
      </c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>
      <c r="A8126" s="8">
        <v>12980.0</v>
      </c>
      <c r="B8126" s="9" t="str">
        <f>HYPERLINK("https://www.lazada.vn/products/siro-gia-thinh-phat-chai-930ml-i2437722824.html", "https://www.lazada.vn/products/siro-gia-thinh-phat-chai-930ml-i2437722824.html")</f>
        <v>https://www.lazada.vn/products/siro-gia-thinh-phat-chai-930ml-i2437722824.html</v>
      </c>
      <c r="C8126" s="10" t="s">
        <v>8126</v>
      </c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>
      <c r="A8127" s="8">
        <v>12981.0</v>
      </c>
      <c r="B8127" s="9" t="str">
        <f>HYPERLINK("https://www.lazada.vn/products/bot-kem-beo-kievit-goi-nguyen-1kg-i3005114918.html", "https://www.lazada.vn/products/bot-kem-beo-kievit-goi-nguyen-1kg-i3005114918.html")</f>
        <v>https://www.lazada.vn/products/bot-kem-beo-kievit-goi-nguyen-1kg-i3005114918.html</v>
      </c>
      <c r="C8127" s="10" t="s">
        <v>8127</v>
      </c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>
      <c r="A8128" s="8">
        <v>12982.0</v>
      </c>
      <c r="B8128" s="9" t="str">
        <f>HYPERLINK("https://www.lazada.vn/products/nuoc-ngot-coca-cola-nhat-ban-ngot-thanh-co-gas-tao-cam-giac-sang-khoai-500ml-i2044094061.html", "https://www.lazada.vn/products/nuoc-ngot-coca-cola-nhat-ban-ngot-thanh-co-gas-tao-cam-giac-sang-khoai-500ml-i2044094061.html")</f>
        <v>https://www.lazada.vn/products/nuoc-ngot-coca-cola-nhat-ban-ngot-thanh-co-gas-tao-cam-giac-sang-khoai-500ml-i2044094061.html</v>
      </c>
      <c r="C8128" s="10" t="s">
        <v>8128</v>
      </c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>
      <c r="A8129" s="8">
        <v>12983.0</v>
      </c>
      <c r="B8129" s="9" t="str">
        <f>HYPERLINK("https://www.lazada.vn/products/hoa-toc-thung-24-lon-sting-do-330-ml-i2028694678.html", "https://www.lazada.vn/products/hoa-toc-thung-24-lon-sting-do-330-ml-i2028694678.html")</f>
        <v>https://www.lazada.vn/products/hoa-toc-thung-24-lon-sting-do-330-ml-i2028694678.html</v>
      </c>
      <c r="C8129" s="10" t="s">
        <v>8129</v>
      </c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>
      <c r="A8130" s="8">
        <v>12984.0</v>
      </c>
      <c r="B8130" s="9" t="str">
        <f>HYPERLINK("https://www.lazada.vn/products/500gr-muoi-hong-hymalaya-i1740687220.html", "https://www.lazada.vn/products/500gr-muoi-hong-hymalaya-i1740687220.html")</f>
        <v>https://www.lazada.vn/products/500gr-muoi-hong-hymalaya-i1740687220.html</v>
      </c>
      <c r="C8130" s="10" t="s">
        <v>8130</v>
      </c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>
      <c r="A8131" s="8">
        <v>12985.0</v>
      </c>
      <c r="B8131" s="9" t="str">
        <f>HYPERLINK("https://www.lazada.vn/products/bo-cacao-nguyen-chat-cacaomi-cocoa-butter-ep-tu-hat-ca-cao-tho-dung-lam-banh-chocolate-my-pham-duong-da-son-duong-chuan-utz-xuat-khau-tui-250g-500g-i1267713592.html", "https://www.lazada.vn/products/bo-cacao-nguyen-chat-cacaomi-cocoa-butter-ep-tu-hat-ca-cao-tho-dung-lam-banh-chocolate-my-pham-duong-da-son-duong-chuan-utz-xuat-khau-tui-250g-500g-i1267713592.html")</f>
        <v>https://www.lazada.vn/products/bo-cacao-nguyen-chat-cacaomi-cocoa-butter-ep-tu-hat-ca-cao-tho-dung-lam-banh-chocolate-my-pham-duong-da-son-duong-chuan-utz-xuat-khau-tui-250g-500g-i1267713592.html</v>
      </c>
      <c r="C8131" s="10" t="s">
        <v>8131</v>
      </c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>
      <c r="A8132" s="8">
        <v>12986.0</v>
      </c>
      <c r="B8132" s="9" t="str">
        <f>HYPERLINK("https://www.lazada.vn/products/500g-khoai-lang-mat-say-deo-khong-duong-hut-chan-khong-tung-cu-i2908320946.html", "https://www.lazada.vn/products/500g-khoai-lang-mat-say-deo-khong-duong-hut-chan-khong-tung-cu-i2908320946.html")</f>
        <v>https://www.lazada.vn/products/500g-khoai-lang-mat-say-deo-khong-duong-hut-chan-khong-tung-cu-i2908320946.html</v>
      </c>
      <c r="C8132" s="10" t="s">
        <v>8132</v>
      </c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>
      <c r="A8133" s="8">
        <v>12987.0</v>
      </c>
      <c r="B8133" s="9" t="str">
        <f>HYPERLINK("https://www.lazada.vn/products/bap-rang-no-striking-vi-socola-trang-100g-i2370667672.html", "https://www.lazada.vn/products/bap-rang-no-striking-vi-socola-trang-100g-i2370667672.html")</f>
        <v>https://www.lazada.vn/products/bap-rang-no-striking-vi-socola-trang-100g-i2370667672.html</v>
      </c>
      <c r="C8133" s="10" t="s">
        <v>8133</v>
      </c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>
      <c r="A8134" s="8">
        <v>12988.0</v>
      </c>
      <c r="B8134" s="9" t="str">
        <f>HYPERLINK("https://www.lazada.vn/products/bun-gio-heo-vifon-65g-goi-i3036035667.html", "https://www.lazada.vn/products/bun-gio-heo-vifon-65g-goi-i3036035667.html")</f>
        <v>https://www.lazada.vn/products/bun-gio-heo-vifon-65g-goi-i3036035667.html</v>
      </c>
      <c r="C8134" s="10" t="s">
        <v>8134</v>
      </c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>
      <c r="A8135" s="8">
        <v>12989.0</v>
      </c>
      <c r="B8135" s="9" t="str">
        <f>HYPERLINK("https://www.lazada.vn/products/hcm-300g-banh-phong-tom-chien-san-gion-rum-phu-hop-cho-tat-ca-moi-nguoi-i2318688640.html", "https://www.lazada.vn/products/hcm-300g-banh-phong-tom-chien-san-gion-rum-phu-hop-cho-tat-ca-moi-nguoi-i2318688640.html")</f>
        <v>https://www.lazada.vn/products/hcm-300g-banh-phong-tom-chien-san-gion-rum-phu-hop-cho-tat-ca-moi-nguoi-i2318688640.html</v>
      </c>
      <c r="C8135" s="10" t="s">
        <v>8135</v>
      </c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>
      <c r="A8136" s="8">
        <v>12990.0</v>
      </c>
      <c r="B8136" s="9" t="str">
        <f>HYPERLINK("https://www.lazada.vn/products/buon-si-re-hanh-nhan-tuong-nhon-bo-sua-thom-beo-200gr-i2862483035.html", "https://www.lazada.vn/products/buon-si-re-hanh-nhan-tuong-nhon-bo-sua-thom-beo-200gr-i2862483035.html")</f>
        <v>https://www.lazada.vn/products/buon-si-re-hanh-nhan-tuong-nhon-bo-sua-thom-beo-200gr-i2862483035.html</v>
      </c>
      <c r="C8136" s="10" t="s">
        <v>8136</v>
      </c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>
      <c r="A8137" s="8">
        <v>12991.0</v>
      </c>
      <c r="B8137" s="9" t="str">
        <f>HYPERLINK("https://www.lazada.vn/products/combo-5-banh-mi-teppanyaki-phu-cha-bong-luck-family-b133-an-vat-beegin-i2589580854.html", "https://www.lazada.vn/products/combo-5-banh-mi-teppanyaki-phu-cha-bong-luck-family-b133-an-vat-beegin-i2589580854.html")</f>
        <v>https://www.lazada.vn/products/combo-5-banh-mi-teppanyaki-phu-cha-bong-luck-family-b133-an-vat-beegin-i2589580854.html</v>
      </c>
      <c r="C8137" s="10" t="s">
        <v>8137</v>
      </c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>
      <c r="A8138" s="8">
        <v>12992.0</v>
      </c>
      <c r="B8138" s="9" t="str">
        <f>HYPERLINK("https://www.lazada.vn/products/banh-xep-mandu-han-quoc-goi-350g-giao-tphcm-i3005305953.html", "https://www.lazada.vn/products/banh-xep-mandu-han-quoc-goi-350g-giao-tphcm-i3005305953.html")</f>
        <v>https://www.lazada.vn/products/banh-xep-mandu-han-quoc-goi-350g-giao-tphcm-i3005305953.html</v>
      </c>
      <c r="C8138" s="10" t="s">
        <v>8138</v>
      </c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>
      <c r="A8139" s="8">
        <v>12993.0</v>
      </c>
      <c r="B8139" s="9" t="str">
        <f>HYPERLINK("https://www.lazada.vn/products/bia-kaiserin-gold-lager-thung-24lon-date-moi-i2825474809.html", "https://www.lazada.vn/products/bia-kaiserin-gold-lager-thung-24lon-date-moi-i2825474809.html")</f>
        <v>https://www.lazada.vn/products/bia-kaiserin-gold-lager-thung-24lon-date-moi-i2825474809.html</v>
      </c>
      <c r="C8139" s="10" t="s">
        <v>8139</v>
      </c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>
      <c r="A8140" s="8">
        <v>12994.0</v>
      </c>
      <c r="B8140" s="9" t="str">
        <f>HYPERLINK("https://www.lazada.vn/products/thach-trai-cay-orihiro-i2061301669.html", "https://www.lazada.vn/products/thach-trai-cay-orihiro-i2061301669.html")</f>
        <v>https://www.lazada.vn/products/thach-trai-cay-orihiro-i2061301669.html</v>
      </c>
      <c r="C8140" s="10" t="s">
        <v>8140</v>
      </c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>
      <c r="A8141" s="8">
        <v>12995.0</v>
      </c>
      <c r="B8141" s="9" t="str">
        <f>HYPERLINK("https://www.lazada.vn/products/o-mai-dao-hong-phan-xi-muoi-keo-socola-don-tie-my-keo-dau-taytam-2-mau-hat-mix-3-loai-lms-i2921375337.html", "https://www.lazada.vn/products/o-mai-dao-hong-phan-xi-muoi-keo-socola-don-tie-my-keo-dau-taytam-2-mau-hat-mix-3-loai-lms-i2921375337.html")</f>
        <v>https://www.lazada.vn/products/o-mai-dao-hong-phan-xi-muoi-keo-socola-don-tie-my-keo-dau-taytam-2-mau-hat-mix-3-loai-lms-i2921375337.html</v>
      </c>
      <c r="C8141" s="10" t="s">
        <v>8141</v>
      </c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>
      <c r="A8142" s="8">
        <v>12996.0</v>
      </c>
      <c r="B8142" s="9" t="str">
        <f>HYPERLINK("https://www.lazada.vn/products/ruou-tao-meo-nguyen-chat-len-men-tu-nhien-i2993930464.html", "https://www.lazada.vn/products/ruou-tao-meo-nguyen-chat-len-men-tu-nhien-i2993930464.html")</f>
        <v>https://www.lazada.vn/products/ruou-tao-meo-nguyen-chat-len-men-tu-nhien-i2993930464.html</v>
      </c>
      <c r="C8142" s="10" t="s">
        <v>8142</v>
      </c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>
      <c r="A8143" s="8">
        <v>12997.0</v>
      </c>
      <c r="B8143" s="9" t="str">
        <f>HYPERLINK("https://www.lazada.vn/products/si-2bich60goi-snack-gan-ga-nong-sot-dai-ngon-i2655638420.html", "https://www.lazada.vn/products/si-2bich60goi-snack-gan-ga-nong-sot-dai-ngon-i2655638420.html")</f>
        <v>https://www.lazada.vn/products/si-2bich60goi-snack-gan-ga-nong-sot-dai-ngon-i2655638420.html</v>
      </c>
      <c r="C8143" s="10" t="s">
        <v>8143</v>
      </c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>
      <c r="A8144" s="8">
        <v>12998.0</v>
      </c>
      <c r="B8144" s="9" t="str">
        <f>HYPERLINK("https://www.lazada.vn/products/mix-cac-loai-banh-dung-thu-cua-tiem-phu-ong-sieu-ngon-day-du-dinh-duong-tha-ho-thuong-thuc-i2838599033.html", "https://www.lazada.vn/products/mix-cac-loai-banh-dung-thu-cua-tiem-phu-ong-sieu-ngon-day-du-dinh-duong-tha-ho-thuong-thuc-i2838599033.html")</f>
        <v>https://www.lazada.vn/products/mix-cac-loai-banh-dung-thu-cua-tiem-phu-ong-sieu-ngon-day-du-dinh-duong-tha-ho-thuong-thuc-i2838599033.html</v>
      </c>
      <c r="C8144" s="10" t="s">
        <v>8144</v>
      </c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>
      <c r="A8145" s="8">
        <v>12999.0</v>
      </c>
      <c r="B8145" s="9" t="str">
        <f>HYPERLINK("https://www.lazada.vn/products/do-an-vat-cho-meo-dong-kho-uc-ga-uc-ga-nguyen-mieng-uc-ga-uc-ga-tang-beo-dinh-duong-i2969503910.html", "https://www.lazada.vn/products/do-an-vat-cho-meo-dong-kho-uc-ga-uc-ga-nguyen-mieng-uc-ga-uc-ga-tang-beo-dinh-duong-i2969503910.html")</f>
        <v>https://www.lazada.vn/products/do-an-vat-cho-meo-dong-kho-uc-ga-uc-ga-nguyen-mieng-uc-ga-uc-ga-tang-beo-dinh-duong-i2969503910.html</v>
      </c>
      <c r="C8145" s="10" t="s">
        <v>8145</v>
      </c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>
      <c r="A8146" s="8">
        <v>13000.0</v>
      </c>
      <c r="B8146" s="9" t="str">
        <f>HYPERLINK("https://www.lazada.vn/products/500g-ca-phe-chon-nau-bao-tin-gu-di-san-i2655120568.html", "https://www.lazada.vn/products/500g-ca-phe-chon-nau-bao-tin-gu-di-san-i2655120568.html")</f>
        <v>https://www.lazada.vn/products/500g-ca-phe-chon-nau-bao-tin-gu-di-san-i2655120568.html</v>
      </c>
      <c r="C8146" s="10" t="s">
        <v>8146</v>
      </c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>
      <c r="A8147" s="8">
        <v>13001.0</v>
      </c>
      <c r="B8147" s="9" t="str">
        <f>HYPERLINK("https://www.lazada.vn/products/keo-socola-merletto-premuim-hop-150g-date-t122025-i2881354924.html", "https://www.lazada.vn/products/keo-socola-merletto-premuim-hop-150g-date-t122025-i2881354924.html")</f>
        <v>https://www.lazada.vn/products/keo-socola-merletto-premuim-hop-150g-date-t122025-i2881354924.html</v>
      </c>
      <c r="C8147" s="10" t="s">
        <v>8147</v>
      </c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>
      <c r="A8148" s="8">
        <v>13002.0</v>
      </c>
      <c r="B8148" s="9" t="str">
        <f>HYPERLINK("https://www.lazada.vn/products/bia-viet-ha-1-lit-i656634197.html", "https://www.lazada.vn/products/bia-viet-ha-1-lit-i656634197.html")</f>
        <v>https://www.lazada.vn/products/bia-viet-ha-1-lit-i656634197.html</v>
      </c>
      <c r="C8148" s="10" t="s">
        <v>8148</v>
      </c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>
      <c r="A8149" s="8">
        <v>13003.0</v>
      </c>
      <c r="B8149" s="9" t="str">
        <f>HYPERLINK("https://www.lazada.vn/products/hop-12-goi-bot-rau-cau-con-ca-deo-hiep-long-12g-goi-an-vat-food-i2647446964.html", "https://www.lazada.vn/products/hop-12-goi-bot-rau-cau-con-ca-deo-hiep-long-12g-goi-an-vat-food-i2647446964.html")</f>
        <v>https://www.lazada.vn/products/hop-12-goi-bot-rau-cau-con-ca-deo-hiep-long-12g-goi-an-vat-food-i2647446964.html</v>
      </c>
      <c r="C8149" s="10" t="s">
        <v>8149</v>
      </c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>
      <c r="A8150" s="8">
        <v>13004.0</v>
      </c>
      <c r="B8150" s="9" t="str">
        <f>HYPERLINK("https://www.lazada.vn/products/thung-mi-ly-lau-thai-tom-acecook-thuc-pham-bach-phuc-da-i2909258095.html", "https://www.lazada.vn/products/thung-mi-ly-lau-thai-tom-acecook-thuc-pham-bach-phuc-da-i2909258095.html")</f>
        <v>https://www.lazada.vn/products/thung-mi-ly-lau-thai-tom-acecook-thuc-pham-bach-phuc-da-i2909258095.html</v>
      </c>
      <c r="C8150" s="10" t="s">
        <v>8150</v>
      </c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>
      <c r="A8151" s="8">
        <v>13005.0</v>
      </c>
      <c r="B8151" s="9" t="str">
        <f>HYPERLINK("https://www.lazada.vn/products/fine-japan-thach-rau-cu-hoa-qua-nhat-ho-tro-tieu-hoa-tang-nang-luong-tuc-thi-hop-20-thanh-i2433860097.html", "https://www.lazada.vn/products/fine-japan-thach-rau-cu-hoa-qua-nhat-ho-tro-tieu-hoa-tang-nang-luong-tuc-thi-hop-20-thanh-i2433860097.html")</f>
        <v>https://www.lazada.vn/products/fine-japan-thach-rau-cu-hoa-qua-nhat-ho-tro-tieu-hoa-tang-nang-luong-tuc-thi-hop-20-thanh-i2433860097.html</v>
      </c>
      <c r="C8151" s="10" t="s">
        <v>8151</v>
      </c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>
      <c r="A8152" s="8">
        <v>13006.0</v>
      </c>
      <c r="B8152" s="9" t="str">
        <f>HYPERLINK("https://www.lazada.vn/products/thung-24-chai-nuoc-uong-the-thao-co-duong-aquarius-390ml-i2006452095.html", "https://www.lazada.vn/products/thung-24-chai-nuoc-uong-the-thao-co-duong-aquarius-390ml-i2006452095.html")</f>
        <v>https://www.lazada.vn/products/thung-24-chai-nuoc-uong-the-thao-co-duong-aquarius-390ml-i2006452095.html</v>
      </c>
      <c r="C8152" s="10" t="s">
        <v>8152</v>
      </c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>
      <c r="A8153" s="8">
        <v>13007.0</v>
      </c>
      <c r="B8153" s="9" t="str">
        <f>HYPERLINK("https://www.lazada.vn/products/nuoc-ngot-co-ga-cocacola-nguyen-ban-co-duong-chai-300ml-i2043315401.html", "https://www.lazada.vn/products/nuoc-ngot-co-ga-cocacola-nguyen-ban-co-duong-chai-300ml-i2043315401.html")</f>
        <v>https://www.lazada.vn/products/nuoc-ngot-co-ga-cocacola-nguyen-ban-co-duong-chai-300ml-i2043315401.html</v>
      </c>
      <c r="C8153" s="10" t="s">
        <v>8153</v>
      </c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>
      <c r="A8154" s="8">
        <v>13008.0</v>
      </c>
      <c r="B8154" s="9" t="str">
        <f>HYPERLINK("https://www.lazada.vn/products/hu-tieu-gao-lut-kho-sa-dec-200g-i1740657558.html", "https://www.lazada.vn/products/hu-tieu-gao-lut-kho-sa-dec-200g-i1740657558.html")</f>
        <v>https://www.lazada.vn/products/hu-tieu-gao-lut-kho-sa-dec-200g-i1740657558.html</v>
      </c>
      <c r="C8154" s="10" t="s">
        <v>8154</v>
      </c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>
      <c r="A8155" s="8">
        <v>13009.0</v>
      </c>
      <c r="B8155" s="9" t="str">
        <f>HYPERLINK("https://www.lazada.vn/products/50-trai-o-ro-tuoi-i2872724295.html", "https://www.lazada.vn/products/50-trai-o-ro-tuoi-i2872724295.html")</f>
        <v>https://www.lazada.vn/products/50-trai-o-ro-tuoi-i2872724295.html</v>
      </c>
      <c r="C8155" s="10" t="s">
        <v>8155</v>
      </c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>
      <c r="A8156" s="8">
        <v>13010.0</v>
      </c>
      <c r="B8156" s="9" t="str">
        <f>HYPERLINK("https://www.lazada.vn/products/bot-ca-cao-sua-hoa-tan-3in1-cacaomi-thom-ngon-dam-da-vi-cacao-nguyen-chat-chuyen-pha-che-socola-nong-tra-sua-milo-dam-lam-banh-i1267708628.html", "https://www.lazada.vn/products/bot-ca-cao-sua-hoa-tan-3in1-cacaomi-thom-ngon-dam-da-vi-cacao-nguyen-chat-chuyen-pha-che-socola-nong-tra-sua-milo-dam-lam-banh-i1267708628.html")</f>
        <v>https://www.lazada.vn/products/bot-ca-cao-sua-hoa-tan-3in1-cacaomi-thom-ngon-dam-da-vi-cacao-nguyen-chat-chuyen-pha-che-socola-nong-tra-sua-milo-dam-lam-banh-i1267708628.html</v>
      </c>
      <c r="C8156" s="10" t="s">
        <v>8156</v>
      </c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>
      <c r="A8157" s="8">
        <v>13011.0</v>
      </c>
      <c r="B8157" s="9" t="str">
        <f>HYPERLINK("https://www.lazada.vn/products/bap-rang-no-vi-socola-den-100g-i2370479523.html", "https://www.lazada.vn/products/bap-rang-no-vi-socola-den-100g-i2370479523.html")</f>
        <v>https://www.lazada.vn/products/bap-rang-no-vi-socola-den-100g-i2370479523.html</v>
      </c>
      <c r="C8157" s="10" t="s">
        <v>8157</v>
      </c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>
      <c r="A8158" s="8">
        <v>13012.0</v>
      </c>
      <c r="B8158" s="9" t="str">
        <f>HYPERLINK("https://www.lazada.vn/products/bot-ca-cao-nguyen-chat-chuan-vi-cacao-mi-premium-loai-xuat-khau250g-i1267706614.html", "https://www.lazada.vn/products/bot-ca-cao-nguyen-chat-chuan-vi-cacao-mi-premium-loai-xuat-khau250g-i1267706614.html")</f>
        <v>https://www.lazada.vn/products/bot-ca-cao-nguyen-chat-chuan-vi-cacao-mi-premium-loai-xuat-khau250g-i1267706614.html</v>
      </c>
      <c r="C8158" s="10" t="s">
        <v>8158</v>
      </c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>
      <c r="A8159" s="8">
        <v>13013.0</v>
      </c>
      <c r="B8159" s="9" t="str">
        <f>HYPERLINK("https://www.lazada.vn/products/bap-rang-no-striking-vi-socola-dau-100g-i2370474707.html", "https://www.lazada.vn/products/bap-rang-no-striking-vi-socola-dau-100g-i2370474707.html")</f>
        <v>https://www.lazada.vn/products/bap-rang-no-striking-vi-socola-dau-100g-i2370474707.html</v>
      </c>
      <c r="C8159" s="10" t="s">
        <v>8159</v>
      </c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>
      <c r="A8160" s="8">
        <v>13014.0</v>
      </c>
      <c r="B8160" s="9" t="str">
        <f>HYPERLINK("https://www.lazada.vn/products/an-vat-la-ma-quen-banh-phong-tom-chien-san-hang-an-vat-gion-rum-thom-ngon-phu-hop-cho-tat-ca-moi-nguoi-i2318678699.html", "https://www.lazada.vn/products/an-vat-la-ma-quen-banh-phong-tom-chien-san-hang-an-vat-gion-rum-thom-ngon-phu-hop-cho-tat-ca-moi-nguoi-i2318678699.html")</f>
        <v>https://www.lazada.vn/products/an-vat-la-ma-quen-banh-phong-tom-chien-san-hang-an-vat-gion-rum-thom-ngon-phu-hop-cho-tat-ca-moi-nguoi-i2318678699.html</v>
      </c>
      <c r="C8160" s="10" t="s">
        <v>8160</v>
      </c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>
      <c r="A8161" s="8">
        <v>13015.0</v>
      </c>
      <c r="B8161" s="9" t="str">
        <f>HYPERLINK("https://www.lazada.vn/products/nvdm-bia-co-mien-phi-van-chuyen-bia-den-ba-muoi-usa-mong-vuot-busch-nu-trump-dau-hieu-3x5-yhx0390-i2823537167.html", "https://www.lazada.vn/products/nvdm-bia-co-mien-phi-van-chuyen-bia-den-ba-muoi-usa-mong-vuot-busch-nu-trump-dau-hieu-3x5-yhx0390-i2823537167.html")</f>
        <v>https://www.lazada.vn/products/nvdm-bia-co-mien-phi-van-chuyen-bia-den-ba-muoi-usa-mong-vuot-busch-nu-trump-dau-hieu-3x5-yhx0390-i2823537167.html</v>
      </c>
      <c r="C8161" s="10" t="s">
        <v>8161</v>
      </c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>
      <c r="A8162" s="8">
        <v>13016.0</v>
      </c>
      <c r="B8162" s="9" t="str">
        <f>HYPERLINK("https://www.lazada.vn/products/lowest-pricelegend-1-thung-bia-corny-khoa-khilong-ngat-ket-noi-cho-bia-nha-kieu-cornelius-i2819050123.html", "https://www.lazada.vn/products/lowest-pricelegend-1-thung-bia-corny-khoa-khilong-ngat-ket-noi-cho-bia-nha-kieu-cornelius-i2819050123.html")</f>
        <v>https://www.lazada.vn/products/lowest-pricelegend-1-thung-bia-corny-khoa-khilong-ngat-ket-noi-cho-bia-nha-kieu-cornelius-i2819050123.html</v>
      </c>
      <c r="C8162" s="10" t="s">
        <v>8162</v>
      </c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>
      <c r="A8163" s="8">
        <v>13017.0</v>
      </c>
      <c r="B8163" s="9" t="str">
        <f>HYPERLINK("https://www.lazada.vn/products/banh-bong-lan-man-vi-sot-salad-cha-bong-i3002646256.html", "https://www.lazada.vn/products/banh-bong-lan-man-vi-sot-salad-cha-bong-i3002646256.html")</f>
        <v>https://www.lazada.vn/products/banh-bong-lan-man-vi-sot-salad-cha-bong-i3002646256.html</v>
      </c>
      <c r="C8163" s="10" t="s">
        <v>8163</v>
      </c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>
      <c r="A8164" s="8">
        <v>13018.0</v>
      </c>
      <c r="B8164" s="9" t="str">
        <f>HYPERLINK("https://www.lazada.vn/products/banh-qui-danh-cho-tre-em-heinz-farley-vi-chuoi-120g-i2838110099.html", "https://www.lazada.vn/products/banh-qui-danh-cho-tre-em-heinz-farley-vi-chuoi-120g-i2838110099.html")</f>
        <v>https://www.lazada.vn/products/banh-qui-danh-cho-tre-em-heinz-farley-vi-chuoi-120g-i2838110099.html</v>
      </c>
      <c r="C8164" s="10" t="s">
        <v>8164</v>
      </c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>
      <c r="A8165" s="8">
        <v>13019.0</v>
      </c>
      <c r="B8165" s="9" t="str">
        <f>HYPERLINK("https://www.lazada.vn/products/tac-xi-muoi-rim-mat-ong-duong-phen-hu-1kg-i2923602621.html", "https://www.lazada.vn/products/tac-xi-muoi-rim-mat-ong-duong-phen-hu-1kg-i2923602621.html")</f>
        <v>https://www.lazada.vn/products/tac-xi-muoi-rim-mat-ong-duong-phen-hu-1kg-i2923602621.html</v>
      </c>
      <c r="C8165" s="10" t="s">
        <v>8165</v>
      </c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>
      <c r="A8166" s="8">
        <v>13020.0</v>
      </c>
      <c r="B8166" s="9" t="str">
        <f>HYPERLINK("https://www.lazada.vn/products/combo-5-banh-mi-teppanyaki-phu-cha-bong-luck-family-b133-beegin-food-i2589574710.html", "https://www.lazada.vn/products/combo-5-banh-mi-teppanyaki-phu-cha-bong-luck-family-b133-beegin-food-i2589574710.html")</f>
        <v>https://www.lazada.vn/products/combo-5-banh-mi-teppanyaki-phu-cha-bong-luck-family-b133-beegin-food-i2589574710.html</v>
      </c>
      <c r="C8166" s="10" t="s">
        <v>8166</v>
      </c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>
      <c r="A8167" s="8">
        <v>13021.0</v>
      </c>
      <c r="B8167" s="9" t="str">
        <f>HYPERLINK("https://www.lazada.vn/products/panna-cotta-set-nguyen-lieu-lam-1000ml-i2059104243.html", "https://www.lazada.vn/products/panna-cotta-set-nguyen-lieu-lam-1000ml-i2059104243.html")</f>
        <v>https://www.lazada.vn/products/panna-cotta-set-nguyen-lieu-lam-1000ml-i2059104243.html</v>
      </c>
      <c r="C8167" s="10" t="s">
        <v>8167</v>
      </c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>
      <c r="A8168" s="8">
        <v>13022.0</v>
      </c>
      <c r="B8168" s="9" t="str">
        <f>HYPERLINK("https://www.lazada.vn/products/dalin-cat-snacks-dried-cat-food-100-sticks-whole-box-adult-kittens-nutrition-supplement-wet-food-hydration-cat-treats-i2966685240.html", "https://www.lazada.vn/products/dalin-cat-snacks-dried-cat-food-100-sticks-whole-box-adult-kittens-nutrition-supplement-wet-food-hydration-cat-treats-i2966685240.html")</f>
        <v>https://www.lazada.vn/products/dalin-cat-snacks-dried-cat-food-100-sticks-whole-box-adult-kittens-nutrition-supplement-wet-food-hydration-cat-treats-i2966685240.html</v>
      </c>
      <c r="C8168" s="10" t="s">
        <v>8168</v>
      </c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>
      <c r="A8169" s="8">
        <v>13023.0</v>
      </c>
      <c r="B8169" s="9" t="str">
        <f>HYPERLINK("https://www.lazada.vn/products/thung-12-to-mi-omachi-suon-ham-ngu-qua-96gr-60955-i3024928721.html", "https://www.lazada.vn/products/thung-12-to-mi-omachi-suon-ham-ngu-qua-96gr-60955-i3024928721.html")</f>
        <v>https://www.lazada.vn/products/thung-12-to-mi-omachi-suon-ham-ngu-qua-96gr-60955-i3024928721.html</v>
      </c>
      <c r="C8169" s="10" t="s">
        <v>8169</v>
      </c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>
      <c r="A8170" s="8">
        <v>13024.0</v>
      </c>
      <c r="B8170" s="9" t="str">
        <f>HYPERLINK("https://www.lazada.vn/products/keo-thoi-hop-100g-minion-bean-boozled-harri-potter-keo-thui-dinh-dam-mua-50-i2920784093.html", "https://www.lazada.vn/products/keo-thoi-hop-100g-minion-bean-boozled-harri-potter-keo-thui-dinh-dam-mua-50-i2920784093.html")</f>
        <v>https://www.lazada.vn/products/keo-thoi-hop-100g-minion-bean-boozled-harri-potter-keo-thui-dinh-dam-mua-50-i2920784093.html</v>
      </c>
      <c r="C8170" s="10" t="s">
        <v>8170</v>
      </c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>
      <c r="A8171" s="8">
        <v>13025.0</v>
      </c>
      <c r="B8171" s="9" t="str">
        <f>HYPERLINK("https://www.lazada.vn/products/thung-24-chai-bia-duvel-85-330mlx24-i406380705.html", "https://www.lazada.vn/products/thung-24-chai-bia-duvel-85-330mlx24-i406380705.html")</f>
        <v>https://www.lazada.vn/products/thung-24-chai-bia-duvel-85-330mlx24-i406380705.html</v>
      </c>
      <c r="C8171" s="10" t="s">
        <v>8171</v>
      </c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>
      <c r="A8172" s="8">
        <v>13026.0</v>
      </c>
      <c r="B8172" s="9" t="str">
        <f>HYPERLINK("https://www.lazada.vn/products/bich-30goi-snack-thanh-cua-hai-loai-cay-cay-thom-ngon-i2655600641.html", "https://www.lazada.vn/products/bich-30goi-snack-thanh-cua-hai-loai-cay-cay-thom-ngon-i2655600641.html")</f>
        <v>https://www.lazada.vn/products/bich-30goi-snack-thanh-cua-hai-loai-cay-cay-thom-ngon-i2655600641.html</v>
      </c>
      <c r="C8172" s="10" t="s">
        <v>8172</v>
      </c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>
      <c r="A8173" s="8">
        <v>13027.0</v>
      </c>
      <c r="B8173" s="9" t="str">
        <f>HYPERLINK("https://www.lazada.vn/products/socola-cadbury-dairy-milk-tui-81g-vi-sua-gom-18-vien-45g-i2880546013.html", "https://www.lazada.vn/products/socola-cadbury-dairy-milk-tui-81g-vi-sua-gom-18-vien-45g-i2880546013.html")</f>
        <v>https://www.lazada.vn/products/socola-cadbury-dairy-milk-tui-81g-vi-sua-gom-18-vien-45g-i2880546013.html</v>
      </c>
      <c r="C8173" s="10" t="s">
        <v>8173</v>
      </c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>
      <c r="A8174" s="8">
        <v>13028.0</v>
      </c>
      <c r="B8174" s="9" t="str">
        <f>HYPERLINK("https://www.lazada.vn/products/mi-modern-lau-thai-tom-ly-65g-mi-ly-acecook-thuc-pham-bach-phuc-da-nang-i2909084611.html", "https://www.lazada.vn/products/mi-modern-lau-thai-tom-ly-65g-mi-ly-acecook-thuc-pham-bach-phuc-da-nang-i2909084611.html")</f>
        <v>https://www.lazada.vn/products/mi-modern-lau-thai-tom-ly-65g-mi-ly-acecook-thuc-pham-bach-phuc-da-nang-i2909084611.html</v>
      </c>
      <c r="C8174" s="10" t="s">
        <v>8174</v>
      </c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>
      <c r="A8175" s="8">
        <v>13029.0</v>
      </c>
      <c r="B8175" s="9" t="str">
        <f>HYPERLINK("https://www.lazada.vn/products/cafe-starbucks-doubleshot-espresso-va-kem-275ml-ktown-market-i2654743287.html", "https://www.lazada.vn/products/cafe-starbucks-doubleshot-espresso-va-kem-275ml-ktown-market-i2654743287.html")</f>
        <v>https://www.lazada.vn/products/cafe-starbucks-doubleshot-espresso-va-kem-275ml-ktown-market-i2654743287.html</v>
      </c>
      <c r="C8175" s="10" t="s">
        <v>8175</v>
      </c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>
      <c r="A8176" s="8">
        <v>13030.0</v>
      </c>
      <c r="B8176" s="9" t="str">
        <f>HYPERLINK("https://www.lazada.vn/products/chinh-hang-bot-tam-that-bac-chua-cua-cu-55-sieu-chuan-tay-bac-shop-i2646998146.html", "https://www.lazada.vn/products/chinh-hang-bot-tam-that-bac-chua-cua-cu-55-sieu-chuan-tay-bac-shop-i2646998146.html")</f>
        <v>https://www.lazada.vn/products/chinh-hang-bot-tam-that-bac-chua-cua-cu-55-sieu-chuan-tay-bac-shop-i2646998146.html</v>
      </c>
      <c r="C8176" s="10" t="s">
        <v>8176</v>
      </c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>
      <c r="A8177" s="8">
        <v>13031.0</v>
      </c>
      <c r="B8177" s="9" t="str">
        <f>HYPERLINK("https://www.lazada.vn/products/thach-zai-zai-10-thanh-vi-ngau-nhien-i2058934954.html", "https://www.lazada.vn/products/thach-zai-zai-10-thanh-vi-ngau-nhien-i2058934954.html")</f>
        <v>https://www.lazada.vn/products/thach-zai-zai-10-thanh-vi-ngau-nhien-i2058934954.html</v>
      </c>
      <c r="C8177" s="10" t="s">
        <v>8177</v>
      </c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>
      <c r="A8178" s="8">
        <v>13032.0</v>
      </c>
      <c r="B8178" s="9" t="str">
        <f>HYPERLINK("https://www.lazada.vn/products/thach-kim-cuong-douxian-hop-25kg-i2431744043.html", "https://www.lazada.vn/products/thach-kim-cuong-douxian-hop-25kg-i2431744043.html")</f>
        <v>https://www.lazada.vn/products/thach-kim-cuong-douxian-hop-25kg-i2431744043.html</v>
      </c>
      <c r="C8178" s="10" t="s">
        <v>8178</v>
      </c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>
      <c r="A8179" s="8">
        <v>13033.0</v>
      </c>
      <c r="B8179" s="9" t="str">
        <f>HYPERLINK("https://www.lazada.vn/products/nuoc-chong-say-tau-xe-han-quoc-chai-30ml-mau-xanh-i2000846465.html", "https://www.lazada.vn/products/nuoc-chong-say-tau-xe-han-quoc-chai-30ml-mau-xanh-i2000846465.html")</f>
        <v>https://www.lazada.vn/products/nuoc-chong-say-tau-xe-han-quoc-chai-30ml-mau-xanh-i2000846465.html</v>
      </c>
      <c r="C8179" s="10" t="s">
        <v>8179</v>
      </c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>
      <c r="A8180" s="8">
        <v>13034.0</v>
      </c>
      <c r="B8180" s="9" t="str">
        <f>HYPERLINK("https://www.lazada.vn/products/thung-24-chai-nuoc-ngot-co-gaz-pepsi-vi-chanh-khong-calo-390ml-chai-i2041490715.html", "https://www.lazada.vn/products/thung-24-chai-nuoc-ngot-co-gaz-pepsi-vi-chanh-khong-calo-390ml-chai-i2041490715.html")</f>
        <v>https://www.lazada.vn/products/thung-24-chai-nuoc-ngot-co-gaz-pepsi-vi-chanh-khong-calo-390ml-chai-i2041490715.html</v>
      </c>
      <c r="C8180" s="10" t="s">
        <v>8180</v>
      </c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>
      <c r="A8181" s="8">
        <v>13035.0</v>
      </c>
      <c r="B8181" s="9" t="str">
        <f>HYPERLINK("https://www.lazada.vn/products/chao-mon-cot-dua-hu-lon-750g-i1739837064.html", "https://www.lazada.vn/products/chao-mon-cot-dua-hu-lon-750g-i1739837064.html")</f>
        <v>https://www.lazada.vn/products/chao-mon-cot-dua-hu-lon-750g-i1739837064.html</v>
      </c>
      <c r="C8181" s="10" t="s">
        <v>8181</v>
      </c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>
      <c r="A8182" s="8">
        <v>13036.0</v>
      </c>
      <c r="B8182" s="9" t="str">
        <f>HYPERLINK("https://www.lazada.vn/products/combo-2kg-lap-truyen-thong-say-deo-i2863398310.html", "https://www.lazada.vn/products/combo-2kg-lap-truyen-thong-say-deo-i2863398310.html")</f>
        <v>https://www.lazada.vn/products/combo-2kg-lap-truyen-thong-say-deo-i2863398310.html</v>
      </c>
      <c r="C8182" s="10" t="s">
        <v>8182</v>
      </c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>
      <c r="A8183" s="8">
        <v>13037.0</v>
      </c>
      <c r="B8183" s="9" t="str">
        <f>HYPERLINK("https://www.lazada.vn/products/bap-ngo-no-lo-vi-song-act-ii-butter-lovers-microwave-popcorn-hop-6-tui-78g-275-oz-468g-165-oz-i2231768363.html", "https://www.lazada.vn/products/bap-ngo-no-lo-vi-song-act-ii-butter-lovers-microwave-popcorn-hop-6-tui-78g-275-oz-468g-165-oz-i2231768363.html")</f>
        <v>https://www.lazada.vn/products/bap-ngo-no-lo-vi-song-act-ii-butter-lovers-microwave-popcorn-hop-6-tui-78g-275-oz-468g-165-oz-i2231768363.html</v>
      </c>
      <c r="C8183" s="10" t="s">
        <v>8183</v>
      </c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>
      <c r="A8184" s="8">
        <v>13038.0</v>
      </c>
      <c r="B8184" s="9" t="str">
        <f>HYPERLINK("https://www.lazada.vn/products/an-vat-ngon-banh-phong-tom-chien-san-gion-rum-phu-hop-cho-tat-ca-moi-nguoi-i2318646485.html", "https://www.lazada.vn/products/an-vat-ngon-banh-phong-tom-chien-san-gion-rum-phu-hop-cho-tat-ca-moi-nguoi-i2318646485.html")</f>
        <v>https://www.lazada.vn/products/an-vat-ngon-banh-phong-tom-chien-san-gion-rum-phu-hop-cho-tat-ca-moi-nguoi-i2318646485.html</v>
      </c>
      <c r="C8184" s="10" t="s">
        <v>8184</v>
      </c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>
      <c r="A8185" s="8">
        <v>13039.0</v>
      </c>
      <c r="B8185" s="9" t="str">
        <f>HYPERLINK("https://www.lazada.vn/products/banh-trung-thu-mochi-trung-ruoc-noi-dia-trung-500g-i2836427244.html", "https://www.lazada.vn/products/banh-trung-thu-mochi-trung-ruoc-noi-dia-trung-500g-i2836427244.html")</f>
        <v>https://www.lazada.vn/products/banh-trung-thu-mochi-trung-ruoc-noi-dia-trung-500g-i2836427244.html</v>
      </c>
      <c r="C8185" s="10" t="s">
        <v>8185</v>
      </c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>
      <c r="A8186" s="8">
        <v>13040.0</v>
      </c>
      <c r="B8186" s="9" t="str">
        <f>HYPERLINK("https://www.lazada.vn/products/bia-apostel-weissbier-dunkel-53-nhap-khau-duc-1-lon-500ml-i2818050025.html", "https://www.lazada.vn/products/bia-apostel-weissbier-dunkel-53-nhap-khau-duc-1-lon-500ml-i2818050025.html")</f>
        <v>https://www.lazada.vn/products/bia-apostel-weissbier-dunkel-53-nhap-khau-duc-1-lon-500ml-i2818050025.html</v>
      </c>
      <c r="C8186" s="10" t="s">
        <v>8186</v>
      </c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>
      <c r="A8187" s="8">
        <v>13041.0</v>
      </c>
      <c r="B8187" s="9" t="str">
        <f>HYPERLINK("https://www.lazada.vn/products/banh-bong-lan-dai-loan-dang-thanh-vi-tra-5-cai-i3002476471.html", "https://www.lazada.vn/products/banh-bong-lan-dai-loan-dang-thanh-vi-tra-5-cai-i3002476471.html")</f>
        <v>https://www.lazada.vn/products/banh-bong-lan-dai-loan-dang-thanh-vi-tra-5-cai-i3002476471.html</v>
      </c>
      <c r="C8187" s="10" t="s">
        <v>8187</v>
      </c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>
      <c r="A8188" s="8">
        <v>13042.0</v>
      </c>
      <c r="B8188" s="9" t="str">
        <f>HYPERLINK("https://www.lazada.vn/products/bot-cacao-nguyen-chat-khong-duong-cacaomi-horeca-chuyen-pha-che-tra-sua-socola-nong-granola-ho-tro-giam-can-an-kieng-hu-250g-i1267691703.html", "https://www.lazada.vn/products/bot-cacao-nguyen-chat-khong-duong-cacaomi-horeca-chuyen-pha-che-tra-sua-socola-nong-granola-ho-tro-giam-can-an-kieng-hu-250g-i1267691703.html")</f>
        <v>https://www.lazada.vn/products/bot-cacao-nguyen-chat-khong-duong-cacaomi-horeca-chuyen-pha-che-tra-sua-socola-nong-granola-ho-tro-giam-can-an-kieng-hu-250g-i1267691703.html</v>
      </c>
      <c r="C8188" s="10" t="s">
        <v>8188</v>
      </c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>
      <c r="A8189" s="8">
        <v>13043.0</v>
      </c>
      <c r="B8189" s="9" t="str">
        <f>HYPERLINK("https://www.lazada.vn/products/banh-sua-chua-ong-gia-horsh-1kg-do-an-vat-ngon-an-vat-shop-haimy-i2586254535.html", "https://www.lazada.vn/products/banh-sua-chua-ong-gia-horsh-1kg-do-an-vat-ngon-an-vat-shop-haimy-i2586254535.html")</f>
        <v>https://www.lazada.vn/products/banh-sua-chua-ong-gia-horsh-1kg-do-an-vat-ngon-an-vat-shop-haimy-i2586254535.html</v>
      </c>
      <c r="C8189" s="10" t="s">
        <v>8189</v>
      </c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>
      <c r="A8190" s="8">
        <v>13044.0</v>
      </c>
      <c r="B8190" s="9" t="str">
        <f>HYPERLINK("https://www.lazada.vn/products/ma-ma-ma-shrimp-fish-fillet-snack-spicy-seafood-treat-individually-packaged-leisure-food-dormitory-craving-relief-i2965793257.html", "https://www.lazada.vn/products/ma-ma-ma-shrimp-fish-fillet-snack-spicy-seafood-treat-individually-packaged-leisure-food-dormitory-craving-relief-i2965793257.html")</f>
        <v>https://www.lazada.vn/products/ma-ma-ma-shrimp-fish-fillet-snack-spicy-seafood-treat-individually-packaged-leisure-food-dormitory-craving-relief-i2965793257.html</v>
      </c>
      <c r="C8190" s="10" t="s">
        <v>8190</v>
      </c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>
      <c r="A8191" s="8">
        <v>13045.0</v>
      </c>
      <c r="B8191" s="9" t="str">
        <f>HYPERLINK("https://www.lazada.vn/products/combo-1-hop-tra-ngat-huong-1-hop-sen-dam-vi-tra-sen-tuyen-thai-i2909845778.html", "https://www.lazada.vn/products/combo-1-hop-tra-ngat-huong-1-hop-sen-dam-vi-tra-sen-tuyen-thai-i2909845778.html")</f>
        <v>https://www.lazada.vn/products/combo-1-hop-tra-ngat-huong-1-hop-sen-dam-vi-tra-sen-tuyen-thai-i2909845778.html</v>
      </c>
      <c r="C8191" s="10" t="s">
        <v>8191</v>
      </c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>
      <c r="A8192" s="8">
        <v>13046.0</v>
      </c>
      <c r="B8192" s="9" t="str">
        <f>HYPERLINK("https://www.lazada.vn/products/haldirams-banh-murukku-200gms-i2837833361.html", "https://www.lazada.vn/products/haldirams-banh-murukku-200gms-i2837833361.html")</f>
        <v>https://www.lazada.vn/products/haldirams-banh-murukku-200gms-i2837833361.html</v>
      </c>
      <c r="C8192" s="10" t="s">
        <v>8192</v>
      </c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>
      <c r="A8193" s="8">
        <v>13047.0</v>
      </c>
      <c r="B8193" s="9" t="str">
        <f>HYPERLINK("https://www.lazada.vn/products/keo-siu-chau-tui-10-thanh-150gram-thom-ngon-gion-tan-hang-chinh-hang-i2918903643.html", "https://www.lazada.vn/products/keo-siu-chau-tui-10-thanh-150gram-thom-ngon-gion-tan-hang-chinh-hang-i2918903643.html")</f>
        <v>https://www.lazada.vn/products/keo-siu-chau-tui-10-thanh-150gram-thom-ngon-gion-tan-hang-chinh-hang-i2918903643.html</v>
      </c>
      <c r="C8193" s="10" t="s">
        <v>8193</v>
      </c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>
      <c r="A8194" s="8">
        <v>13048.0</v>
      </c>
      <c r="B8194" s="9" t="str">
        <f>HYPERLINK("https://www.lazada.vn/products/bot-cacao-cafe-sua-hoa-tan-cacaomi-horeca-thuc-uong-socola-vi-ca-phe-danh-pha-che-chocolate-nong-tra-sua-milo-dam-lam-banh-hu-thuong-hang-357g-i1267686706.html", "https://www.lazada.vn/products/bot-cacao-cafe-sua-hoa-tan-cacaomi-horeca-thuc-uong-socola-vi-ca-phe-danh-pha-che-chocolate-nong-tra-sua-milo-dam-lam-banh-hu-thuong-hang-357g-i1267686706.html")</f>
        <v>https://www.lazada.vn/products/bot-cacao-cafe-sua-hoa-tan-cacaomi-horeca-thuc-uong-socola-vi-ca-phe-danh-pha-che-chocolate-nong-tra-sua-milo-dam-lam-banh-hu-thuong-hang-357g-i1267686706.html</v>
      </c>
      <c r="C8194" s="10" t="s">
        <v>8194</v>
      </c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>
      <c r="A8195" s="8">
        <v>13049.0</v>
      </c>
      <c r="B8195" s="9" t="str">
        <f>HYPERLINK("https://www.lazada.vn/products/thung-24-chai-bia-leffe-brune-330ml-chai-i327434054.html", "https://www.lazada.vn/products/thung-24-chai-bia-leffe-brune-330ml-chai-i327434054.html")</f>
        <v>https://www.lazada.vn/products/thung-24-chai-bia-leffe-brune-330ml-chai-i327434054.html</v>
      </c>
      <c r="C8195" s="10" t="s">
        <v>8195</v>
      </c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>
      <c r="A8196" s="8">
        <v>13050.0</v>
      </c>
      <c r="B8196" s="9" t="str">
        <f>HYPERLINK("https://www.lazada.vn/products/bich-30goi-snack-gay-nhu-y-thom-ngon-i2655527942.html", "https://www.lazada.vn/products/bich-30goi-snack-gay-nhu-y-thom-ngon-i2655527942.html")</f>
        <v>https://www.lazada.vn/products/bich-30goi-snack-gay-nhu-y-thom-ngon-i2655527942.html</v>
      </c>
      <c r="C8196" s="10" t="s">
        <v>8196</v>
      </c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>
      <c r="A8197" s="8">
        <v>13051.0</v>
      </c>
      <c r="B8197" s="9" t="str">
        <f>HYPERLINK("https://www.lazada.vn/products/150gr-tau-hu-ky-dang-mieng-truyen-thong-lam-tu-dau-nanh-thom-ngon-huong-vi-que-nha-i2948086497.html", "https://www.lazada.vn/products/150gr-tau-hu-ky-dang-mieng-truyen-thong-lam-tu-dau-nanh-thom-ngon-huong-vi-que-nha-i2948086497.html")</f>
        <v>https://www.lazada.vn/products/150gr-tau-hu-ky-dang-mieng-truyen-thong-lam-tu-dau-nanh-thom-ngon-huong-vi-que-nha-i2948086497.html</v>
      </c>
      <c r="C8197" s="10" t="s">
        <v>8197</v>
      </c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>
      <c r="A8198" s="8">
        <v>13052.0</v>
      </c>
      <c r="B8198" s="9" t="str">
        <f>HYPERLINK("https://www.lazada.vn/products/keo-socola-trung-khung-long-500g-i2880533861.html", "https://www.lazada.vn/products/keo-socola-trung-khung-long-500g-i2880533861.html")</f>
        <v>https://www.lazada.vn/products/keo-socola-trung-khung-long-500g-i2880533861.html</v>
      </c>
      <c r="C8198" s="10" t="s">
        <v>8198</v>
      </c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>
      <c r="A8199" s="8">
        <v>13053.0</v>
      </c>
      <c r="B8199" s="9" t="str">
        <f>HYPERLINK("https://www.lazada.vn/products/500g-mi-la-italia-reggia-durum-wheat-semolina-lasagne-pasta-tgc-hk-i2908520591.html", "https://www.lazada.vn/products/500g-mi-la-italia-reggia-durum-wheat-semolina-lasagne-pasta-tgc-hk-i2908520591.html")</f>
        <v>https://www.lazada.vn/products/500g-mi-la-italia-reggia-durum-wheat-semolina-lasagne-pasta-tgc-hk-i2908520591.html</v>
      </c>
      <c r="C8199" s="10" t="s">
        <v>8199</v>
      </c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>
      <c r="A8200" s="8">
        <v>13054.0</v>
      </c>
      <c r="B8200" s="9" t="str">
        <f>HYPERLINK("https://www.lazada.vn/products/tui-800g-vinacafe-40-goi-ca-phe-sua-hoa-tan-vn-3-in-1-cafe-gold-original-i2654543164.html", "https://www.lazada.vn/products/tui-800g-vinacafe-40-goi-ca-phe-sua-hoa-tan-vn-3-in-1-cafe-gold-original-i2654543164.html")</f>
        <v>https://www.lazada.vn/products/tui-800g-vinacafe-40-goi-ca-phe-sua-hoa-tan-vn-3-in-1-cafe-gold-original-i2654543164.html</v>
      </c>
      <c r="C8200" s="10" t="s">
        <v>8200</v>
      </c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>
      <c r="A8201" s="8">
        <v>13055.0</v>
      </c>
      <c r="B8201" s="9" t="str">
        <f>HYPERLINK("https://www.lazada.vn/products/hop-400g-sua-bot-can-tay-rong-nho-diep-luc-ho-tro-giam-can-dep-da-thai-doc-tang-cuong-suc-khoe-i2646934448.html", "https://www.lazada.vn/products/hop-400g-sua-bot-can-tay-rong-nho-diep-luc-ho-tro-giam-can-dep-da-thai-doc-tang-cuong-suc-khoe-i2646934448.html")</f>
        <v>https://www.lazada.vn/products/hop-400g-sua-bot-can-tay-rong-nho-diep-luc-ho-tro-giam-can-dep-da-thai-doc-tang-cuong-suc-khoe-i2646934448.html</v>
      </c>
      <c r="C8201" s="10" t="s">
        <v>8201</v>
      </c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>
      <c r="A8202" s="8">
        <v>13056.0</v>
      </c>
      <c r="B8202" s="9" t="str">
        <f>HYPERLINK("https://www.lazada.vn/products/thach-zai-zai-plus-tra-sua-tran-chau-moi-tui-320g500g1kg-do-an-vat-an-vat-i2058901756.html", "https://www.lazada.vn/products/thach-zai-zai-plus-tra-sua-tran-chau-moi-tui-320g500g1kg-do-an-vat-an-vat-i2058901756.html")</f>
        <v>https://www.lazada.vn/products/thach-zai-zai-plus-tra-sua-tran-chau-moi-tui-320g500g1kg-do-an-vat-an-vat-i2058901756.html</v>
      </c>
      <c r="C8202" s="10" t="s">
        <v>8202</v>
      </c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>
      <c r="A8203" s="8">
        <v>13057.0</v>
      </c>
      <c r="B8203" s="9" t="str">
        <f>HYPERLINK("https://www.lazada.vn/products/sot-topping-golden-farm-chai-630g-i2431648502.html", "https://www.lazada.vn/products/sot-topping-golden-farm-chai-630g-i2431648502.html")</f>
        <v>https://www.lazada.vn/products/sot-topping-golden-farm-chai-630g-i2431648502.html</v>
      </c>
      <c r="C8203" s="10" t="s">
        <v>8203</v>
      </c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>
      <c r="A8204" s="8">
        <v>13058.0</v>
      </c>
      <c r="B8204" s="9" t="str">
        <f>HYPERLINK("https://www.lazada.vn/products/loc-6-lon-nuoc-tang-luc-bo-huc-i1998408574.html", "https://www.lazada.vn/products/loc-6-lon-nuoc-tang-luc-bo-huc-i1998408574.html")</f>
        <v>https://www.lazada.vn/products/loc-6-lon-nuoc-tang-luc-bo-huc-i1998408574.html</v>
      </c>
      <c r="C8204" s="10" t="s">
        <v>8204</v>
      </c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>
      <c r="A8205" s="8">
        <v>13059.0</v>
      </c>
      <c r="B8205" s="9" t="str">
        <f>HYPERLINK("https://www.lazada.vn/products/thung-24-chai-nuoc-ngot-co-gaz-pepsi-khong-calo-390ml-chai-i2041419582.html", "https://www.lazada.vn/products/thung-24-chai-nuoc-ngot-co-gaz-pepsi-khong-calo-390ml-chai-i2041419582.html")</f>
        <v>https://www.lazada.vn/products/thung-24-chai-nuoc-ngot-co-gaz-pepsi-khong-calo-390ml-chai-i2041419582.html</v>
      </c>
      <c r="C8205" s="10" t="s">
        <v>8205</v>
      </c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>
      <c r="A8206" s="8">
        <v>13060.0</v>
      </c>
      <c r="B8206" s="9" t="str">
        <f>HYPERLINK("https://www.lazada.vn/products/500gram-lap-sieu-nac-say-deo-i2863391309.html", "https://www.lazada.vn/products/500gram-lap-sieu-nac-say-deo-i2863391309.html")</f>
        <v>https://www.lazada.vn/products/500gram-lap-sieu-nac-say-deo-i2863391309.html</v>
      </c>
      <c r="C8206" s="10" t="s">
        <v>8206</v>
      </c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>
      <c r="A8207" s="8">
        <v>13061.0</v>
      </c>
      <c r="B8207" s="9" t="str">
        <f>HYPERLINK("https://www.lazada.vn/products/mang-ot-lang-son-15kg-dac-san-dong-bac-mang-ot-ngam-qua-mac-mat-2-loai-chon-loc-i1739730342.html", "https://www.lazada.vn/products/mang-ot-lang-son-15kg-dac-san-dong-bac-mang-ot-ngam-qua-mac-mat-2-loai-chon-loc-i1739730342.html")</f>
        <v>https://www.lazada.vn/products/mang-ot-lang-son-15kg-dac-san-dong-bac-mang-ot-ngam-qua-mac-mat-2-loai-chon-loc-i1739730342.html</v>
      </c>
      <c r="C8207" s="10" t="s">
        <v>8207</v>
      </c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>
      <c r="A8208" s="8">
        <v>13062.0</v>
      </c>
      <c r="B8208" s="9" t="str">
        <f>HYPERLINK("https://www.lazada.vn/products/bap-ngo-no-lo-vi-song-act-ii-xtreme-butter-microwave-popcorn-hop-6-tui-78g-275-oz-468g-165-oz-i2231609908.html", "https://www.lazada.vn/products/bap-ngo-no-lo-vi-song-act-ii-xtreme-butter-microwave-popcorn-hop-6-tui-78g-275-oz-468g-165-oz-i2231609908.html")</f>
        <v>https://www.lazada.vn/products/bap-ngo-no-lo-vi-song-act-ii-xtreme-butter-microwave-popcorn-hop-6-tui-78g-275-oz-468g-165-oz-i2231609908.html</v>
      </c>
      <c r="C8208" s="10" t="s">
        <v>8208</v>
      </c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>
      <c r="A8209" s="8">
        <v>13063.0</v>
      </c>
      <c r="B8209" s="9" t="str">
        <f>HYPERLINK("https://www.lazada.vn/products/combo-2-hop-banh-bong-lan-tang-kem-xoai-tipo-342g-kem-tui-i2825819979.html", "https://www.lazada.vn/products/combo-2-hop-banh-bong-lan-tang-kem-xoai-tipo-342g-kem-tui-i2825819979.html")</f>
        <v>https://www.lazada.vn/products/combo-2-hop-banh-bong-lan-tang-kem-xoai-tipo-342g-kem-tui-i2825819979.html</v>
      </c>
      <c r="C8209" s="10" t="s">
        <v>8209</v>
      </c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>
      <c r="A8210" s="8">
        <v>13064.0</v>
      </c>
      <c r="B8210" s="9" t="str">
        <f>HYPERLINK("https://www.lazada.vn/products/200gr-com-chay-sieu-cha-bong-hang-loai-1-_-do-an-vat-ha-noi-i2311620662.html", "https://www.lazada.vn/products/200gr-com-chay-sieu-cha-bong-hang-loai-1-_-do-an-vat-ha-noi-i2311620662.html")</f>
        <v>https://www.lazada.vn/products/200gr-com-chay-sieu-cha-bong-hang-loai-1-_-do-an-vat-ha-noi-i2311620662.html</v>
      </c>
      <c r="C8210" s="10" t="s">
        <v>8210</v>
      </c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>
      <c r="A8211" s="8">
        <v>13065.0</v>
      </c>
      <c r="B8211" s="9" t="str">
        <f>HYPERLINK("https://www.lazada.vn/products/banh-mi-hoa-cuc-ngan-lop-festa-richy-tui-120g-3-goi-x40g-i2581330881.html", "https://www.lazada.vn/products/banh-mi-hoa-cuc-ngan-lop-festa-richy-tui-120g-3-goi-x40g-i2581330881.html")</f>
        <v>https://www.lazada.vn/products/banh-mi-hoa-cuc-ngan-lop-festa-richy-tui-120g-3-goi-x40g-i2581330881.html</v>
      </c>
      <c r="C8211" s="10" t="s">
        <v>8211</v>
      </c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>
      <c r="A8212" s="8">
        <v>13066.0</v>
      </c>
      <c r="B8212" s="9" t="str">
        <f>HYPERLINK("https://www.lazada.vn/products/bot-cacao-nguyen-chat-khong-duong-cacaomi-original-vi-truyen-thong-phu-hop-an-kieng-giam-can-an-toan-chuan-keto-eat-clean-500g-i1267685662.html", "https://www.lazada.vn/products/bot-cacao-nguyen-chat-khong-duong-cacaomi-original-vi-truyen-thong-phu-hop-an-kieng-giam-can-an-toan-chuan-keto-eat-clean-500g-i1267685662.html")</f>
        <v>https://www.lazada.vn/products/bot-cacao-nguyen-chat-khong-duong-cacaomi-original-vi-truyen-thong-phu-hop-an-kieng-giam-can-an-toan-chuan-keto-eat-clean-500g-i1267685662.html</v>
      </c>
      <c r="C8212" s="10" t="s">
        <v>8212</v>
      </c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>
      <c r="A8213" s="8">
        <v>13067.0</v>
      </c>
      <c r="B8213" s="9" t="str">
        <f>HYPERLINK("https://www.lazada.vn/products/banh-bong-lan-dai-loan-ovaltine-tam-giac-i3002456964.html", "https://www.lazada.vn/products/banh-bong-lan-dai-loan-ovaltine-tam-giac-i3002456964.html")</f>
        <v>https://www.lazada.vn/products/banh-bong-lan-dai-loan-ovaltine-tam-giac-i3002456964.html</v>
      </c>
      <c r="C8213" s="10" t="s">
        <v>8213</v>
      </c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>
      <c r="A8214" s="8">
        <v>13068.0</v>
      </c>
      <c r="B8214" s="9" t="str">
        <f>HYPERLINK("https://www.lazada.vn/products/bia-apostel-weissbier-dunkel-53-nhap-khau-duc-1-thung-24-lon-500ml-i2818046060.html", "https://www.lazada.vn/products/bia-apostel-weissbier-dunkel-53-nhap-khau-duc-1-thung-24-lon-500ml-i2818046060.html")</f>
        <v>https://www.lazada.vn/products/bia-apostel-weissbier-dunkel-53-nhap-khau-duc-1-thung-24-lon-500ml-i2818046060.html</v>
      </c>
      <c r="C8214" s="10" t="s">
        <v>8214</v>
      </c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>
      <c r="A8215" s="8">
        <v>13069.0</v>
      </c>
      <c r="B8215" s="9" t="str">
        <f>HYPERLINK("https://www.lazada.vn/products/mao-dai-do-truyen-thong-cuc-thom-ngon-chai-500ml-i2905305759.html", "https://www.lazada.vn/products/mao-dai-do-truyen-thong-cuc-thom-ngon-chai-500ml-i2905305759.html")</f>
        <v>https://www.lazada.vn/products/mao-dai-do-truyen-thong-cuc-thom-ngon-chai-500ml-i2905305759.html</v>
      </c>
      <c r="C8215" s="10" t="s">
        <v>8215</v>
      </c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>
      <c r="A8216" s="8">
        <v>13070.0</v>
      </c>
      <c r="B8216" s="9" t="str">
        <f>HYPERLINK("https://www.lazada.vn/products/keo-socola-trai-tim-vang-100g-250g-500g-i2880491995.html", "https://www.lazada.vn/products/keo-socola-trai-tim-vang-100g-250g-500g-i2880491995.html")</f>
        <v>https://www.lazada.vn/products/keo-socola-trai-tim-vang-100g-250g-500g-i2880491995.html</v>
      </c>
      <c r="C8216" s="10" t="s">
        <v>8216</v>
      </c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>
      <c r="A8217" s="8">
        <v>13071.0</v>
      </c>
      <c r="B8217" s="9" t="str">
        <f>HYPERLINK("https://www.lazada.vn/products/thung-24-chai-chimay-do-red-cap-7-330mlx24-i327404582.html", "https://www.lazada.vn/products/thung-24-chai-chimay-do-red-cap-7-330mlx24-i327404582.html")</f>
        <v>https://www.lazada.vn/products/thung-24-chai-chimay-do-red-cap-7-330mlx24-i327404582.html</v>
      </c>
      <c r="C8217" s="10" t="s">
        <v>8217</v>
      </c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>
      <c r="A8218" s="8">
        <v>13072.0</v>
      </c>
      <c r="B8218" s="9" t="str">
        <f>HYPERLINK("https://www.lazada.vn/products/bo-do-an-cho-meo-kairisi-fish-oil-cat-strip-chicken-strip-hair-shedding-prevention-all-stage-cat-treats-snacks-i2965743615.html", "https://www.lazada.vn/products/bo-do-an-cho-meo-kairisi-fish-oil-cat-strip-chicken-strip-hair-shedding-prevention-all-stage-cat-treats-snacks-i2965743615.html")</f>
        <v>https://www.lazada.vn/products/bo-do-an-cho-meo-kairisi-fish-oil-cat-strip-chicken-strip-hair-shedding-prevention-all-stage-cat-treats-snacks-i2965743615.html</v>
      </c>
      <c r="C8218" s="10" t="s">
        <v>8218</v>
      </c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>
      <c r="A8219" s="8">
        <v>13073.0</v>
      </c>
      <c r="B8219" s="9" t="str">
        <f>HYPERLINK("https://www.lazada.vn/products/tui-den-the-coffee-house-480g-30-goi-ca-phe-den-da-gu-viet-cuc-manh-vn-2-in-1-instant-milk-coffee-i2654462684.html", "https://www.lazada.vn/products/tui-den-the-coffee-house-480g-30-goi-ca-phe-den-da-gu-viet-cuc-manh-vn-2-in-1-instant-milk-coffee-i2654462684.html")</f>
        <v>https://www.lazada.vn/products/tui-den-the-coffee-house-480g-30-goi-ca-phe-den-da-gu-viet-cuc-manh-vn-2-in-1-instant-milk-coffee-i2654462684.html</v>
      </c>
      <c r="C8219" s="10" t="s">
        <v>8219</v>
      </c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>
      <c r="A8220" s="8">
        <v>13074.0</v>
      </c>
      <c r="B8220" s="9" t="str">
        <f>HYPERLINK("https://www.lazada.vn/products/to-nho-mai-mai-mi-vi-lau-thai-tom-pho-bo-hu-tieu-nam-vang-mien-suon-heo-84gr-i2906207795.html", "https://www.lazada.vn/products/to-nho-mai-mai-mi-vi-lau-thai-tom-pho-bo-hu-tieu-nam-vang-mien-suon-heo-84gr-i2906207795.html")</f>
        <v>https://www.lazada.vn/products/to-nho-mai-mai-mi-vi-lau-thai-tom-pho-bo-hu-tieu-nam-vang-mien-suon-heo-84gr-i2906207795.html</v>
      </c>
      <c r="C8220" s="10" t="s">
        <v>8220</v>
      </c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>
      <c r="A8221" s="8">
        <v>13075.0</v>
      </c>
      <c r="B8221" s="9" t="str">
        <f>HYPERLINK("https://www.lazada.vn/products/banh-quy-sua-tuoi-de-marie-orion-384g-12-banh-i2837606403.html", "https://www.lazada.vn/products/banh-quy-sua-tuoi-de-marie-orion-384g-12-banh-i2837606403.html")</f>
        <v>https://www.lazada.vn/products/banh-quy-sua-tuoi-de-marie-orion-384g-12-banh-i2837606403.html</v>
      </c>
      <c r="C8221" s="10" t="s">
        <v>8221</v>
      </c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>
      <c r="A8222" s="8">
        <v>13076.0</v>
      </c>
      <c r="B8222" s="9" t="str">
        <f>HYPERLINK("https://www.lazada.vn/products/khoai-tay-say-sa-te-i2654657787.html", "https://www.lazada.vn/products/khoai-tay-say-sa-te-i2654657787.html")</f>
        <v>https://www.lazada.vn/products/khoai-tay-say-sa-te-i2654657787.html</v>
      </c>
      <c r="C8222" s="10" t="s">
        <v>8222</v>
      </c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>
      <c r="A8223" s="8">
        <v>13077.0</v>
      </c>
      <c r="B8223" s="9" t="str">
        <f>HYPERLINK("https://www.lazada.vn/products/keo-sap-ong-mini-nhan-trai-cay-mix-nhieu-vi-i2914331686.html", "https://www.lazada.vn/products/keo-sap-ong-mini-nhan-trai-cay-mix-nhieu-vi-i2914331686.html")</f>
        <v>https://www.lazada.vn/products/keo-sap-ong-mini-nhan-trai-cay-mix-nhieu-vi-i2914331686.html</v>
      </c>
      <c r="C8223" s="10" t="s">
        <v>8223</v>
      </c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>
      <c r="A8224" s="8">
        <v>13078.0</v>
      </c>
      <c r="B8224" s="9" t="str">
        <f>HYPERLINK("https://www.lazada.vn/products/combo-10-goi-mi-cay-sasin-dac-biet-i2849062782.html", "https://www.lazada.vn/products/combo-10-goi-mi-cay-sasin-dac-biet-i2849062782.html")</f>
        <v>https://www.lazada.vn/products/combo-10-goi-mi-cay-sasin-dac-biet-i2849062782.html</v>
      </c>
      <c r="C8224" s="10" t="s">
        <v>8224</v>
      </c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>
      <c r="A8225" s="8">
        <v>13079.0</v>
      </c>
      <c r="B8225" s="9" t="str">
        <f>HYPERLINK("https://www.lazada.vn/products/keo-thach-zai-zai-plus-tra-sua-tran-chau-320g-thach-rau-cau-sieu-ngon-chinh-hang-an-vat-bach-hoa-online-uy-tin-i2058825667.html", "https://www.lazada.vn/products/keo-thach-zai-zai-plus-tra-sua-tran-chau-320g-thach-rau-cau-sieu-ngon-chinh-hang-an-vat-bach-hoa-online-uy-tin-i2058825667.html")</f>
        <v>https://www.lazada.vn/products/keo-thach-zai-zai-plus-tra-sua-tran-chau-320g-thach-rau-cau-sieu-ngon-chinh-hang-an-vat-bach-hoa-online-uy-tin-i2058825667.html</v>
      </c>
      <c r="C8225" s="10" t="s">
        <v>8225</v>
      </c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>
      <c r="A8226" s="8">
        <v>13080.0</v>
      </c>
      <c r="B8226" s="9" t="str">
        <f>HYPERLINK("https://www.lazada.vn/products/chinh-hang-bot-san-day-ta-bot-san-chuan-nha-thao-duoc-tay-bac-i2646909470.html", "https://www.lazada.vn/products/chinh-hang-bot-san-day-ta-bot-san-chuan-nha-thao-duoc-tay-bac-i2646909470.html")</f>
        <v>https://www.lazada.vn/products/chinh-hang-bot-san-day-ta-bot-san-chuan-nha-thao-duoc-tay-bac-i2646909470.html</v>
      </c>
      <c r="C8226" s="10" t="s">
        <v>8226</v>
      </c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>
      <c r="A8227" s="8">
        <v>13081.0</v>
      </c>
      <c r="B8227" s="9" t="str">
        <f>HYPERLINK("https://www.lazada.vn/products/sinh-to-trai-cay-osterberg-1l-i2431121136.html", "https://www.lazada.vn/products/sinh-to-trai-cay-osterberg-1l-i2431121136.html")</f>
        <v>https://www.lazada.vn/products/sinh-to-trai-cay-osterberg-1l-i2431121136.html</v>
      </c>
      <c r="C8227" s="10" t="s">
        <v>8227</v>
      </c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>
      <c r="A8228" s="8">
        <v>13082.0</v>
      </c>
      <c r="B8228" s="9" t="str">
        <f>HYPERLINK("https://www.lazada.vn/products/thung-24-chai-nuoc-tang-luc-abben-330ml-huong-viet-quat-i1997192958.html", "https://www.lazada.vn/products/thung-24-chai-nuoc-tang-luc-abben-330ml-huong-viet-quat-i1997192958.html")</f>
        <v>https://www.lazada.vn/products/thung-24-chai-nuoc-tang-luc-abben-330ml-huong-viet-quat-i1997192958.html</v>
      </c>
      <c r="C8228" s="10" t="s">
        <v>8228</v>
      </c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>
      <c r="A8229" s="8">
        <v>13083.0</v>
      </c>
      <c r="B8229" s="9" t="str">
        <f>HYPERLINK("https://www.lazada.vn/products/thung-nuoc-ngot-co-gaz-pepsi-320mllon-hoac-350mllon-i2041406136.html", "https://www.lazada.vn/products/thung-nuoc-ngot-co-gaz-pepsi-320mllon-hoac-350mllon-i2041406136.html")</f>
        <v>https://www.lazada.vn/products/thung-nuoc-ngot-co-gaz-pepsi-320mllon-hoac-350mllon-i2041406136.html</v>
      </c>
      <c r="C8229" s="10" t="s">
        <v>8229</v>
      </c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>
      <c r="A8230" s="8">
        <v>13084.0</v>
      </c>
      <c r="B8230" s="9" t="str">
        <f>HYPERLINK("https://www.lazada.vn/products/kho-si-mut-buoi-chanh-day-i2859356698.html", "https://www.lazada.vn/products/kho-si-mut-buoi-chanh-day-i2859356698.html")</f>
        <v>https://www.lazada.vn/products/kho-si-mut-buoi-chanh-day-i2859356698.html</v>
      </c>
      <c r="C8230" s="10" t="s">
        <v>8230</v>
      </c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>
      <c r="A8231" s="8">
        <v>13085.0</v>
      </c>
      <c r="B8231" s="9" t="str">
        <f>HYPERLINK("https://www.lazada.vn/products/banh-hinh-bi-ngo-nuong-mochi-khoai-mon-trung-muoi-500g-i2821025586.html", "https://www.lazada.vn/products/banh-hinh-bi-ngo-nuong-mochi-khoai-mon-trung-muoi-500g-i2821025586.html")</f>
        <v>https://www.lazada.vn/products/banh-hinh-bi-ngo-nuong-mochi-khoai-mon-trung-muoi-500g-i2821025586.html</v>
      </c>
      <c r="C8231" s="10" t="s">
        <v>8231</v>
      </c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>
      <c r="A8232" s="8">
        <v>13086.0</v>
      </c>
      <c r="B8232" s="9" t="str">
        <f>HYPERLINK("https://www.lazada.vn/products/khoai-lang-mat-tui-say-deo-khong-duong-tui-1kg-i2858822191.html", "https://www.lazada.vn/products/khoai-lang-mat-tui-say-deo-khong-duong-tui-1kg-i2858822191.html")</f>
        <v>https://www.lazada.vn/products/khoai-lang-mat-tui-say-deo-khong-duong-tui-1kg-i2858822191.html</v>
      </c>
      <c r="C8232" s="10" t="s">
        <v>8232</v>
      </c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>
      <c r="A8233" s="8">
        <v>13087.0</v>
      </c>
      <c r="B8233" s="9" t="str">
        <f>HYPERLINK("https://www.lazada.vn/products/set-lam-bap-rang-bo-3-in1-gia-cuc-soc-set-tu-lam-bap-rang-bo-tai-nha-bap-rang-bo-tien-loithom-ngon-sach-se-an-toan-nguyen-lieu-lam-bap-rang-bap-rang-bap-rang-bo-do-an-kho-snack-banh-keo-ngot-i2057573429.html", "https://www.lazada.vn/products/set-lam-bap-rang-bo-3-in1-gia-cuc-soc-set-tu-lam-bap-rang-bo-tai-nha-bap-rang-bo-tien-loithom-ngon-sach-se-an-toan-nguyen-lieu-lam-bap-rang-bap-rang-bap-rang-bo-do-an-kho-snack-banh-keo-ngot-i2057573429.html")</f>
        <v>https://www.lazada.vn/products/set-lam-bap-rang-bo-3-in1-gia-cuc-soc-set-tu-lam-bap-rang-bo-tai-nha-bap-rang-bo-tien-loithom-ngon-sach-se-an-toan-nguyen-lieu-lam-bap-rang-bap-rang-bap-rang-bo-do-an-kho-snack-banh-keo-ngot-i2057573429.html</v>
      </c>
      <c r="C8233" s="10" t="s">
        <v>8233</v>
      </c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>
      <c r="A8234" s="8">
        <v>13088.0</v>
      </c>
      <c r="B8234" s="9" t="str">
        <f>HYPERLINK("https://www.lazada.vn/products/1kg-mam-tom-dat-chua-dac-san-ca-mau-nhieu-tom-i1737121258.html", "https://www.lazada.vn/products/1kg-mam-tom-dat-chua-dac-san-ca-mau-nhieu-tom-i1737121258.html")</f>
        <v>https://www.lazada.vn/products/1kg-mam-tom-dat-chua-dac-san-ca-mau-nhieu-tom-i1737121258.html</v>
      </c>
      <c r="C8234" s="10" t="s">
        <v>8234</v>
      </c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>
      <c r="A8235" s="8">
        <v>13089.0</v>
      </c>
      <c r="B8235" s="9" t="str">
        <f>HYPERLINK("https://www.lazada.vn/products/combo-50-banh-trang-me-den-nuoc-cot-dua-tay-ninh-loai-1500g50-banh-i2311597168.html", "https://www.lazada.vn/products/combo-50-banh-trang-me-den-nuoc-cot-dua-tay-ninh-loai-1500g50-banh-i2311597168.html")</f>
        <v>https://www.lazada.vn/products/combo-50-banh-trang-me-den-nuoc-cot-dua-tay-ninh-loai-1500g50-banh-i2311597168.html</v>
      </c>
      <c r="C8235" s="10" t="s">
        <v>8235</v>
      </c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>
      <c r="A8236" s="8">
        <v>13090.0</v>
      </c>
      <c r="B8236" s="9" t="str">
        <f>HYPERLINK("https://www.lazada.vn/products/combo-10-banh-staff-bong-lan-nho-38g-thom-mem-i2579746747.html", "https://www.lazada.vn/products/combo-10-banh-staff-bong-lan-nho-38g-thom-mem-i2579746747.html")</f>
        <v>https://www.lazada.vn/products/combo-10-banh-staff-bong-lan-nho-38g-thom-mem-i2579746747.html</v>
      </c>
      <c r="C8236" s="10" t="s">
        <v>8236</v>
      </c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>
      <c r="A8237" s="8">
        <v>13091.0</v>
      </c>
      <c r="B8237" s="9" t="str">
        <f>HYPERLINK("https://www.lazada.vn/products/hat-whiskas-dang-sot-cho-meo-moi-lua-tuoi-i2963904771.html", "https://www.lazada.vn/products/hat-whiskas-dang-sot-cho-meo-moi-lua-tuoi-i2963904771.html")</f>
        <v>https://www.lazada.vn/products/hat-whiskas-dang-sot-cho-meo-moi-lua-tuoi-i2963904771.html</v>
      </c>
      <c r="C8237" s="10" t="s">
        <v>8237</v>
      </c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>
      <c r="A8238" s="8">
        <v>13092.0</v>
      </c>
      <c r="B8238" s="9" t="str">
        <f>HYPERLINK("https://www.lazada.vn/products/bot-ca-cao-nguyen-chat-khong-duong-cacaomi-premium-gu-dam-vi-ho-tro-giam-can-an-kieng-keto-tot-tim-mach-chuan-utz-xuat-khau-217g-i1267679711.html", "https://www.lazada.vn/products/bot-ca-cao-nguyen-chat-khong-duong-cacaomi-premium-gu-dam-vi-ho-tro-giam-can-an-kieng-keto-tot-tim-mach-chuan-utz-xuat-khau-217g-i1267679711.html")</f>
        <v>https://www.lazada.vn/products/bot-ca-cao-nguyen-chat-khong-duong-cacaomi-premium-gu-dam-vi-ho-tro-giam-can-an-kieng-keto-tot-tim-mach-chuan-utz-xuat-khau-217g-i1267679711.html</v>
      </c>
      <c r="C8238" s="10" t="s">
        <v>8238</v>
      </c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>
      <c r="A8239" s="8">
        <v>13093.0</v>
      </c>
      <c r="B8239" s="9" t="str">
        <f>HYPERLINK("https://www.lazada.vn/products/bia-eichbaum-strong-79-nhap-khau-duc-1-thung-24-lon-500ml-i2818031436.html", "https://www.lazada.vn/products/bia-eichbaum-strong-79-nhap-khau-duc-1-thung-24-lon-500ml-i2818031436.html")</f>
        <v>https://www.lazada.vn/products/bia-eichbaum-strong-79-nhap-khau-duc-1-thung-24-lon-500ml-i2818031436.html</v>
      </c>
      <c r="C8239" s="10" t="s">
        <v>8239</v>
      </c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>
      <c r="A8240" s="8">
        <v>13094.0</v>
      </c>
      <c r="B8240" s="9" t="str">
        <f>HYPERLINK("https://www.lazada.vn/products/banh-bong-lan-tart-trung-vi-cha-bong-chien-gion-i3002443968.html", "https://www.lazada.vn/products/banh-bong-lan-tart-trung-vi-cha-bong-chien-gion-i3002443968.html")</f>
        <v>https://www.lazada.vn/products/banh-bong-lan-tart-trung-vi-cha-bong-chien-gion-i3002443968.html</v>
      </c>
      <c r="C8240" s="10" t="s">
        <v>8240</v>
      </c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>
      <c r="A8241" s="8">
        <v>13095.0</v>
      </c>
      <c r="B8241" s="9" t="str">
        <f>HYPERLINK("https://www.lazada.vn/products/khoai-tay-pho-mai-hu-200gr-ntfood-nhat-tin-food-i2653707068.html", "https://www.lazada.vn/products/khoai-tay-pho-mai-hu-200gr-ntfood-nhat-tin-food-i2653707068.html")</f>
        <v>https://www.lazada.vn/products/khoai-tay-pho-mai-hu-200gr-ntfood-nhat-tin-food-i2653707068.html</v>
      </c>
      <c r="C8241" s="10" t="s">
        <v>8241</v>
      </c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>
      <c r="A8242" s="8">
        <v>13096.0</v>
      </c>
      <c r="B8242" s="9" t="str">
        <f>HYPERLINK("https://www.lazada.vn/products/chinh-hang-bot-ha-thu-o-nguyen-chat-da-cuu-chung-cuu-sai-thao-duoc-vung-cao-i2646872520.html", "https://www.lazada.vn/products/chinh-hang-bot-ha-thu-o-nguyen-chat-da-cuu-chung-cuu-sai-thao-duoc-vung-cao-i2646872520.html")</f>
        <v>https://www.lazada.vn/products/chinh-hang-bot-ha-thu-o-nguyen-chat-da-cuu-chung-cuu-sai-thao-duoc-vung-cao-i2646872520.html</v>
      </c>
      <c r="C8242" s="10" t="s">
        <v>8242</v>
      </c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>
      <c r="A8243" s="8">
        <v>13097.0</v>
      </c>
      <c r="B8243" s="9" t="str">
        <f>HYPERLINK("https://www.lazada.vn/products/500g-keo-mint-trai-cay-mini-nhieu-mau-c-vitamin-ngam-nhieu-vi-banh-keo-an-vat-snack-food-candy-thuc-an-chua-vien-keo-i2912826171.html", "https://www.lazada.vn/products/500g-keo-mint-trai-cay-mini-nhieu-mau-c-vitamin-ngam-nhieu-vi-banh-keo-an-vat-snack-food-candy-thuc-an-chua-vien-keo-i2912826171.html")</f>
        <v>https://www.lazada.vn/products/500g-keo-mint-trai-cay-mini-nhieu-mau-c-vitamin-ngam-nhieu-vi-banh-keo-an-vat-snack-food-candy-thuc-an-chua-vien-keo-i2912826171.html</v>
      </c>
      <c r="C8243" s="10" t="s">
        <v>8243</v>
      </c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>
      <c r="A8244" s="8">
        <v>13098.0</v>
      </c>
      <c r="B8244" s="9" t="str">
        <f>HYPERLINK("https://www.lazada.vn/products/hop-qua-tang-tet-choco-pie-orion-vi-dua-hau-448g-hop-16-cai-tui-giay-i2880311126.html", "https://www.lazada.vn/products/hop-qua-tang-tet-choco-pie-orion-vi-dua-hau-448g-hop-16-cai-tui-giay-i2880311126.html")</f>
        <v>https://www.lazada.vn/products/hop-qua-tang-tet-choco-pie-orion-vi-dua-hau-448g-hop-16-cai-tui-giay-i2880311126.html</v>
      </c>
      <c r="C8244" s="10" t="s">
        <v>8244</v>
      </c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>
      <c r="A8245" s="8">
        <v>13099.0</v>
      </c>
      <c r="B8245" s="9" t="str">
        <f>HYPERLINK("https://www.lazada.vn/products/biscuit-nuts-fruits-biscuit-almond-cashew-coconut-chip-snack-breakfast-light-food-biscuit-nuts-fruits-mixed-flavor-200g-i2836720071.html", "https://www.lazada.vn/products/biscuit-nuts-fruits-biscuit-almond-cashew-coconut-chip-snack-breakfast-light-food-biscuit-nuts-fruits-mixed-flavor-200g-i2836720071.html")</f>
        <v>https://www.lazada.vn/products/biscuit-nuts-fruits-biscuit-almond-cashew-coconut-chip-snack-breakfast-light-food-biscuit-nuts-fruits-mixed-flavor-200g-i2836720071.html</v>
      </c>
      <c r="C8245" s="10" t="s">
        <v>8245</v>
      </c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>
      <c r="A8246" s="8">
        <v>13100.0</v>
      </c>
      <c r="B8246" s="9" t="str">
        <f>HYPERLINK("https://www.lazada.vn/products/hop-50-vien-ca-phe-vien-nen-carraro-capsule-chuan-nespresso-hang-y-date-cuoi-nam-2026-i2654099502.html", "https://www.lazada.vn/products/hop-50-vien-ca-phe-vien-nen-carraro-capsule-chuan-nespresso-hang-y-date-cuoi-nam-2026-i2654099502.html")</f>
        <v>https://www.lazada.vn/products/hop-50-vien-ca-phe-vien-nen-carraro-capsule-chuan-nespresso-hang-y-date-cuoi-nam-2026-i2654099502.html</v>
      </c>
      <c r="C8246" s="10" t="s">
        <v>8246</v>
      </c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>
      <c r="A8247" s="8">
        <v>13101.0</v>
      </c>
      <c r="B8247" s="9" t="str">
        <f>HYPERLINK("https://www.lazada.vn/products/hang-moi-nam-linh-chi-han-quoc-thai-lat-co-gai-hop-1kg-i2810482680.html", "https://www.lazada.vn/products/hang-moi-nam-linh-chi-han-quoc-thai-lat-co-gai-hop-1kg-i2810482680.html")</f>
        <v>https://www.lazada.vn/products/hang-moi-nam-linh-chi-han-quoc-thai-lat-co-gai-hop-1kg-i2810482680.html</v>
      </c>
      <c r="C8247" s="10" t="s">
        <v>8247</v>
      </c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>
      <c r="A8248" s="8">
        <v>13102.0</v>
      </c>
      <c r="B8248" s="9" t="str">
        <f>HYPERLINK("https://www.lazada.vn/products/socola-cadbury-chunks-tui-18-vien-vi-sua-tui-81gram-i2879852207.html", "https://www.lazada.vn/products/socola-cadbury-chunks-tui-18-vien-vi-sua-tui-81gram-i2879852207.html")</f>
        <v>https://www.lazada.vn/products/socola-cadbury-chunks-tui-18-vien-vi-sua-tui-81gram-i2879852207.html</v>
      </c>
      <c r="C8248" s="10" t="s">
        <v>8248</v>
      </c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>
      <c r="A8249" s="8">
        <v>13103.0</v>
      </c>
      <c r="B8249" s="9" t="str">
        <f>HYPERLINK("https://www.lazada.vn/products/thung-24-chai-corona-46-335mlx24-i327398668.html", "https://www.lazada.vn/products/thung-24-chai-corona-46-335mlx24-i327398668.html")</f>
        <v>https://www.lazada.vn/products/thung-24-chai-corona-46-335mlx24-i327398668.html</v>
      </c>
      <c r="C8249" s="10" t="s">
        <v>8249</v>
      </c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>
      <c r="A8250" s="8">
        <v>13104.0</v>
      </c>
      <c r="B8250" s="9" t="str">
        <f>HYPERLINK("https://www.lazada.vn/products/banh-quy-lua-my-mcvities-digestive-nguyen-cam-truyen-thong-hop-thiec-500gr-banh-keo-tet-b31-sieu-thi-beegin-i2833800008.html", "https://www.lazada.vn/products/banh-quy-lua-my-mcvities-digestive-nguyen-cam-truyen-thong-hop-thiec-500gr-banh-keo-tet-b31-sieu-thi-beegin-i2833800008.html")</f>
        <v>https://www.lazada.vn/products/banh-quy-lua-my-mcvities-digestive-nguyen-cam-truyen-thong-hop-thiec-500gr-banh-keo-tet-b31-sieu-thi-beegin-i2833800008.html</v>
      </c>
      <c r="C8250" s="10" t="s">
        <v>8250</v>
      </c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>
      <c r="A8251" s="8">
        <v>13105.0</v>
      </c>
      <c r="B8251" s="9" t="str">
        <f>HYPERLINK("https://www.lazada.vn/products/1kg-cafe-robusta-nguyen-chat-ban-me-thuot-i2653996615.html", "https://www.lazada.vn/products/1kg-cafe-robusta-nguyen-chat-ban-me-thuot-i2653996615.html")</f>
        <v>https://www.lazada.vn/products/1kg-cafe-robusta-nguyen-chat-ban-me-thuot-i2653996615.html</v>
      </c>
      <c r="C8251" s="10" t="s">
        <v>8251</v>
      </c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>
      <c r="A8252" s="8">
        <v>13106.0</v>
      </c>
      <c r="B8252" s="9" t="str">
        <f>HYPERLINK("https://www.lazada.vn/products/bich-50-goi-mi-tom-tre-em-an-binh-x-20gr-i2825892391.html", "https://www.lazada.vn/products/bich-50-goi-mi-tom-tre-em-an-binh-x-20gr-i2825892391.html")</f>
        <v>https://www.lazada.vn/products/bich-50-goi-mi-tom-tre-em-an-binh-x-20gr-i2825892391.html</v>
      </c>
      <c r="C8252" s="10" t="s">
        <v>8252</v>
      </c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>
      <c r="A8253" s="8">
        <v>13107.0</v>
      </c>
      <c r="B8253" s="9" t="str">
        <f>HYPERLINK("https://www.lazada.vn/products/thach-hoa-qua-pororo-paldo-han-quoc-120ml-i2057143870.html", "https://www.lazada.vn/products/thach-hoa-qua-pororo-paldo-han-quoc-120ml-i2057143870.html")</f>
        <v>https://www.lazada.vn/products/thach-hoa-qua-pororo-paldo-han-quoc-120ml-i2057143870.html</v>
      </c>
      <c r="C8253" s="10" t="s">
        <v>8253</v>
      </c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>
      <c r="A8254" s="8">
        <v>13108.0</v>
      </c>
      <c r="B8254" s="9" t="str">
        <f>HYPERLINK("https://www.lazada.vn/products/mau-moi-to-nho-mai-mai-mi-vi-lau-thai-tom-84gr-i2906205695.html", "https://www.lazada.vn/products/mau-moi-to-nho-mai-mai-mi-vi-lau-thai-tom-84gr-i2906205695.html")</f>
        <v>https://www.lazada.vn/products/mau-moi-to-nho-mai-mai-mi-vi-lau-thai-tom-84gr-i2906205695.html</v>
      </c>
      <c r="C8254" s="10" t="s">
        <v>8254</v>
      </c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>
      <c r="A8255" s="8">
        <v>13109.0</v>
      </c>
      <c r="B8255" s="9" t="str">
        <f>HYPERLINK("https://www.lazada.vn/products/banh-mi-hoa-cuc-otto-80g-i2576921186.html", "https://www.lazada.vn/products/banh-mi-hoa-cuc-otto-80g-i2576921186.html")</f>
        <v>https://www.lazada.vn/products/banh-mi-hoa-cuc-otto-80g-i2576921186.html</v>
      </c>
      <c r="C8255" s="10" t="s">
        <v>8255</v>
      </c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>
      <c r="A8256" s="8">
        <v>13110.0</v>
      </c>
      <c r="B8256" s="9" t="str">
        <f>HYPERLINK("https://www.lazada.vn/products/thach-thuy-tinh-hung-chuong-hop-1kg-i2430571896.html", "https://www.lazada.vn/products/thach-thuy-tinh-hung-chuong-hop-1kg-i2430571896.html")</f>
        <v>https://www.lazada.vn/products/thach-thuy-tinh-hung-chuong-hop-1kg-i2430571896.html</v>
      </c>
      <c r="C8256" s="10" t="s">
        <v>8256</v>
      </c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>
      <c r="A8257" s="8">
        <v>13111.0</v>
      </c>
      <c r="B8257" s="9" t="str">
        <f>HYPERLINK("https://www.lazada.vn/products/nuoc-mau-atk-600-gr-ben-tre-i1994523122.html", "https://www.lazada.vn/products/nuoc-mau-atk-600-gr-ben-tre-i1994523122.html")</f>
        <v>https://www.lazada.vn/products/nuoc-mau-atk-600-gr-ben-tre-i1994523122.html</v>
      </c>
      <c r="C8257" s="10" t="s">
        <v>8257</v>
      </c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>
      <c r="A8258" s="8">
        <v>13112.0</v>
      </c>
      <c r="B8258" s="9" t="str">
        <f>HYPERLINK("https://www.lazada.vn/products/thung-24-chai-nuoc-ngot-co-gaz-pepsi-390mlchai-i2041388512.html", "https://www.lazada.vn/products/thung-24-chai-nuoc-ngot-co-gaz-pepsi-390mlchai-i2041388512.html")</f>
        <v>https://www.lazada.vn/products/thung-24-chai-nuoc-ngot-co-gaz-pepsi-390mlchai-i2041388512.html</v>
      </c>
      <c r="C8258" s="10" t="s">
        <v>8258</v>
      </c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>
      <c r="A8259" s="8">
        <v>13113.0</v>
      </c>
      <c r="B8259" s="9" t="str">
        <f>HYPERLINK("https://www.lazada.vn/products/set-30-goi-do-an-vat-hot-hit-tong-hop-cac-mon-sieu-ngon-i2305362412.html", "https://www.lazada.vn/products/set-30-goi-do-an-vat-hot-hit-tong-hop-cac-mon-sieu-ngon-i2305362412.html")</f>
        <v>https://www.lazada.vn/products/set-30-goi-do-an-vat-hot-hit-tong-hop-cac-mon-sieu-ngon-i2305362412.html</v>
      </c>
      <c r="C8259" s="10" t="s">
        <v>8259</v>
      </c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>
      <c r="A8260" s="8">
        <v>13114.0</v>
      </c>
      <c r="B8260" s="9" t="str">
        <f>HYPERLINK("https://www.lazada.vn/products/banh-ong-i2858123426.html", "https://www.lazada.vn/products/banh-ong-i2858123426.html")</f>
        <v>https://www.lazada.vn/products/banh-ong-i2858123426.html</v>
      </c>
      <c r="C8260" s="10" t="s">
        <v>8260</v>
      </c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>
      <c r="A8261" s="8">
        <v>13115.0</v>
      </c>
      <c r="B8261" s="9" t="str">
        <f>HYPERLINK("https://www.lazada.vn/products/la-ca-ri-ong-cha-va-goi-40g-i1736543662.html", "https://www.lazada.vn/products/la-ca-ri-ong-cha-va-goi-40g-i1736543662.html")</f>
        <v>https://www.lazada.vn/products/la-ca-ri-ong-cha-va-goi-40g-i1736543662.html</v>
      </c>
      <c r="C8261" s="10" t="s">
        <v>8261</v>
      </c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>
      <c r="A8262" s="8">
        <v>13116.0</v>
      </c>
      <c r="B8262" s="9" t="str">
        <f>HYPERLINK("https://www.lazada.vn/products/banh-dua-hoa-mai-1kg-it-ngot-3-vi-khom-dua-dau-xanh-banh-nha-lam-chuan-ngon-khach-dat-moi-nuong-va-dam-bao-banh-ngon-den-khach-hang-omnimall-i2998859122.html", "https://www.lazada.vn/products/banh-dua-hoa-mai-1kg-it-ngot-3-vi-khom-dua-dau-xanh-banh-nha-lam-chuan-ngon-khach-dat-moi-nuong-va-dam-bao-banh-ngon-den-khach-hang-omnimall-i2998859122.html")</f>
        <v>https://www.lazada.vn/products/banh-dua-hoa-mai-1kg-it-ngot-3-vi-khom-dua-dau-xanh-banh-nha-lam-chuan-ngon-khach-dat-moi-nuong-va-dam-bao-banh-ngon-den-khach-hang-omnimall-i2998859122.html</v>
      </c>
      <c r="C8262" s="10" t="s">
        <v>8262</v>
      </c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>
      <c r="A8263" s="8">
        <v>13117.0</v>
      </c>
      <c r="B8263" s="9" t="str">
        <f>HYPERLINK("https://www.lazada.vn/products/bot-nghe-den-nguyen-chat-tui-1kg-500gram-i2645610982.html", "https://www.lazada.vn/products/bot-nghe-den-nguyen-chat-tui-1kg-500gram-i2645610982.html")</f>
        <v>https://www.lazada.vn/products/bot-nghe-den-nguyen-chat-tui-1kg-500gram-i2645610982.html</v>
      </c>
      <c r="C8263" s="10" t="s">
        <v>8263</v>
      </c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>
      <c r="A8264" s="8">
        <v>13118.0</v>
      </c>
      <c r="B8264" s="9" t="str">
        <f>HYPERLINK("https://www.lazada.vn/products/keo-foxs-crystal-clear-vi-trai-cay-bac-ha-180gr-00295-i2904046626.html", "https://www.lazada.vn/products/keo-foxs-crystal-clear-vi-trai-cay-bac-ha-180gr-00295-i2904046626.html")</f>
        <v>https://www.lazada.vn/products/keo-foxs-crystal-clear-vi-trai-cay-bac-ha-180gr-00295-i2904046626.html</v>
      </c>
      <c r="C8264" s="10" t="s">
        <v>8264</v>
      </c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>
      <c r="A8265" s="8">
        <v>13119.0</v>
      </c>
      <c r="B8265" s="9" t="str">
        <f>HYPERLINK("https://www.lazada.vn/products/nui-say-gion-i2858084468.html", "https://www.lazada.vn/products/nui-say-gion-i2858084468.html")</f>
        <v>https://www.lazada.vn/products/nui-say-gion-i2858084468.html</v>
      </c>
      <c r="C8265" s="10" t="s">
        <v>8265</v>
      </c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>
      <c r="A8266" s="8">
        <v>13120.0</v>
      </c>
      <c r="B8266" s="9" t="str">
        <f>HYPERLINK("https://www.lazada.vn/products/hat-reflex-cho-meo-moi-lua-tuoi-cung-cap-dinh-duong-toan-dien-cho-meo-mot-bua-an-hoan-hao-ngon-mieng-i2963878049.html", "https://www.lazada.vn/products/hat-reflex-cho-meo-moi-lua-tuoi-cung-cap-dinh-duong-toan-dien-cho-meo-mot-bua-an-hoan-hao-ngon-mieng-i2963878049.html")</f>
        <v>https://www.lazada.vn/products/hat-reflex-cho-meo-moi-lua-tuoi-cung-cap-dinh-duong-toan-dien-cho-meo-mot-bua-an-hoan-hao-ngon-mieng-i2963878049.html</v>
      </c>
      <c r="C8266" s="10" t="s">
        <v>8266</v>
      </c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>
      <c r="A8267" s="8">
        <v>13121.0</v>
      </c>
      <c r="B8267" s="9" t="str">
        <f>HYPERLINK("https://www.lazada.vn/products/ot-cat-ngam-voi-escabeche-hieu-la-costena-diced-jalapenos-with-escabeche-210g-i1734368593.html", "https://www.lazada.vn/products/ot-cat-ngam-voi-escabeche-hieu-la-costena-diced-jalapenos-with-escabeche-210g-i1734368593.html")</f>
        <v>https://www.lazada.vn/products/ot-cat-ngam-voi-escabeche-hieu-la-costena-diced-jalapenos-with-escabeche-210g-i1734368593.html</v>
      </c>
      <c r="C8267" s="10" t="s">
        <v>8267</v>
      </c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>
      <c r="A8268" s="8">
        <v>13122.0</v>
      </c>
      <c r="B8268" s="9" t="str">
        <f>HYPERLINK("https://www.lazada.vn/products/hang-moi-vetran-chau-hoang-kim-goi-200g-sieu-deo-dai-thom-ngon-lam-tra-sua-tran-chau-thai-xanh-thai-do-nguyen-lieu-hucha-i2766830519.html", "https://www.lazada.vn/products/hang-moi-vetran-chau-hoang-kim-goi-200g-sieu-deo-dai-thom-ngon-lam-tra-sua-tran-chau-thai-xanh-thai-do-nguyen-lieu-hucha-i2766830519.html")</f>
        <v>https://www.lazada.vn/products/hang-moi-vetran-chau-hoang-kim-goi-200g-sieu-deo-dai-thom-ngon-lam-tra-sua-tran-chau-thai-xanh-thai-do-nguyen-lieu-hucha-i2766830519.html</v>
      </c>
      <c r="C8268" s="10" t="s">
        <v>8268</v>
      </c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>
      <c r="A8269" s="8">
        <v>13123.0</v>
      </c>
      <c r="B8269" s="9" t="str">
        <f>HYPERLINK("https://www.lazada.vn/products/thung-12-chai-chimay-do-red-cap-7750mlx12-i327288844.html", "https://www.lazada.vn/products/thung-12-chai-chimay-do-red-cap-7750mlx12-i327288844.html")</f>
        <v>https://www.lazada.vn/products/thung-12-chai-chimay-do-red-cap-7750mlx12-i327288844.html</v>
      </c>
      <c r="C8269" s="10" t="s">
        <v>8269</v>
      </c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>
      <c r="A8270" s="8">
        <v>13124.0</v>
      </c>
      <c r="B8270" s="9" t="str">
        <f>HYPERLINK("https://www.lazada.vn/products/bia-eichbaum-strong-79-nhap-khau-duc-1-thung-24-lon-500ml-i2818030420.html", "https://www.lazada.vn/products/bia-eichbaum-strong-79-nhap-khau-duc-1-thung-24-lon-500ml-i2818030420.html")</f>
        <v>https://www.lazada.vn/products/bia-eichbaum-strong-79-nhap-khau-duc-1-thung-24-lon-500ml-i2818030420.html</v>
      </c>
      <c r="C8270" s="10" t="s">
        <v>8270</v>
      </c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>
      <c r="A8271" s="8">
        <v>13125.0</v>
      </c>
      <c r="B8271" s="9" t="str">
        <f>HYPERLINK("https://www.lazada.vn/products/500gr-bim-lays-vi-tom-cang-dut-lo-pho-mai-tan-chay-i2653643697.html", "https://www.lazada.vn/products/500gr-bim-lays-vi-tom-cang-dut-lo-pho-mai-tan-chay-i2653643697.html")</f>
        <v>https://www.lazada.vn/products/500gr-bim-lays-vi-tom-cang-dut-lo-pho-mai-tan-chay-i2653643697.html</v>
      </c>
      <c r="C8271" s="10" t="s">
        <v>8271</v>
      </c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>
      <c r="A8272" s="8">
        <v>13126.0</v>
      </c>
      <c r="B8272" s="9" t="str">
        <f>HYPERLINK("https://www.lazada.vn/products/bot-socola-hot-chocolate-cacaomi-dong-horeca-thom-dam-vi-cacao-nguyen-chat-chuyen-pha-che-thuc-uong-so-co-la-nong-tra-sua-milo-dam-hop-thuong-hang-357g-i1267669726.html", "https://www.lazada.vn/products/bot-socola-hot-chocolate-cacaomi-dong-horeca-thom-dam-vi-cacao-nguyen-chat-chuyen-pha-che-thuc-uong-so-co-la-nong-tra-sua-milo-dam-hop-thuong-hang-357g-i1267669726.html")</f>
        <v>https://www.lazada.vn/products/bot-socola-hot-chocolate-cacaomi-dong-horeca-thom-dam-vi-cacao-nguyen-chat-chuyen-pha-che-thuc-uong-so-co-la-nong-tra-sua-milo-dam-hop-thuong-hang-357g-i1267669726.html</v>
      </c>
      <c r="C8272" s="10" t="s">
        <v>8272</v>
      </c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>
      <c r="A8273" s="8">
        <v>13127.0</v>
      </c>
      <c r="B8273" s="9" t="str">
        <f>HYPERLINK("https://www.lazada.vn/products/thung-24-cai-banh-mi-bo-sua-ngan-lop-nhien-loi-banh-mi-goi-sandwich-noi-dia-trung-i2575944590.html", "https://www.lazada.vn/products/thung-24-cai-banh-mi-bo-sua-ngan-lop-nhien-loi-banh-mi-goi-sandwich-noi-dia-trung-i2575944590.html")</f>
        <v>https://www.lazada.vn/products/thung-24-cai-banh-mi-bo-sua-ngan-lop-nhien-loi-banh-mi-goi-sandwich-noi-dia-trung-i2575944590.html</v>
      </c>
      <c r="C8273" s="10" t="s">
        <v>8273</v>
      </c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>
      <c r="A8274" s="8">
        <v>13128.0</v>
      </c>
      <c r="B8274" s="9" t="str">
        <f>HYPERLINK("https://www.lazada.vn/products/1-bich-24-que-keo-thach-rau-cau-dai-vietfoods-huong-trai-cay-poke-an-toan-ngon-thom-danh-cho-tre-em-i2055399615.html", "https://www.lazada.vn/products/1-bich-24-que-keo-thach-rau-cau-dai-vietfoods-huong-trai-cay-poke-an-toan-ngon-thom-danh-cho-tre-em-i2055399615.html")</f>
        <v>https://www.lazada.vn/products/1-bich-24-que-keo-thach-rau-cau-dai-vietfoods-huong-trai-cay-poke-an-toan-ngon-thom-danh-cho-tre-em-i2055399615.html</v>
      </c>
      <c r="C8274" s="10" t="s">
        <v>8274</v>
      </c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>
      <c r="A8275" s="8">
        <v>13129.0</v>
      </c>
      <c r="B8275" s="9" t="str">
        <f>HYPERLINK("https://www.lazada.vn/products/cafe-maxim-mocha-gold-mild-20-cai-240g-ktown-market-i2652929788.html", "https://www.lazada.vn/products/cafe-maxim-mocha-gold-mild-20-cai-240g-ktown-market-i2652929788.html")</f>
        <v>https://www.lazada.vn/products/cafe-maxim-mocha-gold-mild-20-cai-240g-ktown-market-i2652929788.html</v>
      </c>
      <c r="C8275" s="10" t="s">
        <v>8275</v>
      </c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>
      <c r="A8276" s="8">
        <v>13130.0</v>
      </c>
      <c r="B8276" s="9" t="str">
        <f>HYPERLINK("https://www.lazada.vn/products/thung-tuoi-mcrice-nau-socola-dau-keo-trai-tim-do-an-nhe-pho-bien-keo-cuoi-hang-tron-hang-khong-thu-cong-san-pham-nau-socola-i2873972406.html", "https://www.lazada.vn/products/thung-tuoi-mcrice-nau-socola-dau-keo-trai-tim-do-an-nhe-pho-bien-keo-cuoi-hang-tron-hang-khong-thu-cong-san-pham-nau-socola-i2873972406.html")</f>
        <v>https://www.lazada.vn/products/thung-tuoi-mcrice-nau-socola-dau-keo-trai-tim-do-an-nhe-pho-bien-keo-cuoi-hang-tron-hang-khong-thu-cong-san-pham-nau-socola-i2873972406.html</v>
      </c>
      <c r="C8276" s="10" t="s">
        <v>8276</v>
      </c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>
      <c r="A8277" s="8">
        <v>13131.0</v>
      </c>
      <c r="B8277" s="9" t="str">
        <f>HYPERLINK("https://www.lazada.vn/products/binh-tay-food-mi-hai-cua-do-goi-70gr-i2810767718.html", "https://www.lazada.vn/products/binh-tay-food-mi-hai-cua-do-goi-70gr-i2810767718.html")</f>
        <v>https://www.lazada.vn/products/binh-tay-food-mi-hai-cua-do-goi-70gr-i2810767718.html</v>
      </c>
      <c r="C8277" s="10" t="s">
        <v>8277</v>
      </c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>
      <c r="A8278" s="8">
        <v>13132.0</v>
      </c>
      <c r="B8278" s="9" t="str">
        <f>HYPERLINK("https://www.lazada.vn/products/mi-ly-khoai-tay-omachi-tom-chua-cay-xot-bo-ham-ly-66g-i2906107890.html", "https://www.lazada.vn/products/mi-ly-khoai-tay-omachi-tom-chua-cay-xot-bo-ham-ly-66g-i2906107890.html")</f>
        <v>https://www.lazada.vn/products/mi-ly-khoai-tay-omachi-tom-chua-cay-xot-bo-ham-ly-66g-i2906107890.html</v>
      </c>
      <c r="C8278" s="10" t="s">
        <v>8278</v>
      </c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>
      <c r="A8279" s="8">
        <v>13133.0</v>
      </c>
      <c r="B8279" s="9" t="str">
        <f>HYPERLINK("https://www.lazada.vn/products/loc-6-chai-bia-kasteel-rouge-8-chai-330ml-i320700526.html", "https://www.lazada.vn/products/loc-6-chai-bia-kasteel-rouge-8-chai-330ml-i320700526.html")</f>
        <v>https://www.lazada.vn/products/loc-6-chai-bia-kasteel-rouge-8-chai-330ml-i320700526.html</v>
      </c>
      <c r="C8279" s="10" t="s">
        <v>8279</v>
      </c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>
      <c r="A8280" s="8">
        <v>13134.0</v>
      </c>
      <c r="B8280" s="9" t="str">
        <f>HYPERLINK("https://www.lazada.vn/products/banh-quy-lua-my-mcvities-digestive-nguyen-cam-truyen-thong-hop-thiec-500gr-banh-keo-tet-b31-chuyen-si-tpnk-i2833595736.html", "https://www.lazada.vn/products/banh-quy-lua-my-mcvities-digestive-nguyen-cam-truyen-thong-hop-thiec-500gr-banh-keo-tet-b31-chuyen-si-tpnk-i2833595736.html")</f>
        <v>https://www.lazada.vn/products/banh-quy-lua-my-mcvities-digestive-nguyen-cam-truyen-thong-hop-thiec-500gr-banh-keo-tet-b31-chuyen-si-tpnk-i2833595736.html</v>
      </c>
      <c r="C8280" s="10" t="s">
        <v>8280</v>
      </c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>
      <c r="A8281" s="8">
        <v>13135.0</v>
      </c>
      <c r="B8281" s="9" t="str">
        <f>HYPERLINK("https://www.lazada.vn/products/ruou-mo-ma-dao-moc-chau-mam-distillery-530ml-i2429810552.html", "https://www.lazada.vn/products/ruou-mo-ma-dao-moc-chau-mam-distillery-530ml-i2429810552.html")</f>
        <v>https://www.lazada.vn/products/ruou-mo-ma-dao-moc-chau-mam-distillery-530ml-i2429810552.html</v>
      </c>
      <c r="C8281" s="10" t="s">
        <v>8281</v>
      </c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>
      <c r="A8282" s="8">
        <v>13136.0</v>
      </c>
      <c r="B8282" s="9" t="str">
        <f>HYPERLINK("https://www.lazada.vn/products/sinh-to-golden-farm-chai-1000ml-i2429713651.html", "https://www.lazada.vn/products/sinh-to-golden-farm-chai-1000ml-i2429713651.html")</f>
        <v>https://www.lazada.vn/products/sinh-to-golden-farm-chai-1000ml-i2429713651.html</v>
      </c>
      <c r="C8282" s="10" t="s">
        <v>8282</v>
      </c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>
      <c r="A8283" s="8">
        <v>13137.0</v>
      </c>
      <c r="B8283" s="9" t="str">
        <f>HYPERLINK("https://www.lazada.vn/products/giao-hang-2h-combo-1-hop-nuoc-cot-ga-brands-vi-truyen-thong-70-ml-va-1-hop-nuoc-yen-that-brands-duong-phen-70-ml-i1964897439.html", "https://www.lazada.vn/products/giao-hang-2h-combo-1-hop-nuoc-cot-ga-brands-vi-truyen-thong-70-ml-va-1-hop-nuoc-yen-that-brands-duong-phen-70-ml-i1964897439.html")</f>
        <v>https://www.lazada.vn/products/giao-hang-2h-combo-1-hop-nuoc-cot-ga-brands-vi-truyen-thong-70-ml-va-1-hop-nuoc-yen-that-brands-duong-phen-70-ml-i1964897439.html</v>
      </c>
      <c r="C8283" s="10" t="s">
        <v>8283</v>
      </c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>
      <c r="A8284" s="8">
        <v>13138.0</v>
      </c>
      <c r="B8284" s="9" t="str">
        <f>HYPERLINK("https://www.lazada.vn/products/thung-24-lon-nuoc-uong-co-gaz-pepsi-vi-chanh-khong-calo-320mllon-i2041264553.html", "https://www.lazada.vn/products/thung-24-lon-nuoc-uong-co-gaz-pepsi-vi-chanh-khong-calo-320mllon-i2041264553.html")</f>
        <v>https://www.lazada.vn/products/thung-24-lon-nuoc-uong-co-gaz-pepsi-vi-chanh-khong-calo-320mllon-i2041264553.html</v>
      </c>
      <c r="C8284" s="10" t="s">
        <v>8284</v>
      </c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>
      <c r="A8285" s="8">
        <v>13139.0</v>
      </c>
      <c r="B8285" s="9" t="str">
        <f>HYPERLINK("https://www.lazada.vn/products/banh-quy-jamy-3-vi-i2995795154.html", "https://www.lazada.vn/products/banh-quy-jamy-3-vi-i2995795154.html")</f>
        <v>https://www.lazada.vn/products/banh-quy-jamy-3-vi-i2995795154.html</v>
      </c>
      <c r="C8285" s="10" t="s">
        <v>8285</v>
      </c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>
      <c r="A8286" s="8">
        <v>13140.0</v>
      </c>
      <c r="B8286" s="9" t="str">
        <f>HYPERLINK("https://www.lazada.vn/products/combo-banh-trang-phoi-suong-500g-bo-i2299057638.html", "https://www.lazada.vn/products/combo-banh-trang-phoi-suong-500g-bo-i2299057638.html")</f>
        <v>https://www.lazada.vn/products/combo-banh-trang-phoi-suong-500g-bo-i2299057638.html</v>
      </c>
      <c r="C8286" s="10" t="s">
        <v>8286</v>
      </c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>
      <c r="A8287" s="8">
        <v>13141.0</v>
      </c>
      <c r="B8287" s="9" t="str">
        <f>HYPERLINK("https://www.lazada.vn/products/keo-ca-phe-3d-coffee-candy-dai-loan-khong-duong-500g-banh-keo-do-an-vat-i2903085503.html", "https://www.lazada.vn/products/keo-ca-phe-3d-coffee-candy-dai-loan-khong-duong-500g-banh-keo-do-an-vat-i2903085503.html")</f>
        <v>https://www.lazada.vn/products/keo-ca-phe-3d-coffee-candy-dai-loan-khong-duong-500g-banh-keo-do-an-vat-i2903085503.html</v>
      </c>
      <c r="C8287" s="10" t="s">
        <v>8287</v>
      </c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>
      <c r="A8288" s="8">
        <v>13142.0</v>
      </c>
      <c r="B8288" s="9" t="str">
        <f>HYPERLINK("https://www.lazada.vn/products/hop-408gr-mut-tao-do-say-deo-tan-cuong-sieu-ngon-i2855579065.html", "https://www.lazada.vn/products/hop-408gr-mut-tao-do-say-deo-tan-cuong-sieu-ngon-i2855579065.html")</f>
        <v>https://www.lazada.vn/products/hop-408gr-mut-tao-do-say-deo-tan-cuong-sieu-ngon-i2855579065.html</v>
      </c>
      <c r="C8288" s="10" t="s">
        <v>8288</v>
      </c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>
      <c r="A8289" s="8">
        <v>13143.0</v>
      </c>
      <c r="B8289" s="9" t="str">
        <f>HYPERLINK("https://www.lazada.vn/products/date-32026co-video-1-thung-co-125-goi-bot-pocari-sweat-bu-nuoc-bu-ion-dien-giai-tu-nhat-ban-i2645570006.html", "https://www.lazada.vn/products/date-32026co-video-1-thung-co-125-goi-bot-pocari-sweat-bu-nuoc-bu-ion-dien-giai-tu-nhat-ban-i2645570006.html")</f>
        <v>https://www.lazada.vn/products/date-32026co-video-1-thung-co-125-goi-bot-pocari-sweat-bu-nuoc-bu-ion-dien-giai-tu-nhat-ban-i2645570006.html</v>
      </c>
      <c r="C8289" s="10" t="s">
        <v>8289</v>
      </c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>
      <c r="A8290" s="8">
        <v>13144.0</v>
      </c>
      <c r="B8290" s="9" t="str">
        <f>HYPERLINK("https://www.lazada.vn/products/thuc-an-maxime-cho-meo-moi-lua-tuoi-i2963839102.html", "https://www.lazada.vn/products/thuc-an-maxime-cho-meo-moi-lua-tuoi-i2963839102.html")</f>
        <v>https://www.lazada.vn/products/thuc-an-maxime-cho-meo-moi-lua-tuoi-i2963839102.html</v>
      </c>
      <c r="C8290" s="10" t="s">
        <v>8290</v>
      </c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>
      <c r="A8291" s="8">
        <v>13145.0</v>
      </c>
      <c r="B8291" s="9" t="str">
        <f>HYPERLINK("https://www.lazada.vn/products/bot-cai-xoan-100g-bot-kale-say-lanh-bot-an-dam-cho-be-detox-giam-can-dep-da-thanh-loc-lan-ong-i2667257016.html", "https://www.lazada.vn/products/bot-cai-xoan-100g-bot-kale-say-lanh-bot-an-dam-cho-be-detox-giam-can-dep-da-thanh-loc-lan-ong-i2667257016.html")</f>
        <v>https://www.lazada.vn/products/bot-cai-xoan-100g-bot-kale-say-lanh-bot-an-dam-cho-be-detox-giam-can-dep-da-thanh-loc-lan-ong-i2667257016.html</v>
      </c>
      <c r="C8291" s="10" t="s">
        <v>8291</v>
      </c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>
      <c r="A8292" s="8">
        <v>13146.0</v>
      </c>
      <c r="B8292" s="9" t="str">
        <f>HYPERLINK("https://www.lazada.vn/products/bia-karlsbrau-helles-natur-weizen-52-nhap-khau-duc-1-lon-500ml-i2818013946.html", "https://www.lazada.vn/products/bia-karlsbrau-helles-natur-weizen-52-nhap-khau-duc-1-lon-500ml-i2818013946.html")</f>
        <v>https://www.lazada.vn/products/bia-karlsbrau-helles-natur-weizen-52-nhap-khau-duc-1-lon-500ml-i2818013946.html</v>
      </c>
      <c r="C8292" s="10" t="s">
        <v>8292</v>
      </c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>
      <c r="A8293" s="8">
        <v>13147.0</v>
      </c>
      <c r="B8293" s="9" t="str">
        <f>HYPERLINK("https://www.lazada.vn/products/xi-muoi-man-thai-lan-250g-coldcool-mart-i1733988439.html", "https://www.lazada.vn/products/xi-muoi-man-thai-lan-250g-coldcool-mart-i1733988439.html")</f>
        <v>https://www.lazada.vn/products/xi-muoi-man-thai-lan-250g-coldcool-mart-i1733988439.html</v>
      </c>
      <c r="C8293" s="10" t="s">
        <v>8293</v>
      </c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>
      <c r="A8294" s="8">
        <v>13148.0</v>
      </c>
      <c r="B8294" s="9" t="str">
        <f>HYPERLINK("https://www.lazada.vn/products/socola-nhan-dung-dich-ruou-baileys-original-irish-cream-chocolate-filled-with-liquor-cua-turin-hop-500gr-cua-mexico-i2873916441.html", "https://www.lazada.vn/products/socola-nhan-dung-dich-ruou-baileys-original-irish-cream-chocolate-filled-with-liquor-cua-turin-hop-500gr-cua-mexico-i2873916441.html")</f>
        <v>https://www.lazada.vn/products/socola-nhan-dung-dich-ruou-baileys-original-irish-cream-chocolate-filled-with-liquor-cua-turin-hop-500gr-cua-mexico-i2873916441.html</v>
      </c>
      <c r="C8294" s="10" t="s">
        <v>8294</v>
      </c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>
      <c r="A8295" s="8">
        <v>13149.0</v>
      </c>
      <c r="B8295" s="9" t="str">
        <f>HYPERLINK("https://www.lazada.vn/products/bot-ca-cao-nguyen-chat-cacao-mi-original-gu-truyen-thong-ho-tro-giam-can-an-kieng-chuan-keto-goi-dung-thu-80g-i1267665699.html", "https://www.lazada.vn/products/bot-ca-cao-nguyen-chat-cacao-mi-original-gu-truyen-thong-ho-tro-giam-can-an-kieng-chuan-keto-goi-dung-thu-80g-i1267665699.html")</f>
        <v>https://www.lazada.vn/products/bot-ca-cao-nguyen-chat-cacao-mi-original-gu-truyen-thong-ho-tro-giam-can-an-kieng-chuan-keto-goi-dung-thu-80g-i1267665699.html</v>
      </c>
      <c r="C8295" s="10" t="s">
        <v>8295</v>
      </c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>
      <c r="A8296" s="8">
        <v>13150.0</v>
      </c>
      <c r="B8296" s="9" t="str">
        <f>HYPERLINK("https://www.lazada.vn/products/chao-thit-ga-vifon-1-goi-70g-i2797195367.html", "https://www.lazada.vn/products/chao-thit-ga-vifon-1-goi-70g-i2797195367.html")</f>
        <v>https://www.lazada.vn/products/chao-thit-ga-vifon-1-goi-70g-i2797195367.html</v>
      </c>
      <c r="C8296" s="10" t="s">
        <v>8296</v>
      </c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>
      <c r="A8297" s="8">
        <v>13151.0</v>
      </c>
      <c r="B8297" s="9" t="str">
        <f>HYPERLINK("https://www.lazada.vn/products/nui-vo-so-va-nui-chu-cai-huu-co-bio-duc-i2905506622.html", "https://www.lazada.vn/products/nui-vo-so-va-nui-chu-cai-huu-co-bio-duc-i2905506622.html")</f>
        <v>https://www.lazada.vn/products/nui-vo-so-va-nui-chu-cai-huu-co-bio-duc-i2905506622.html</v>
      </c>
      <c r="C8297" s="10" t="s">
        <v>8297</v>
      </c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>
      <c r="A8298" s="8">
        <v>13152.0</v>
      </c>
      <c r="B8298" s="9" t="str">
        <f>HYPERLINK("https://www.lazada.vn/products/ca-phe-sua-kopiko-macchiato-thai-lan-muasamnhanh-i2652551606.html", "https://www.lazada.vn/products/ca-phe-sua-kopiko-macchiato-thai-lan-muasamnhanh-i2652551606.html")</f>
        <v>https://www.lazada.vn/products/ca-phe-sua-kopiko-macchiato-thai-lan-muasamnhanh-i2652551606.html</v>
      </c>
      <c r="C8298" s="10" t="s">
        <v>8298</v>
      </c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>
      <c r="A8299" s="8">
        <v>13153.0</v>
      </c>
      <c r="B8299" s="9" t="str">
        <f>HYPERLINK("https://www.lazada.vn/products/sieu-ngon-250g-banh-khoai-tay-potato-minh-phat-banh-potato-banh-quy-sieu-ngon-i2652992092.html", "https://www.lazada.vn/products/sieu-ngon-250g-banh-khoai-tay-potato-minh-phat-banh-potato-banh-quy-sieu-ngon-i2652992092.html")</f>
        <v>https://www.lazada.vn/products/sieu-ngon-250g-banh-khoai-tay-potato-minh-phat-banh-potato-banh-quy-sieu-ngon-i2652992092.html</v>
      </c>
      <c r="C8299" s="10" t="s">
        <v>8299</v>
      </c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>
      <c r="A8300" s="8">
        <v>13154.0</v>
      </c>
      <c r="B8300" s="9" t="str">
        <f>HYPERLINK("https://www.lazada.vn/products/banh-pho-mai-an-nhien-50g-i2562750594.html", "https://www.lazada.vn/products/banh-pho-mai-an-nhien-50g-i2562750594.html")</f>
        <v>https://www.lazada.vn/products/banh-pho-mai-an-nhien-50g-i2562750594.html</v>
      </c>
      <c r="C8300" s="10" t="s">
        <v>8300</v>
      </c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>
      <c r="A8301" s="8">
        <v>13155.0</v>
      </c>
      <c r="B8301" s="9" t="str">
        <f>HYPERLINK("https://www.lazada.vn/products/bia-st-sebastiaan-gran-cru-500ml-i319838213.html", "https://www.lazada.vn/products/bia-st-sebastiaan-gran-cru-500ml-i319838213.html")</f>
        <v>https://www.lazada.vn/products/bia-st-sebastiaan-gran-cru-500ml-i319838213.html</v>
      </c>
      <c r="C8301" s="10" t="s">
        <v>8301</v>
      </c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>
      <c r="A8302" s="8">
        <v>13156.0</v>
      </c>
      <c r="B8302" s="9" t="str">
        <f>HYPERLINK("https://www.lazada.vn/products/goi-keo-thach-rau-cau-vietfoods-du-vi-an-toan-ngon-thom-danh-cho-tre-em-i2055359871.html", "https://www.lazada.vn/products/goi-keo-thach-rau-cau-vietfoods-du-vi-an-toan-ngon-thom-danh-cho-tre-em-i2055359871.html")</f>
        <v>https://www.lazada.vn/products/goi-keo-thach-rau-cau-vietfoods-du-vi-an-toan-ngon-thom-danh-cho-tre-em-i2055359871.html</v>
      </c>
      <c r="C8302" s="10" t="s">
        <v>8302</v>
      </c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>
      <c r="A8303" s="8">
        <v>13157.0</v>
      </c>
      <c r="B8303" s="9" t="str">
        <f>HYPERLINK("https://www.lazada.vn/products/tui-500g-banh-tay-cui-tay-quat-do-an-vat-thom-ngon-shop-thu-quan-i2830281786.html", "https://www.lazada.vn/products/tui-500g-banh-tay-cui-tay-quat-do-an-vat-thom-ngon-shop-thu-quan-i2830281786.html")</f>
        <v>https://www.lazada.vn/products/tui-500g-banh-tay-cui-tay-quat-do-an-vat-thom-ngon-shop-thu-quan-i2830281786.html</v>
      </c>
      <c r="C8303" s="10" t="s">
        <v>8303</v>
      </c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>
      <c r="A8304" s="8">
        <v>13158.0</v>
      </c>
      <c r="B8304" s="9" t="str">
        <f>HYPERLINK("https://www.lazada.vn/products/thach-dua-douxian-hop-25kg-i2428972812.html", "https://www.lazada.vn/products/thach-dua-douxian-hop-25kg-i2428972812.html")</f>
        <v>https://www.lazada.vn/products/thach-dua-douxian-hop-25kg-i2428972812.html</v>
      </c>
      <c r="C8304" s="10" t="s">
        <v>8304</v>
      </c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>
      <c r="A8305" s="8">
        <v>13159.0</v>
      </c>
      <c r="B8305" s="9" t="str">
        <f>HYPERLINK("https://www.lazada.vn/products/giao-hang-2h-combo-1-hop-nuoc-cot-ga-brands-vi-truyen-thong-42-ml-va-1-hop-nuoc-yen-that-brands-duong-phen-42-ml-i1964848676.html", "https://www.lazada.vn/products/giao-hang-2h-combo-1-hop-nuoc-cot-ga-brands-vi-truyen-thong-42-ml-va-1-hop-nuoc-yen-that-brands-duong-phen-42-ml-i1964848676.html")</f>
        <v>https://www.lazada.vn/products/giao-hang-2h-combo-1-hop-nuoc-cot-ga-brands-vi-truyen-thong-42-ml-va-1-hop-nuoc-yen-that-brands-duong-phen-42-ml-i1964848676.html</v>
      </c>
      <c r="C8305" s="10" t="s">
        <v>8305</v>
      </c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>
      <c r="A8306" s="8">
        <v>13160.0</v>
      </c>
      <c r="B8306" s="9" t="str">
        <f>HYPERLINK("https://www.lazada.vn/products/thung-24-lon-nuoc-uong-co-gaz-pepsi-khong-calo-320mllon-i2041232658.html", "https://www.lazada.vn/products/thung-24-lon-nuoc-uong-co-gaz-pepsi-khong-calo-320mllon-i2041232658.html")</f>
        <v>https://www.lazada.vn/products/thung-24-lon-nuoc-uong-co-gaz-pepsi-khong-calo-320mllon-i2041232658.html</v>
      </c>
      <c r="C8306" s="10" t="s">
        <v>8306</v>
      </c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>
      <c r="A8307" s="8">
        <v>13161.0</v>
      </c>
      <c r="B8307" s="9" t="str">
        <f>HYPERLINK("https://www.lazada.vn/products/keo-ca-phe-capuchino-keo-mem-phu-lop-ca-phe-thom-ngon-i2901255916.html", "https://www.lazada.vn/products/keo-ca-phe-capuchino-keo-mem-phu-lop-ca-phe-thom-ngon-i2901255916.html")</f>
        <v>https://www.lazada.vn/products/keo-ca-phe-capuchino-keo-mem-phu-lop-ca-phe-thom-ngon-i2901255916.html</v>
      </c>
      <c r="C8307" s="10" t="s">
        <v>8307</v>
      </c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>
      <c r="A8308" s="8">
        <v>13162.0</v>
      </c>
      <c r="B8308" s="9" t="str">
        <f>HYPERLINK("https://www.lazada.vn/products/banh-trang-mam-ruoc-cha-bong-set-10-banh-i2297642747.html", "https://www.lazada.vn/products/banh-trang-mam-ruoc-cha-bong-set-10-banh-i2297642747.html")</f>
        <v>https://www.lazada.vn/products/banh-trang-mam-ruoc-cha-bong-set-10-banh-i2297642747.html</v>
      </c>
      <c r="C8308" s="10" t="s">
        <v>8308</v>
      </c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>
      <c r="A8309" s="8">
        <v>13163.0</v>
      </c>
      <c r="B8309" s="9" t="str">
        <f>HYPERLINK("https://www.lazada.vn/products/hat-royal-canin-cho-meo-moi-lua-tuoi-i2963825624.html", "https://www.lazada.vn/products/hat-royal-canin-cho-meo-moi-lua-tuoi-i2963825624.html")</f>
        <v>https://www.lazada.vn/products/hat-royal-canin-cho-meo-moi-lua-tuoi-i2963825624.html</v>
      </c>
      <c r="C8309" s="10" t="s">
        <v>8309</v>
      </c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>
      <c r="A8310" s="8">
        <v>13164.0</v>
      </c>
      <c r="B8310" s="9" t="str">
        <f>HYPERLINK("https://www.lazada.vn/products/co-videodate-32026-hop-bot-co-5-goi-pocari-sweat-bu-nuoc-bu-ion-dien-giai-tu-nhat-ban-i2645439326.html", "https://www.lazada.vn/products/co-videodate-32026-hop-bot-co-5-goi-pocari-sweat-bu-nuoc-bu-ion-dien-giai-tu-nhat-ban-i2645439326.html")</f>
        <v>https://www.lazada.vn/products/co-videodate-32026-hop-bot-co-5-goi-pocari-sweat-bu-nuoc-bu-ion-dien-giai-tu-nhat-ban-i2645439326.html</v>
      </c>
      <c r="C8310" s="10" t="s">
        <v>8310</v>
      </c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>
      <c r="A8311" s="8">
        <v>13165.0</v>
      </c>
      <c r="B8311" s="9" t="str">
        <f>HYPERLINK("https://www.lazada.vn/products/thach-nha-dam-1kg-chi-co-tai-xuong-che-ngon-va-do-an-vat-i2052836376.html", "https://www.lazada.vn/products/thach-nha-dam-1kg-chi-co-tai-xuong-che-ngon-va-do-an-vat-i2052836376.html")</f>
        <v>https://www.lazada.vn/products/thach-nha-dam-1kg-chi-co-tai-xuong-che-ngon-va-do-an-vat-i2052836376.html</v>
      </c>
      <c r="C8311" s="10" t="s">
        <v>8311</v>
      </c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>
      <c r="A8312" s="8">
        <v>13166.0</v>
      </c>
      <c r="B8312" s="9" t="str">
        <f>HYPERLINK("https://www.lazada.vn/products/banh-an-sang-cest-bon-orion-soi-thit-ga-5-goi-x-17g-i2559786724.html", "https://www.lazada.vn/products/banh-an-sang-cest-bon-orion-soi-thit-ga-5-goi-x-17g-i2559786724.html")</f>
        <v>https://www.lazada.vn/products/banh-an-sang-cest-bon-orion-soi-thit-ga-5-goi-x-17g-i2559786724.html</v>
      </c>
      <c r="C8312" s="10" t="s">
        <v>8312</v>
      </c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>
      <c r="A8313" s="8">
        <v>13167.0</v>
      </c>
      <c r="B8313" s="9" t="str">
        <f>HYPERLINK("https://www.lazada.vn/products/loc-4-chai-bia-chimay-blue-cap-9-330mlx4-i319834456.html", "https://www.lazada.vn/products/loc-4-chai-bia-chimay-blue-cap-9-330mlx4-i319834456.html")</f>
        <v>https://www.lazada.vn/products/loc-4-chai-bia-chimay-blue-cap-9-330mlx4-i319834456.html</v>
      </c>
      <c r="C8313" s="10" t="s">
        <v>8313</v>
      </c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>
      <c r="A8314" s="8">
        <v>13168.0</v>
      </c>
      <c r="B8314" s="9" t="str">
        <f>HYPERLINK("https://www.lazada.vn/products/starbucks-by-nespresso-10-capsulesdate-072025-022026-i2651859075.html", "https://www.lazada.vn/products/starbucks-by-nespresso-10-capsulesdate-072025-022026-i2651859075.html")</f>
        <v>https://www.lazada.vn/products/starbucks-by-nespresso-10-capsulesdate-072025-022026-i2651859075.html</v>
      </c>
      <c r="C8314" s="10" t="s">
        <v>8314</v>
      </c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>
      <c r="A8315" s="8">
        <v>13169.0</v>
      </c>
      <c r="B8315" s="9" t="str">
        <f>HYPERLINK("https://www.lazada.vn/products/sieu-ngon-banh-khoai-tay-potato-hoang-gia-thom-ngon-do-an-vat-i2652988246.html", "https://www.lazada.vn/products/sieu-ngon-banh-khoai-tay-potato-hoang-gia-thom-ngon-do-an-vat-i2652988246.html")</f>
        <v>https://www.lazada.vn/products/sieu-ngon-banh-khoai-tay-potato-hoang-gia-thom-ngon-do-an-vat-i2652988246.html</v>
      </c>
      <c r="C8315" s="10" t="s">
        <v>8315</v>
      </c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>
      <c r="A8316" s="8">
        <v>13170.0</v>
      </c>
      <c r="B8316" s="9" t="str">
        <f>HYPERLINK("https://www.lazada.vn/products/socola-nhan-baileys-original-irish-cream-chocolate-filled-with-liquor-cua-turin-hop-500gr-cua-mexico-i2873852942.html", "https://www.lazada.vn/products/socola-nhan-baileys-original-irish-cream-chocolate-filled-with-liquor-cua-turin-hop-500gr-cua-mexico-i2873852942.html")</f>
        <v>https://www.lazada.vn/products/socola-nhan-baileys-original-irish-cream-chocolate-filled-with-liquor-cua-turin-hop-500gr-cua-mexico-i2873852942.html</v>
      </c>
      <c r="C8316" s="10" t="s">
        <v>8316</v>
      </c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>
      <c r="A8317" s="8">
        <v>13171.0</v>
      </c>
      <c r="B8317" s="9" t="str">
        <f>HYPERLINK("https://www.lazada.vn/products/tran-chau-3q-350g-i2659800966.html", "https://www.lazada.vn/products/tran-chau-3q-350g-i2659800966.html")</f>
        <v>https://www.lazada.vn/products/tran-chau-3q-350g-i2659800966.html</v>
      </c>
      <c r="C8317" s="10" t="s">
        <v>8317</v>
      </c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>
      <c r="A8318" s="8">
        <v>13172.0</v>
      </c>
      <c r="B8318" s="9" t="str">
        <f>HYPERLINK("https://www.lazada.vn/products/bia-apostel-weissbier-hell-53-nhap-khau-duc-1-thung-24-lon-500ml-i2818002405.html", "https://www.lazada.vn/products/bia-apostel-weissbier-hell-53-nhap-khau-duc-1-thung-24-lon-500ml-i2818002405.html")</f>
        <v>https://www.lazada.vn/products/bia-apostel-weissbier-hell-53-nhap-khau-duc-1-thung-24-lon-500ml-i2818002405.html</v>
      </c>
      <c r="C8318" s="10" t="s">
        <v>8318</v>
      </c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>
      <c r="A8319" s="8">
        <v>13173.0</v>
      </c>
      <c r="B8319" s="9" t="str">
        <f>HYPERLINK("https://www.lazada.vn/products/bot-cacao-sua-hoa-tan-cacaomi-thom-dam-vi-chocolate-dung-pha-che-tra-sua-socola-nong-milo-dam-hop-217g-i1267659733.html", "https://www.lazada.vn/products/bot-cacao-sua-hoa-tan-cacaomi-thom-dam-vi-chocolate-dung-pha-che-tra-sua-socola-nong-milo-dam-hop-217g-i1267659733.html")</f>
        <v>https://www.lazada.vn/products/bot-cacao-sua-hoa-tan-cacaomi-thom-dam-vi-chocolate-dung-pha-che-tra-sua-socola-nong-milo-dam-hop-217g-i1267659733.html</v>
      </c>
      <c r="C8319" s="10" t="s">
        <v>8319</v>
      </c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>
      <c r="A8320" s="8">
        <v>13174.0</v>
      </c>
      <c r="B8320" s="9" t="str">
        <f>HYPERLINK("https://www.lazada.vn/products/banh-dua-nuong-dac-san-quang-nam-goi-180g-sieu-ngon-an-la-me-loai-dac-biet-sieu-gion-rum-gia-uu-dai-i2994636480.html", "https://www.lazada.vn/products/banh-dua-nuong-dac-san-quang-nam-goi-180g-sieu-ngon-an-la-me-loai-dac-biet-sieu-gion-rum-gia-uu-dai-i2994636480.html")</f>
        <v>https://www.lazada.vn/products/banh-dua-nuong-dac-san-quang-nam-goi-180g-sieu-ngon-an-la-me-loai-dac-biet-sieu-gion-rum-gia-uu-dai-i2994636480.html</v>
      </c>
      <c r="C8320" s="10" t="s">
        <v>8320</v>
      </c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>
      <c r="A8321" s="8">
        <v>13175.0</v>
      </c>
      <c r="B8321" s="9" t="str">
        <f>HYPERLINK("https://www.lazada.vn/products/duong-chat-combo-300g-sup-lo-xanh-say-gion-bong-cai-xanh-say-an-lien-khong-duong-thom-ngon-dinh-duong-tien-loi-tot-cho-suc-khoe-i2852694421.html", "https://www.lazada.vn/products/duong-chat-combo-300g-sup-lo-xanh-say-gion-bong-cai-xanh-say-an-lien-khong-duong-thom-ngon-dinh-duong-tien-loi-tot-cho-suc-khoe-i2852694421.html")</f>
        <v>https://www.lazada.vn/products/duong-chat-combo-300g-sup-lo-xanh-say-gion-bong-cai-xanh-say-an-lien-khong-duong-thom-ngon-dinh-duong-tien-loi-tot-cho-suc-khoe-i2852694421.html</v>
      </c>
      <c r="C8321" s="10" t="s">
        <v>8321</v>
      </c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>
      <c r="A8322" s="8">
        <v>13176.0</v>
      </c>
      <c r="B8322" s="9" t="str">
        <f>HYPERLINK("https://www.lazada.vn/products/sinh-to-vina-chai-nhua-1000g-i2428951104.html", "https://www.lazada.vn/products/sinh-to-vina-chai-nhua-1000g-i2428951104.html")</f>
        <v>https://www.lazada.vn/products/sinh-to-vina-chai-nhua-1000g-i2428951104.html</v>
      </c>
      <c r="C8322" s="10" t="s">
        <v>8322</v>
      </c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>
      <c r="A8323" s="8">
        <v>13177.0</v>
      </c>
      <c r="B8323" s="9" t="str">
        <f>HYPERLINK("https://www.lazada.vn/products/co-tui-giay-hop-banh-quy-kinh-do-cau-dua-du-xai-hop-qua-tet-300g-i2830010915.html", "https://www.lazada.vn/products/co-tui-giay-hop-banh-quy-kinh-do-cau-dua-du-xai-hop-qua-tet-300g-i2830010915.html")</f>
        <v>https://www.lazada.vn/products/co-tui-giay-hop-banh-quy-kinh-do-cau-dua-du-xai-hop-qua-tet-300g-i2830010915.html</v>
      </c>
      <c r="C8323" s="10" t="s">
        <v>8323</v>
      </c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>
      <c r="A8324" s="8">
        <v>13178.0</v>
      </c>
      <c r="B8324" s="9" t="str">
        <f>HYPERLINK("https://www.lazada.vn/products/hcmtet-2021-500gr-mut-khoai-lang-i1733946482.html", "https://www.lazada.vn/products/hcmtet-2021-500gr-mut-khoai-lang-i1733946482.html")</f>
        <v>https://www.lazada.vn/products/hcmtet-2021-500gr-mut-khoai-lang-i1733946482.html</v>
      </c>
      <c r="C8324" s="10" t="s">
        <v>8324</v>
      </c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>
      <c r="A8325" s="8">
        <v>13179.0</v>
      </c>
      <c r="B8325" s="9" t="str">
        <f>HYPERLINK("https://www.lazada.vn/products/mi-chinnoo-loc-le-14-goi-i2778812813.html", "https://www.lazada.vn/products/mi-chinnoo-loc-le-14-goi-i2778812813.html")</f>
        <v>https://www.lazada.vn/products/mi-chinnoo-loc-le-14-goi-i2778812813.html</v>
      </c>
      <c r="C8325" s="10" t="s">
        <v>8325</v>
      </c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>
      <c r="A8326" s="8">
        <v>13180.0</v>
      </c>
      <c r="B8326" s="9" t="str">
        <f>HYPERLINK("https://www.lazada.vn/products/thung-24-lon-nuoc-uong-collagen-82x-kakemono-nuoc-uong-giai-khat-chua-collagen-giup-bung-tinh-suc-song-245mllon-i1962329690.html", "https://www.lazada.vn/products/thung-24-lon-nuoc-uong-collagen-82x-kakemono-nuoc-uong-giai-khat-chua-collagen-giup-bung-tinh-suc-song-245mllon-i1962329690.html")</f>
        <v>https://www.lazada.vn/products/thung-24-lon-nuoc-uong-collagen-82x-kakemono-nuoc-uong-giai-khat-chua-collagen-giup-bung-tinh-suc-song-245mllon-i1962329690.html</v>
      </c>
      <c r="C8326" s="10" t="s">
        <v>8326</v>
      </c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>
      <c r="A8327" s="8">
        <v>13181.0</v>
      </c>
      <c r="B8327" s="9" t="str">
        <f>HYPERLINK("https://www.lazada.vn/products/lon-le-fanta-cam-co-ga-lon-nhi-noi-dia-nhat-160ml-i2041019861.html", "https://www.lazada.vn/products/lon-le-fanta-cam-co-ga-lon-nhi-noi-dia-nhat-160ml-i2041019861.html")</f>
        <v>https://www.lazada.vn/products/lon-le-fanta-cam-co-ga-lon-nhi-noi-dia-nhat-160ml-i2041019861.html</v>
      </c>
      <c r="C8327" s="10" t="s">
        <v>8327</v>
      </c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>
      <c r="A8328" s="8">
        <v>13182.0</v>
      </c>
      <c r="B8328" s="9" t="str">
        <f>HYPERLINK("https://www.lazada.vn/products/tui-400g-banh-trang-phoi-suong-cao-cap-deo-mem-ngon-thuong-hieu-dang-cap-hang-dau-banh-trang-ngoc-trinh-i2661753678.html", "https://www.lazada.vn/products/tui-400g-banh-trang-phoi-suong-cao-cap-deo-mem-ngon-thuong-hieu-dang-cap-hang-dau-banh-trang-ngoc-trinh-i2661753678.html")</f>
        <v>https://www.lazada.vn/products/tui-400g-banh-trang-phoi-suong-cao-cap-deo-mem-ngon-thuong-hieu-dang-cap-hang-dau-banh-trang-ngoc-trinh-i2661753678.html</v>
      </c>
      <c r="C8328" s="10" t="s">
        <v>8328</v>
      </c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>
      <c r="A8329" s="8">
        <v>13183.0</v>
      </c>
      <c r="B8329" s="9" t="str">
        <f>HYPERLINK("https://www.lazada.vn/products/hop-keo-tao-do-kep-sua-lac-da-va-nhan-hat-dieu-de-an-thom-ngon-300g-i2842351592.html", "https://www.lazada.vn/products/hop-keo-tao-do-kep-sua-lac-da-va-nhan-hat-dieu-de-an-thom-ngon-300g-i2842351592.html")</f>
        <v>https://www.lazada.vn/products/hop-keo-tao-do-kep-sua-lac-da-va-nhan-hat-dieu-de-an-thom-ngon-300g-i2842351592.html</v>
      </c>
      <c r="C8329" s="10" t="s">
        <v>8329</v>
      </c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>
      <c r="A8330" s="8">
        <v>13184.0</v>
      </c>
      <c r="B8330" s="9" t="str">
        <f>HYPERLINK("https://www.lazada.vn/products/1kg-banh-trang-xi-cay-sieu-cay-chay-man-dung-duoc-i2293791625.html", "https://www.lazada.vn/products/1kg-banh-trang-xi-cay-sieu-cay-chay-man-dung-duoc-i2293791625.html")</f>
        <v>https://www.lazada.vn/products/1kg-banh-trang-xi-cay-sieu-cay-chay-man-dung-duoc-i2293791625.html</v>
      </c>
      <c r="C8330" s="10" t="s">
        <v>8330</v>
      </c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>
      <c r="A8331" s="8">
        <v>13185.0</v>
      </c>
      <c r="B8331" s="9" t="str">
        <f>HYPERLINK("https://www.lazada.vn/products/keo-dua-ben-tre-it-ngot-deo-beo-i2841989677.html", "https://www.lazada.vn/products/keo-dua-ben-tre-it-ngot-deo-beo-i2841989677.html")</f>
        <v>https://www.lazada.vn/products/keo-dua-ben-tre-it-ngot-deo-beo-i2841989677.html</v>
      </c>
      <c r="C8331" s="10" t="s">
        <v>8331</v>
      </c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>
      <c r="A8332" s="8">
        <v>13186.0</v>
      </c>
      <c r="B8332" s="9" t="str">
        <f>HYPERLINK("https://www.lazada.vn/products/banh-baguette-mi-cest-bon-vi-bo-toi-dut-lo-goi-180g-i2559769947.html", "https://www.lazada.vn/products/banh-baguette-mi-cest-bon-vi-bo-toi-dut-lo-goi-180g-i2559769947.html")</f>
        <v>https://www.lazada.vn/products/banh-baguette-mi-cest-bon-vi-bo-toi-dut-lo-goi-180g-i2559769947.html</v>
      </c>
      <c r="C8332" s="10" t="s">
        <v>8332</v>
      </c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>
      <c r="A8333" s="8">
        <v>13187.0</v>
      </c>
      <c r="B8333" s="9" t="str">
        <f>HYPERLINK("https://www.lazada.vn/products/keo-thach-zai-zai-plus-tra-sua-tran-chau-320g-thach-rau-cau-sieu-ngon-chinh-hang-an-vat-bach-hoa-online-uy-tin-i2049660061.html", "https://www.lazada.vn/products/keo-thach-zai-zai-plus-tra-sua-tran-chau-320g-thach-rau-cau-sieu-ngon-chinh-hang-an-vat-bach-hoa-online-uy-tin-i2049660061.html")</f>
        <v>https://www.lazada.vn/products/keo-thach-zai-zai-plus-tra-sua-tran-chau-320g-thach-rau-cau-sieu-ngon-chinh-hang-an-vat-bach-hoa-online-uy-tin-i2049660061.html</v>
      </c>
      <c r="C8333" s="10" t="s">
        <v>8333</v>
      </c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>
      <c r="A8334" s="8">
        <v>13188.0</v>
      </c>
      <c r="B8334" s="9" t="str">
        <f>HYPERLINK("https://www.lazada.vn/products/bia-eichbaum-strong-79-nhap-khau-duc-1-lon-500ml-i2817996636.html", "https://www.lazada.vn/products/bia-eichbaum-strong-79-nhap-khau-duc-1-lon-500ml-i2817996636.html")</f>
        <v>https://www.lazada.vn/products/bia-eichbaum-strong-79-nhap-khau-duc-1-lon-500ml-i2817996636.html</v>
      </c>
      <c r="C8334" s="10" t="s">
        <v>8334</v>
      </c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>
      <c r="A8335" s="8">
        <v>13189.0</v>
      </c>
      <c r="B8335" s="9" t="str">
        <f>HYPERLINK("https://www.lazada.vn/products/bot-pha-bu-nuoc-khong-duong-vitasport-electrolyte-99-sugar-free-dua-hau-watermelon-dao-peach-tao-xanh-apple-i2640937805.html", "https://www.lazada.vn/products/bot-pha-bu-nuoc-khong-duong-vitasport-electrolyte-99-sugar-free-dua-hau-watermelon-dao-peach-tao-xanh-apple-i2640937805.html")</f>
        <v>https://www.lazada.vn/products/bot-pha-bu-nuoc-khong-duong-vitasport-electrolyte-99-sugar-free-dua-hau-watermelon-dao-peach-tao-xanh-apple-i2640937805.html</v>
      </c>
      <c r="C8335" s="10" t="s">
        <v>8335</v>
      </c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>
      <c r="A8336" s="8">
        <v>13190.0</v>
      </c>
      <c r="B8336" s="9" t="str">
        <f>HYPERLINK("https://www.lazada.vn/products/starbucks-by-nescafe-dolce-gusto-12-capsules-date-072025-022026-i2651726779.html", "https://www.lazada.vn/products/starbucks-by-nescafe-dolce-gusto-12-capsules-date-072025-022026-i2651726779.html")</f>
        <v>https://www.lazada.vn/products/starbucks-by-nescafe-dolce-gusto-12-capsules-date-072025-022026-i2651726779.html</v>
      </c>
      <c r="C8336" s="10" t="s">
        <v>8336</v>
      </c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>
      <c r="A8337" s="8">
        <v>13191.0</v>
      </c>
      <c r="B8337" s="9" t="str">
        <f>HYPERLINK("https://www.lazada.vn/products/care-white-meat-cat-food-adult-kittens-nutrition-fattening-large-chunk-meat-85g12-cans-whole-box-cat-treats-pet-supplies-i2960346754.html", "https://www.lazada.vn/products/care-white-meat-cat-food-adult-kittens-nutrition-fattening-large-chunk-meat-85g12-cans-whole-box-cat-treats-pet-supplies-i2960346754.html")</f>
        <v>https://www.lazada.vn/products/care-white-meat-cat-food-adult-kittens-nutrition-fattening-large-chunk-meat-85g12-cans-whole-box-cat-treats-pet-supplies-i2960346754.html</v>
      </c>
      <c r="C8337" s="10" t="s">
        <v>8337</v>
      </c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>
      <c r="A8338" s="8">
        <v>13192.0</v>
      </c>
      <c r="B8338" s="9" t="str">
        <f>HYPERLINK("https://www.lazada.vn/products/hang-hot-tet-banh-gau-nhan-kem-socola-thai-lan-hop-sat-400gr-date-moi-nhat-thuc-pham-gia-dung-hung-phuc-i2984685082.html", "https://www.lazada.vn/products/hang-hot-tet-banh-gau-nhan-kem-socola-thai-lan-hop-sat-400gr-date-moi-nhat-thuc-pham-gia-dung-hung-phuc-i2984685082.html")</f>
        <v>https://www.lazada.vn/products/hang-hot-tet-banh-gau-nhan-kem-socola-thai-lan-hop-sat-400gr-date-moi-nhat-thuc-pham-gia-dung-hung-phuc-i2984685082.html</v>
      </c>
      <c r="C8338" s="10" t="s">
        <v>8338</v>
      </c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>
      <c r="A8339" s="8">
        <v>13193.0</v>
      </c>
      <c r="B8339" s="9" t="str">
        <f>HYPERLINK("https://www.lazada.vn/products/bot-mu-trom-uong-lien-1kg-mu-trom-ninh-thuan-da-xay-nhuyen-pha-bot-mu-trom-chi-15-phut-co-ngay-thuc-uong-thanh-mat-tot-cho-suc-khoe-an-tam-mua-sam-tai-omnimall-i2631010059.html", "https://www.lazada.vn/products/bot-mu-trom-uong-lien-1kg-mu-trom-ninh-thuan-da-xay-nhuyen-pha-bot-mu-trom-chi-15-phut-co-ngay-thuc-uong-thanh-mat-tot-cho-suc-khoe-an-tam-mua-sam-tai-omnimall-i2631010059.html")</f>
        <v>https://www.lazada.vn/products/bot-mu-trom-uong-lien-1kg-mu-trom-ninh-thuan-da-xay-nhuyen-pha-bot-mu-trom-chi-15-phut-co-ngay-thuc-uong-thanh-mat-tot-cho-suc-khoe-an-tam-mua-sam-tai-omnimall-i2631010059.html</v>
      </c>
      <c r="C8339" s="10" t="s">
        <v>8339</v>
      </c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>
      <c r="A8340" s="8">
        <v>13194.0</v>
      </c>
      <c r="B8340" s="9" t="str">
        <f>HYPERLINK("https://www.lazada.vn/products/duong-chat-100g-sup-lo-xanh-say-gion-bong-cai-xanh-say-an-lien-khong-duong-thom-ngon-dinh-duong-tien-loi-tot-cho-suc-khoe-i2852669528.html", "https://www.lazada.vn/products/duong-chat-100g-sup-lo-xanh-say-gion-bong-cai-xanh-say-an-lien-khong-duong-thom-ngon-dinh-duong-tien-loi-tot-cho-suc-khoe-i2852669528.html")</f>
        <v>https://www.lazada.vn/products/duong-chat-100g-sup-lo-xanh-say-gion-bong-cai-xanh-say-an-lien-khong-duong-thom-ngon-dinh-duong-tien-loi-tot-cho-suc-khoe-i2852669528.html</v>
      </c>
      <c r="C8340" s="10" t="s">
        <v>8340</v>
      </c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>
      <c r="A8341" s="8">
        <v>13195.0</v>
      </c>
      <c r="B8341" s="9" t="str">
        <f>HYPERLINK("https://www.lazada.vn/products/socola-trung-khung-long-hu-450g-i2873642004.html", "https://www.lazada.vn/products/socola-trung-khung-long-hu-450g-i2873642004.html")</f>
        <v>https://www.lazada.vn/products/socola-trung-khung-long-hu-450g-i2873642004.html</v>
      </c>
      <c r="C8341" s="10" t="s">
        <v>8341</v>
      </c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>
      <c r="A8342" s="8">
        <v>13196.0</v>
      </c>
      <c r="B8342" s="9" t="str">
        <f>HYPERLINK("https://www.lazada.vn/products/muoi-tay-ninh-hang-real-500g-i1733916172.html", "https://www.lazada.vn/products/muoi-tay-ninh-hang-real-500g-i1733916172.html")</f>
        <v>https://www.lazada.vn/products/muoi-tay-ninh-hang-real-500g-i1733916172.html</v>
      </c>
      <c r="C8342" s="10" t="s">
        <v>8342</v>
      </c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>
      <c r="A8343" s="8">
        <v>13197.0</v>
      </c>
      <c r="B8343" s="9" t="str">
        <f>HYPERLINK("https://www.lazada.vn/products/sieu-ngon-1kg-banh-khoai-tay-potato-hoang-gia-thom-ngon-do-an-vat-i2652987331.html", "https://www.lazada.vn/products/sieu-ngon-1kg-banh-khoai-tay-potato-hoang-gia-thom-ngon-do-an-vat-i2652987331.html")</f>
        <v>https://www.lazada.vn/products/sieu-ngon-1kg-banh-khoai-tay-potato-hoang-gia-thom-ngon-do-an-vat-i2652987331.html</v>
      </c>
      <c r="C8343" s="10" t="s">
        <v>8343</v>
      </c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>
      <c r="A8344" s="8">
        <v>13198.0</v>
      </c>
      <c r="B8344" s="9" t="str">
        <f>HYPERLINK("https://www.lazada.vn/products/siro-ho-236ml-my-date-2023-xem-bai-viet-i2428950822.html", "https://www.lazada.vn/products/siro-ho-236ml-my-date-2023-xem-bai-viet-i2428950822.html")</f>
        <v>https://www.lazada.vn/products/siro-ho-236ml-my-date-2023-xem-bai-viet-i2428950822.html</v>
      </c>
      <c r="C8344" s="10" t="s">
        <v>8344</v>
      </c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>
      <c r="A8345" s="8">
        <v>13199.0</v>
      </c>
      <c r="B8345" s="9" t="str">
        <f>HYPERLINK("https://www.lazada.vn/products/banh-quy-siam-foods-nhan-kem-dua-mut-dua-socola-kem-sua-kem-sau-rieng-kem-vani-thai-lan-400gr-hop-thiec-i2982697241.html", "https://www.lazada.vn/products/banh-quy-siam-foods-nhan-kem-dua-mut-dua-socola-kem-sua-kem-sau-rieng-kem-vani-thai-lan-400gr-hop-thiec-i2982697241.html")</f>
        <v>https://www.lazada.vn/products/banh-quy-siam-foods-nhan-kem-dua-mut-dua-socola-kem-sua-kem-sau-rieng-kem-vani-thai-lan-400gr-hop-thiec-i2982697241.html</v>
      </c>
      <c r="C8345" s="10" t="s">
        <v>8345</v>
      </c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>
      <c r="A8346" s="8">
        <v>13200.0</v>
      </c>
      <c r="B8346" s="9" t="str">
        <f>HYPERLINK("https://www.lazada.vn/products/bot-cacao-nguyen-chat-100-khong-duong-cacaomi-premium-gu-dam-chuan-vi-ca-cao-chuyen-pha-che-socola-nong-tra-sua-lam-banh-granola-chocolate-i1267639792.html", "https://www.lazada.vn/products/bot-cacao-nguyen-chat-100-khong-duong-cacaomi-premium-gu-dam-chuan-vi-ca-cao-chuyen-pha-che-socola-nong-tra-sua-lam-banh-granola-chocolate-i1267639792.html")</f>
        <v>https://www.lazada.vn/products/bot-cacao-nguyen-chat-100-khong-duong-cacaomi-premium-gu-dam-chuan-vi-ca-cao-chuyen-pha-che-socola-nong-tra-sua-lam-banh-granola-chocolate-i1267639792.html</v>
      </c>
      <c r="C8346" s="10" t="s">
        <v>8346</v>
      </c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>
      <c r="A8347" s="8">
        <v>13201.0</v>
      </c>
      <c r="B8347" s="9" t="str">
        <f>HYPERLINK("https://www.lazada.vn/products/banh-gao-pho-mai-ngo-one-one-shop-thu-quan-i2828299512.html", "https://www.lazada.vn/products/banh-gao-pho-mai-ngo-one-one-shop-thu-quan-i2828299512.html")</f>
        <v>https://www.lazada.vn/products/banh-gao-pho-mai-ngo-one-one-shop-thu-quan-i2828299512.html</v>
      </c>
      <c r="C8347" s="10" t="s">
        <v>8347</v>
      </c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>
      <c r="A8348" s="8">
        <v>13202.0</v>
      </c>
      <c r="B8348" s="9" t="str">
        <f>HYPERLINK("https://www.lazada.vn/products/goi-le-uniben-mi-3-mien-gold-huong-vi-tom-chua-cay-dac-biet-75ggoi-3-mien-gold-tom-chua-cay-dac-biet-i2743877009.html", "https://www.lazada.vn/products/goi-le-uniben-mi-3-mien-gold-huong-vi-tom-chua-cay-dac-biet-75ggoi-3-mien-gold-tom-chua-cay-dac-biet-i2743877009.html")</f>
        <v>https://www.lazada.vn/products/goi-le-uniben-mi-3-mien-gold-huong-vi-tom-chua-cay-dac-biet-75ggoi-3-mien-gold-tom-chua-cay-dac-biet-i2743877009.html</v>
      </c>
      <c r="C8348" s="10" t="s">
        <v>8348</v>
      </c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>
      <c r="A8349" s="8">
        <v>13203.0</v>
      </c>
      <c r="B8349" s="9" t="str">
        <f>HYPERLINK("https://www.lazada.vn/products/pack-12-lon-nuoc-uong-collagen-82x-kakemono-nuoc-uong-giai-khat-chua-collagen-giup-bung-tinh-suc-song-245mllon-i1961902261.html", "https://www.lazada.vn/products/pack-12-lon-nuoc-uong-collagen-82x-kakemono-nuoc-uong-giai-khat-chua-collagen-giup-bung-tinh-suc-song-245mllon-i1961902261.html")</f>
        <v>https://www.lazada.vn/products/pack-12-lon-nuoc-uong-collagen-82x-kakemono-nuoc-uong-giai-khat-chua-collagen-giup-bung-tinh-suc-song-245mllon-i1961902261.html</v>
      </c>
      <c r="C8349" s="10" t="s">
        <v>8349</v>
      </c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>
      <c r="A8350" s="8">
        <v>13204.0</v>
      </c>
      <c r="B8350" s="9" t="str">
        <f>HYPERLINK("https://www.lazada.vn/products/thung-24-lon-nuoc-ngot-co-gaz-mirinda-soda-kem-320mllon-i2041002006.html", "https://www.lazada.vn/products/thung-24-lon-nuoc-ngot-co-gaz-mirinda-soda-kem-320mllon-i2041002006.html")</f>
        <v>https://www.lazada.vn/products/thung-24-lon-nuoc-ngot-co-gaz-mirinda-soda-kem-320mllon-i2041002006.html</v>
      </c>
      <c r="C8350" s="10" t="s">
        <v>8350</v>
      </c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>
      <c r="A8351" s="8">
        <v>13205.0</v>
      </c>
      <c r="B8351" s="9" t="str">
        <f>HYPERLINK("https://www.lazada.vn/products/banh-trung-thu-khoai-mon-mochi-trung-muoi-cha-bong-cai-500g-i2656732879.html", "https://www.lazada.vn/products/banh-trung-thu-khoai-mon-mochi-trung-muoi-cha-bong-cai-500g-i2656732879.html")</f>
        <v>https://www.lazada.vn/products/banh-trung-thu-khoai-mon-mochi-trung-muoi-cha-bong-cai-500g-i2656732879.html</v>
      </c>
      <c r="C8351" s="10" t="s">
        <v>8351</v>
      </c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>
      <c r="A8352" s="8">
        <v>13206.0</v>
      </c>
      <c r="B8352" s="9" t="str">
        <f>HYPERLINK("https://www.lazada.vn/products/banh-trang-nuong-mam-ruoc-goi-12-cuon-i2289744934.html", "https://www.lazada.vn/products/banh-trang-nuong-mam-ruoc-goi-12-cuon-i2289744934.html")</f>
        <v>https://www.lazada.vn/products/banh-trang-nuong-mam-ruoc-goi-12-cuon-i2289744934.html</v>
      </c>
      <c r="C8352" s="10" t="s">
        <v>8352</v>
      </c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>
      <c r="A8353" s="8">
        <v>13207.0</v>
      </c>
      <c r="B8353" s="9" t="str">
        <f>HYPERLINK("https://www.lazada.vn/products/tot-cho-suc-khoe-combo-2-hop-keo-socola-vi-dang-nhat-i2841666549.html", "https://www.lazada.vn/products/tot-cho-suc-khoe-combo-2-hop-keo-socola-vi-dang-nhat-i2841666549.html")</f>
        <v>https://www.lazada.vn/products/tot-cho-suc-khoe-combo-2-hop-keo-socola-vi-dang-nhat-i2841666549.html</v>
      </c>
      <c r="C8353" s="10" t="s">
        <v>8353</v>
      </c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>
      <c r="A8354" s="8">
        <v>13208.0</v>
      </c>
      <c r="B8354" s="9" t="str">
        <f>HYPERLINK("https://www.lazada.vn/products/thung-24-goi-snack-mi-tre-em-enaak-gemez-indonesia-an-vat-492-i2274954297.html", "https://www.lazada.vn/products/thung-24-goi-snack-mi-tre-em-enaak-gemez-indonesia-an-vat-492-i2274954297.html")</f>
        <v>https://www.lazada.vn/products/thung-24-goi-snack-mi-tre-em-enaak-gemez-indonesia-an-vat-492-i2274954297.html</v>
      </c>
      <c r="C8354" s="10" t="s">
        <v>8354</v>
      </c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>
      <c r="A8355" s="8">
        <v>13209.0</v>
      </c>
      <c r="B8355" s="9" t="str">
        <f>HYPERLINK("https://www.lazada.vn/products/keo-deo-xoai-boc-vo-150g-vi-xoai-xanh-vietthai-i2830136463.html", "https://www.lazada.vn/products/keo-deo-xoai-boc-vo-150g-vi-xoai-xanh-vietthai-i2830136463.html")</f>
        <v>https://www.lazada.vn/products/keo-deo-xoai-boc-vo-150g-vi-xoai-xanh-vietthai-i2830136463.html</v>
      </c>
      <c r="C8355" s="10" t="s">
        <v>8355</v>
      </c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>
      <c r="A8356" s="8">
        <v>13210.0</v>
      </c>
      <c r="B8356" s="9" t="str">
        <f>HYPERLINK("https://www.lazada.vn/products/combo-5goi-banh-mi-tuoi-ga-nuong-sot-hong-kong-kido-55grgoi-i2557318523.html", "https://www.lazada.vn/products/combo-5goi-banh-mi-tuoi-ga-nuong-sot-hong-kong-kido-55grgoi-i2557318523.html")</f>
        <v>https://www.lazada.vn/products/combo-5goi-banh-mi-tuoi-ga-nuong-sot-hong-kong-kido-55grgoi-i2557318523.html</v>
      </c>
      <c r="C8356" s="10" t="s">
        <v>8356</v>
      </c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>
      <c r="A8357" s="8">
        <v>13211.0</v>
      </c>
      <c r="B8357" s="9" t="str">
        <f>HYPERLINK("https://www.lazada.vn/products/1-tui-320g-thach-zai-zai-tra-sua-tran-chau-mix-3-vi-duc-hanh-thach-cho-be-keo-thach-zaizai-an-vat-do-an-vat-an-vat-bach-hoa-online-uy-tin-i2049602131.html", "https://www.lazada.vn/products/1-tui-320g-thach-zai-zai-tra-sua-tran-chau-mix-3-vi-duc-hanh-thach-cho-be-keo-thach-zaizai-an-vat-do-an-vat-an-vat-bach-hoa-online-uy-tin-i2049602131.html")</f>
        <v>https://www.lazada.vn/products/1-tui-320g-thach-zai-zai-tra-sua-tran-chau-mix-3-vi-duc-hanh-thach-cho-be-keo-thach-zaizai-an-vat-do-an-vat-an-vat-bach-hoa-online-uy-tin-i2049602131.html</v>
      </c>
      <c r="C8357" s="10" t="s">
        <v>8357</v>
      </c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>
      <c r="A8358" s="8">
        <v>13212.0</v>
      </c>
      <c r="B8358" s="9" t="str">
        <f>HYPERLINK("https://www.lazada.vn/products/bot-da-xay-frappe-gf0120-i2636619510.html", "https://www.lazada.vn/products/bot-da-xay-frappe-gf0120-i2636619510.html")</f>
        <v>https://www.lazada.vn/products/bot-da-xay-frappe-gf0120-i2636619510.html</v>
      </c>
      <c r="C8358" s="10" t="s">
        <v>8358</v>
      </c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>
      <c r="A8359" s="8">
        <v>13213.0</v>
      </c>
      <c r="B8359" s="9" t="str">
        <f>HYPERLINK("https://www.lazada.vn/products/gift-ca-saba-ngam-muoi-185gr-i2955875807.html", "https://www.lazada.vn/products/gift-ca-saba-ngam-muoi-185gr-i2955875807.html")</f>
        <v>https://www.lazada.vn/products/gift-ca-saba-ngam-muoi-185gr-i2955875807.html</v>
      </c>
      <c r="C8359" s="10" t="s">
        <v>8359</v>
      </c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>
      <c r="A8360" s="8">
        <v>13214.0</v>
      </c>
      <c r="B8360" s="9" t="str">
        <f>HYPERLINK("https://www.lazada.vn/products/bot-rau-ma-say-lanh-nguyen-chat-hu-pet-350g-i2636438507.html", "https://www.lazada.vn/products/bot-rau-ma-say-lanh-nguyen-chat-hu-pet-350g-i2636438507.html")</f>
        <v>https://www.lazada.vn/products/bot-rau-ma-say-lanh-nguyen-chat-hu-pet-350g-i2636438507.html</v>
      </c>
      <c r="C8360" s="10" t="s">
        <v>8360</v>
      </c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>
      <c r="A8361" s="8">
        <v>13215.0</v>
      </c>
      <c r="B8361" s="9" t="str">
        <f>HYPERLINK("https://www.lazada.vn/products/cirio-hop-giay-380g-dau-tay-trang-italia-dong-hop-cannellini-i2953017317.html", "https://www.lazada.vn/products/cirio-hop-giay-380g-dau-tay-trang-italia-dong-hop-cannellini-i2953017317.html")</f>
        <v>https://www.lazada.vn/products/cirio-hop-giay-380g-dau-tay-trang-italia-dong-hop-cannellini-i2953017317.html</v>
      </c>
      <c r="C8361" s="10" t="s">
        <v>8361</v>
      </c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>
      <c r="A8362" s="8">
        <v>13216.0</v>
      </c>
      <c r="B8362" s="9" t="str">
        <f>HYPERLINK("https://www.lazada.vn/products/bia-apostel-weissbier-hell-53-nhap-khau-duc-1-lon-500ml-i2817973456.html", "https://www.lazada.vn/products/bia-apostel-weissbier-hell-53-nhap-khau-duc-1-lon-500ml-i2817973456.html")</f>
        <v>https://www.lazada.vn/products/bia-apostel-weissbier-hell-53-nhap-khau-duc-1-lon-500ml-i2817973456.html</v>
      </c>
      <c r="C8362" s="10" t="s">
        <v>8362</v>
      </c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>
      <c r="A8363" s="8">
        <v>13217.0</v>
      </c>
      <c r="B8363" s="9" t="str">
        <f>HYPERLINK("https://www.lazada.vn/products/nuoc-uong-suntory-whisky-kakubin-1937-nhat-ban-700ml-i2675145178.html", "https://www.lazada.vn/products/nuoc-uong-suntory-whisky-kakubin-1937-nhat-ban-700ml-i2675145178.html")</f>
        <v>https://www.lazada.vn/products/nuoc-uong-suntory-whisky-kakubin-1937-nhat-ban-700ml-i2675145178.html</v>
      </c>
      <c r="C8363" s="10" t="s">
        <v>8363</v>
      </c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>
      <c r="A8364" s="8">
        <v>13218.0</v>
      </c>
      <c r="B8364" s="9" t="str">
        <f>HYPERLINK("https://www.lazada.vn/products/cb-2-hop-cappuccino-muoi-trung-5-goi-x-30-gram-i2650340503.html", "https://www.lazada.vn/products/cb-2-hop-cappuccino-muoi-trung-5-goi-x-30-gram-i2650340503.html")</f>
        <v>https://www.lazada.vn/products/cb-2-hop-cappuccino-muoi-trung-5-goi-x-30-gram-i2650340503.html</v>
      </c>
      <c r="C8364" s="10" t="s">
        <v>8364</v>
      </c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>
      <c r="A8365" s="8">
        <v>13219.0</v>
      </c>
      <c r="B8365" s="9" t="str">
        <f>HYPERLINK("https://www.lazada.vn/products/thung-24-hop-sua-dau-nanh-fami-canxi-dam-dac-thom-ngon-giau-chat-dinh-duong-canxi-giup-cho-xuong-chac-khoe-tang-cuong-suc-de-khang-i2630883959.html", "https://www.lazada.vn/products/thung-24-hop-sua-dau-nanh-fami-canxi-dam-dac-thom-ngon-giau-chat-dinh-duong-canxi-giup-cho-xuong-chac-khoe-tang-cuong-suc-de-khang-i2630883959.html")</f>
        <v>https://www.lazada.vn/products/thung-24-hop-sua-dau-nanh-fami-canxi-dam-dac-thom-ngon-giau-chat-dinh-duong-canxi-giup-cho-xuong-chac-khoe-tang-cuong-suc-de-khang-i2630883959.html</v>
      </c>
      <c r="C8365" s="10" t="s">
        <v>8365</v>
      </c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>
      <c r="A8366" s="8">
        <v>13220.0</v>
      </c>
      <c r="B8366" s="9" t="str">
        <f>HYPERLINK("https://www.lazada.vn/products/sinh-to-berrino-chai-nhua-1l-du-mui-i2428568021.html", "https://www.lazada.vn/products/sinh-to-berrino-chai-nhua-1l-du-mui-i2428568021.html")</f>
        <v>https://www.lazada.vn/products/sinh-to-berrino-chai-nhua-1l-du-mui-i2428568021.html</v>
      </c>
      <c r="C8366" s="10" t="s">
        <v>8366</v>
      </c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>
      <c r="A8367" s="8">
        <v>13221.0</v>
      </c>
      <c r="B8367" s="9" t="str">
        <f>HYPERLINK("https://www.lazada.vn/products/bot-ca-cao-nguyen-chat-cacaomi-premium-gu-dam-vi-cacao-chuyen-pha-che-socola-nong-tra-sua-lam-banh-granola-chocolate-phu-hop-an-kieng-giam-can-an-chay-thuc-duong-chuan-utz-xuat-khau-1kg-i1267636815.html", "https://www.lazada.vn/products/bot-ca-cao-nguyen-chat-cacaomi-premium-gu-dam-vi-cacao-chuyen-pha-che-socola-nong-tra-sua-lam-banh-granola-chocolate-phu-hop-an-kieng-giam-can-an-chay-thuc-duong-chuan-utz-xuat-khau-1kg-i1267636815.html")</f>
        <v>https://www.lazada.vn/products/bot-ca-cao-nguyen-chat-cacaomi-premium-gu-dam-vi-cacao-chuyen-pha-che-socola-nong-tra-sua-lam-banh-granola-chocolate-phu-hop-an-kieng-giam-can-an-chay-thuc-duong-chuan-utz-xuat-khau-1kg-i1267636815.html</v>
      </c>
      <c r="C8367" s="10" t="s">
        <v>8367</v>
      </c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>
      <c r="A8368" s="8">
        <v>13222.0</v>
      </c>
      <c r="B8368" s="9" t="str">
        <f>HYPERLINK("https://www.lazada.vn/products/qua-la-han-500g-1kg-i2630270350.html", "https://www.lazada.vn/products/qua-la-han-500g-1kg-i2630270350.html")</f>
        <v>https://www.lazada.vn/products/qua-la-han-500g-1kg-i2630270350.html</v>
      </c>
      <c r="C8368" s="10" t="s">
        <v>8368</v>
      </c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>
      <c r="A8369" s="8">
        <v>13223.0</v>
      </c>
      <c r="B8369" s="9" t="str">
        <f>HYPERLINK("https://www.lazada.vn/products/banh-gao-one-one-khoai-lang-tim-tui-166g-shop-thu-quan-i2828270595.html", "https://www.lazada.vn/products/banh-gao-one-one-khoai-lang-tim-tui-166g-shop-thu-quan-i2828270595.html")</f>
        <v>https://www.lazada.vn/products/banh-gao-one-one-khoai-lang-tim-tui-166g-shop-thu-quan-i2828270595.html</v>
      </c>
      <c r="C8369" s="10" t="s">
        <v>8369</v>
      </c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>
      <c r="A8370" s="8">
        <v>13224.0</v>
      </c>
      <c r="B8370" s="9" t="str">
        <f>HYPERLINK("https://www.lazada.vn/products/keo-socola-merci-pettit-tong-hop-7-vi-socola-hop-1kg-i2873622351.html", "https://www.lazada.vn/products/keo-socola-merci-pettit-tong-hop-7-vi-socola-hop-1kg-i2873622351.html")</f>
        <v>https://www.lazada.vn/products/keo-socola-merci-pettit-tong-hop-7-vi-socola-hop-1kg-i2873622351.html</v>
      </c>
      <c r="C8370" s="10" t="s">
        <v>8370</v>
      </c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>
      <c r="A8371" s="8">
        <v>13225.0</v>
      </c>
      <c r="B8371" s="9" t="str">
        <f>HYPERLINK("https://www.lazada.vn/products/nuoc-cot-dua-wonderfarm-160ml-maxifood-i1733878199.html", "https://www.lazada.vn/products/nuoc-cot-dua-wonderfarm-160ml-maxifood-i1733878199.html")</f>
        <v>https://www.lazada.vn/products/nuoc-cot-dua-wonderfarm-160ml-maxifood-i1733878199.html</v>
      </c>
      <c r="C8371" s="10" t="s">
        <v>8371</v>
      </c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>
      <c r="A8372" s="8">
        <v>13226.0</v>
      </c>
      <c r="B8372" s="9" t="str">
        <f>HYPERLINK("https://www.lazada.vn/products/duong-chat-combo-1000g-sup-lo-xanh-say-gion-bong-cai-xanh-say-an-lien-khong-duong-thom-ngon-dinh-duong-tien-loi-tot-cho-suc-khoe-i2852622693.html", "https://www.lazada.vn/products/duong-chat-combo-1000g-sup-lo-xanh-say-gion-bong-cai-xanh-say-an-lien-khong-duong-thom-ngon-dinh-duong-tien-loi-tot-cho-suc-khoe-i2852622693.html")</f>
        <v>https://www.lazada.vn/products/duong-chat-combo-1000g-sup-lo-xanh-say-gion-bong-cai-xanh-say-an-lien-khong-duong-thom-ngon-dinh-duong-tien-loi-tot-cho-suc-khoe-i2852622693.html</v>
      </c>
      <c r="C8372" s="10" t="s">
        <v>8372</v>
      </c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>
      <c r="A8373" s="8">
        <v>13227.0</v>
      </c>
      <c r="B8373" s="9" t="str">
        <f>HYPERLINK("https://www.lazada.vn/products/sieu-ngon-500g-banh-khoai-tay-potato-minh-phat-banh-potato-banh-quydo-an-vat-sieu-ngon-i2652918780.html", "https://www.lazada.vn/products/sieu-ngon-500g-banh-khoai-tay-potato-minh-phat-banh-potato-banh-quydo-an-vat-sieu-ngon-i2652918780.html")</f>
        <v>https://www.lazada.vn/products/sieu-ngon-500g-banh-khoai-tay-potato-minh-phat-banh-potato-banh-quydo-an-vat-sieu-ngon-i2652918780.html</v>
      </c>
      <c r="C8373" s="10" t="s">
        <v>8373</v>
      </c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>
      <c r="A8374" s="8">
        <v>13228.0</v>
      </c>
      <c r="B8374" s="9" t="str">
        <f>HYPERLINK("https://www.lazada.vn/products/thung-24-chai-nuoc-tinh-khiet-th-true-water-500-ml-i2674993730.html", "https://www.lazada.vn/products/thung-24-chai-nuoc-tinh-khiet-th-true-water-500-ml-i2674993730.html")</f>
        <v>https://www.lazada.vn/products/thung-24-chai-nuoc-tinh-khiet-th-true-water-500-ml-i2674993730.html</v>
      </c>
      <c r="C8374" s="10" t="s">
        <v>8374</v>
      </c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>
      <c r="A8375" s="8">
        <v>13229.0</v>
      </c>
      <c r="B8375" s="9" t="str">
        <f>HYPERLINK("https://www.lazada.vn/products/banh-oreo-coca-cola-limited-edition-bung-no-huong-vi-mo-ra-trai-nghiem-moi-goi-9-thanh-i2978010264.html", "https://www.lazada.vn/products/banh-oreo-coca-cola-limited-edition-bung-no-huong-vi-mo-ra-trai-nghiem-moi-goi-9-thanh-i2978010264.html")</f>
        <v>https://www.lazada.vn/products/banh-oreo-coca-cola-limited-edition-bung-no-huong-vi-mo-ra-trai-nghiem-moi-goi-9-thanh-i2978010264.html</v>
      </c>
      <c r="C8375" s="10" t="s">
        <v>8375</v>
      </c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>
      <c r="A8376" s="8">
        <v>13230.0</v>
      </c>
      <c r="B8376" s="9" t="str">
        <f>HYPERLINK("https://www.lazada.vn/products/set-5-goi-uniben-mi-3-mien-huong-vi-tom-chua-cay-65ggoi-mi-goi-3-mien-huong-vi-tom-chua-cay-mi-3-mien-goi-i2743495286.html", "https://www.lazada.vn/products/set-5-goi-uniben-mi-3-mien-huong-vi-tom-chua-cay-65ggoi-mi-goi-3-mien-huong-vi-tom-chua-cay-mi-3-mien-goi-i2743495286.html")</f>
        <v>https://www.lazada.vn/products/set-5-goi-uniben-mi-3-mien-huong-vi-tom-chua-cay-65ggoi-mi-goi-3-mien-huong-vi-tom-chua-cay-mi-3-mien-goi-i2743495286.html</v>
      </c>
      <c r="C8376" s="10" t="s">
        <v>8376</v>
      </c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>
      <c r="A8377" s="8">
        <v>13231.0</v>
      </c>
      <c r="B8377" s="9" t="str">
        <f>HYPERLINK("https://www.lazada.vn/products/thung-nuoc-ngot-co-gaz-mirinda-cam-320mllon-i2040945129.html", "https://www.lazada.vn/products/thung-nuoc-ngot-co-gaz-mirinda-cam-320mllon-i2040945129.html")</f>
        <v>https://www.lazada.vn/products/thung-nuoc-ngot-co-gaz-mirinda-cam-320mllon-i2040945129.html</v>
      </c>
      <c r="C8377" s="10" t="s">
        <v>8377</v>
      </c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>
      <c r="A8378" s="8">
        <v>13232.0</v>
      </c>
      <c r="B8378" s="9" t="str">
        <f>HYPERLINK("https://www.lazada.vn/products/pack-6-lon-nuoc-uong-collagen-82x-kakemono-nuoc-uong-giai-khat-chua-collagen-giup-bung-tinh-suc-song-245mllon-i1961898237.html", "https://www.lazada.vn/products/pack-6-lon-nuoc-uong-collagen-82x-kakemono-nuoc-uong-giai-khat-chua-collagen-giup-bung-tinh-suc-song-245mllon-i1961898237.html")</f>
        <v>https://www.lazada.vn/products/pack-6-lon-nuoc-uong-collagen-82x-kakemono-nuoc-uong-giai-khat-chua-collagen-giup-bung-tinh-suc-song-245mllon-i1961898237.html</v>
      </c>
      <c r="C8378" s="10" t="s">
        <v>8378</v>
      </c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>
      <c r="A8379" s="8">
        <v>13233.0</v>
      </c>
      <c r="B8379" s="9" t="str">
        <f>HYPERLINK("https://www.lazada.vn/products/set-4-banh-trung-thu-2-trung-muoi-thap-cam-xa-xiu-ga-quay-tan-dan-loi-200g-dac-san-ben-tre-i2654645784.html", "https://www.lazada.vn/products/set-4-banh-trung-thu-2-trung-muoi-thap-cam-xa-xiu-ga-quay-tan-dan-loi-200g-dac-san-ben-tre-i2654645784.html")</f>
        <v>https://www.lazada.vn/products/set-4-banh-trung-thu-2-trung-muoi-thap-cam-xa-xiu-ga-quay-tan-dan-loi-200g-dac-san-ben-tre-i2654645784.html</v>
      </c>
      <c r="C8379" s="10" t="s">
        <v>8379</v>
      </c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>
      <c r="A8380" s="8">
        <v>13234.0</v>
      </c>
      <c r="B8380" s="9" t="str">
        <f>HYPERLINK("https://www.lazada.vn/products/combo-banh-trang-mo-hanh-top-mo-rim-sa-te-toi-banh-trang-phoi-suong-deo-nguyen-lieu-nha-lam-i2271315075.html", "https://www.lazada.vn/products/combo-banh-trang-mo-hanh-top-mo-rim-sa-te-toi-banh-trang-phoi-suong-deo-nguyen-lieu-nha-lam-i2271315075.html")</f>
        <v>https://www.lazada.vn/products/combo-banh-trang-mo-hanh-top-mo-rim-sa-te-toi-banh-trang-phoi-suong-deo-nguyen-lieu-nha-lam-i2271315075.html</v>
      </c>
      <c r="C8380" s="10" t="s">
        <v>8380</v>
      </c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>
      <c r="A8381" s="8">
        <v>13235.0</v>
      </c>
      <c r="B8381" s="9" t="str">
        <f>HYPERLINK("https://www.lazada.vn/products/keo-sap-hinh-buom-nhan-mut-trai-cay-size-6cm-keo-sap-ong-thom-ngon-nhieu-vi-bat-mat-i2812860248.html", "https://www.lazada.vn/products/keo-sap-hinh-buom-nhan-mut-trai-cay-size-6cm-keo-sap-ong-thom-ngon-nhieu-vi-bat-mat-i2812860248.html")</f>
        <v>https://www.lazada.vn/products/keo-sap-hinh-buom-nhan-mut-trai-cay-size-6cm-keo-sap-ong-thom-ngon-nhieu-vi-bat-mat-i2812860248.html</v>
      </c>
      <c r="C8381" s="10" t="s">
        <v>8381</v>
      </c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>
      <c r="A8382" s="8">
        <v>13236.0</v>
      </c>
      <c r="B8382" s="9" t="str">
        <f>HYPERLINK("https://www.lazada.vn/products/hat-rau-cau-douxian-hop-25kg-i2428384253.html", "https://www.lazada.vn/products/hat-rau-cau-douxian-hop-25kg-i2428384253.html")</f>
        <v>https://www.lazada.vn/products/hat-rau-cau-douxian-hop-25kg-i2428384253.html</v>
      </c>
      <c r="C8382" s="10" t="s">
        <v>8382</v>
      </c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>
      <c r="A8383" s="8">
        <v>13237.0</v>
      </c>
      <c r="B8383" s="9" t="str">
        <f>HYPERLINK("https://www.lazada.vn/products/1-tui-320g-thach-zai-zai-tra-sua-tran-chau-mix-3-vi-duc-hanh-thach-cho-be-keo-thach-zaizai-an-vat-do-an-vat-an-vat-bach-hoa-online-uy-tin-i2049394846.html", "https://www.lazada.vn/products/1-tui-320g-thach-zai-zai-tra-sua-tran-chau-mix-3-vi-duc-hanh-thach-cho-be-keo-thach-zaizai-an-vat-do-an-vat-an-vat-bach-hoa-online-uy-tin-i2049394846.html")</f>
        <v>https://www.lazada.vn/products/1-tui-320g-thach-zai-zai-tra-sua-tran-chau-mix-3-vi-duc-hanh-thach-cho-be-keo-thach-zaizai-an-vat-do-an-vat-an-vat-bach-hoa-online-uy-tin-i2049394846.html</v>
      </c>
      <c r="C8383" s="10" t="s">
        <v>8383</v>
      </c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>
      <c r="A8384" s="8">
        <v>13238.0</v>
      </c>
      <c r="B8384" s="9" t="str">
        <f>HYPERLINK("https://www.lazada.vn/products/banh-tuoi-dai-loan-tu-chon-vi-theo-y-thich-banh-dung-thu-beegin-food-store-i2557134885.html", "https://www.lazada.vn/products/banh-tuoi-dai-loan-tu-chon-vi-theo-y-thich-banh-dung-thu-beegin-food-store-i2557134885.html")</f>
        <v>https://www.lazada.vn/products/banh-tuoi-dai-loan-tu-chon-vi-theo-y-thich-banh-dung-thu-beegin-food-store-i2557134885.html</v>
      </c>
      <c r="C8384" s="10" t="s">
        <v>8384</v>
      </c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>
      <c r="A8385" s="8">
        <v>13239.0</v>
      </c>
      <c r="B8385" s="9" t="str">
        <f>HYPERLINK("https://www.lazada.vn/products/bot-rau-ma-nguyen-chat-ko-pha-tron-tui-zip-500-i2636384761.html", "https://www.lazada.vn/products/bot-rau-ma-nguyen-chat-ko-pha-tron-tui-zip-500-i2636384761.html")</f>
        <v>https://www.lazada.vn/products/bot-rau-ma-nguyen-chat-ko-pha-tron-tui-zip-500-i2636384761.html</v>
      </c>
      <c r="C8385" s="10" t="s">
        <v>8385</v>
      </c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>
      <c r="A8386" s="8">
        <v>13240.0</v>
      </c>
      <c r="B8386" s="9" t="str">
        <f>HYPERLINK("https://www.lazada.vn/products/combo-2-banh-mi-hamburger-nhan-sua-chua-kep-cha-bong-b65c2-an-vat-beegin-i2557014856.html", "https://www.lazada.vn/products/combo-2-banh-mi-hamburger-nhan-sua-chua-kep-cha-bong-b65c2-an-vat-beegin-i2557014856.html")</f>
        <v>https://www.lazada.vn/products/combo-2-banh-mi-hamburger-nhan-sua-chua-kep-cha-bong-b65c2-an-vat-beegin-i2557014856.html</v>
      </c>
      <c r="C8386" s="10" t="s">
        <v>8386</v>
      </c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>
      <c r="A8387" s="8">
        <v>13241.0</v>
      </c>
      <c r="B8387" s="9" t="str">
        <f>HYPERLINK("https://www.lazada.vn/products/bot-dau-nanh-ranghop-500g-i2636382747.html", "https://www.lazada.vn/products/bot-dau-nanh-ranghop-500g-i2636382747.html")</f>
        <v>https://www.lazada.vn/products/bot-dau-nanh-ranghop-500g-i2636382747.html</v>
      </c>
      <c r="C8387" s="10" t="s">
        <v>8387</v>
      </c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>
      <c r="A8388" s="8">
        <v>13242.0</v>
      </c>
      <c r="B8388" s="9" t="str">
        <f>HYPERLINK("https://www.lazada.vn/products/500gr-mam-ca-ro-loai-1-dac-diet-thom-ngon-dac-san-chau-doc-i2952908910.html", "https://www.lazada.vn/products/500gr-mam-ca-ro-loai-1-dac-diet-thom-ngon-dac-san-chau-doc-i2952908910.html")</f>
        <v>https://www.lazada.vn/products/500gr-mam-ca-ro-loai-1-dac-diet-thom-ngon-dac-san-chau-doc-i2952908910.html</v>
      </c>
      <c r="C8388" s="10" t="s">
        <v>8388</v>
      </c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>
      <c r="A8389" s="8">
        <v>13243.0</v>
      </c>
      <c r="B8389" s="9" t="str">
        <f>HYPERLINK("https://www.lazada.vn/products/bia-apostel-weissbier-dunkel-53-nhap-khau-duc-1-thung-24-lon-500ml-i2817973417.html", "https://www.lazada.vn/products/bia-apostel-weissbier-dunkel-53-nhap-khau-duc-1-thung-24-lon-500ml-i2817973417.html")</f>
        <v>https://www.lazada.vn/products/bia-apostel-weissbier-dunkel-53-nhap-khau-duc-1-thung-24-lon-500ml-i2817973417.html</v>
      </c>
      <c r="C8389" s="10" t="s">
        <v>8389</v>
      </c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>
      <c r="A8390" s="8">
        <v>13244.0</v>
      </c>
      <c r="B8390" s="9" t="str">
        <f>HYPERLINK("https://www.lazada.vn/products/duong-chat-combo-500g-sup-lo-xanh-say-gion-bong-cai-xanh-say-an-lien-khong-duong-thom-ngon-dinh-duong-tien-loi-tot-cho-suc-khoe-i2852590611.html", "https://www.lazada.vn/products/duong-chat-combo-500g-sup-lo-xanh-say-gion-bong-cai-xanh-say-an-lien-khong-duong-thom-ngon-dinh-duong-tien-loi-tot-cho-suc-khoe-i2852590611.html")</f>
        <v>https://www.lazada.vn/products/duong-chat-combo-500g-sup-lo-xanh-say-gion-bong-cai-xanh-say-an-lien-khong-duong-thom-ngon-dinh-duong-tien-loi-tot-cho-suc-khoe-i2852590611.html</v>
      </c>
      <c r="C8390" s="10" t="s">
        <v>8390</v>
      </c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>
      <c r="A8391" s="8">
        <v>13245.0</v>
      </c>
      <c r="B8391" s="9" t="str">
        <f>HYPERLINK("https://www.lazada.vn/products/one-one-banh-gao-man-vi-bo-tom-nuong-va-banh-ngot-goi-150gr-shop-thu-quan-i2828241634.html", "https://www.lazada.vn/products/one-one-banh-gao-man-vi-bo-tom-nuong-va-banh-ngot-goi-150gr-shop-thu-quan-i2828241634.html")</f>
        <v>https://www.lazada.vn/products/one-one-banh-gao-man-vi-bo-tom-nuong-va-banh-ngot-goi-150gr-shop-thu-quan-i2828241634.html</v>
      </c>
      <c r="C8391" s="10" t="s">
        <v>8391</v>
      </c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>
      <c r="A8392" s="8">
        <v>13246.0</v>
      </c>
      <c r="B8392" s="9" t="str">
        <f>HYPERLINK("https://www.lazada.vn/products/cao-ha-thu-o-do-goi-100gram-i2630253419.html", "https://www.lazada.vn/products/cao-ha-thu-o-do-goi-100gram-i2630253419.html")</f>
        <v>https://www.lazada.vn/products/cao-ha-thu-o-do-goi-100gram-i2630253419.html</v>
      </c>
      <c r="C8392" s="10" t="s">
        <v>8392</v>
      </c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>
      <c r="A8393" s="8">
        <v>13247.0</v>
      </c>
      <c r="B8393" s="9" t="str">
        <f>HYPERLINK("https://www.lazada.vn/products/bot-cacao-nguyen-chat-khong-duong-cacaomi-premium-gu-dam-da-chuan-vi-ca-cao-chuyen-pha-tra-sua-lam-banh-lam-socola-chocolate-an-kieng-giam-can-chuan-keto-loai-xuat-khau-500g-i1267635814.html", "https://www.lazada.vn/products/bot-cacao-nguyen-chat-khong-duong-cacaomi-premium-gu-dam-da-chuan-vi-ca-cao-chuyen-pha-tra-sua-lam-banh-lam-socola-chocolate-an-kieng-giam-can-chuan-keto-loai-xuat-khau-500g-i1267635814.html")</f>
        <v>https://www.lazada.vn/products/bot-cacao-nguyen-chat-khong-duong-cacaomi-premium-gu-dam-da-chuan-vi-ca-cao-chuyen-pha-tra-sua-lam-banh-lam-socola-chocolate-an-kieng-giam-can-chuan-keto-loai-xuat-khau-500g-i1267635814.html</v>
      </c>
      <c r="C8393" s="10" t="s">
        <v>8393</v>
      </c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>
      <c r="A8394" s="8">
        <v>13248.0</v>
      </c>
      <c r="B8394" s="9" t="str">
        <f>HYPERLINK("https://www.lazada.vn/products/combo-dung-thu-3-goi-bot-hot-chocolate-thom-dam-vi-socola-nong-cacao-mi-thuong-hang-25ggoi-i1267631772.html", "https://www.lazada.vn/products/combo-dung-thu-3-goi-bot-hot-chocolate-thom-dam-vi-socola-nong-cacao-mi-thuong-hang-25ggoi-i1267631772.html")</f>
        <v>https://www.lazada.vn/products/combo-dung-thu-3-goi-bot-hot-chocolate-thom-dam-vi-socola-nong-cacao-mi-thuong-hang-25ggoi-i1267631772.html</v>
      </c>
      <c r="C8394" s="10" t="s">
        <v>8394</v>
      </c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>
      <c r="A8395" s="8">
        <v>13249.0</v>
      </c>
      <c r="B8395" s="9" t="str">
        <f>HYPERLINK("https://www.lazada.vn/products/set-41-snack-muc-nuong-bo-toi-83g-ktown-market-i2652912827.html", "https://www.lazada.vn/products/set-41-snack-muc-nuong-bo-toi-83g-ktown-market-i2652912827.html")</f>
        <v>https://www.lazada.vn/products/set-41-snack-muc-nuong-bo-toi-83g-ktown-market-i2652912827.html</v>
      </c>
      <c r="C8395" s="10" t="s">
        <v>8395</v>
      </c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>
      <c r="A8396" s="8">
        <v>13250.0</v>
      </c>
      <c r="B8396" s="9" t="str">
        <f>HYPERLINK("https://www.lazada.vn/products/1-keo-trung-socola-boc-keo-no-danh-cho-mua-le-hoi-keo-giang-sinh-keo-noel-i2873482119.html", "https://www.lazada.vn/products/1-keo-trung-socola-boc-keo-no-danh-cho-mua-le-hoi-keo-giang-sinh-keo-noel-i2873482119.html")</f>
        <v>https://www.lazada.vn/products/1-keo-trung-socola-boc-keo-no-danh-cho-mua-le-hoi-keo-giang-sinh-keo-noel-i2873482119.html</v>
      </c>
      <c r="C8396" s="10" t="s">
        <v>8396</v>
      </c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>
      <c r="A8397" s="8">
        <v>13251.0</v>
      </c>
      <c r="B8397" s="9" t="str">
        <f>HYPERLINK("https://www.lazada.vn/products/hcmnuoc-cot-dua-wonderfarm-160ml-i1733869373.html", "https://www.lazada.vn/products/hcmnuoc-cot-dua-wonderfarm-160ml-i1733869373.html")</f>
        <v>https://www.lazada.vn/products/hcmnuoc-cot-dua-wonderfarm-160ml-i1733869373.html</v>
      </c>
      <c r="C8397" s="10" t="s">
        <v>8397</v>
      </c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>
      <c r="A8398" s="8">
        <v>13252.0</v>
      </c>
      <c r="B8398" s="9" t="str">
        <f>HYPERLINK("https://www.lazada.vn/products/cafe-pho-hop-trang-160g-10-goi-ca-phe-den-da-dam-vi-dang-thanh-vn-maccoffee-black-ice-coffee-halal-i2649767224.html", "https://www.lazada.vn/products/cafe-pho-hop-trang-160g-10-goi-ca-phe-den-da-dam-vi-dang-thanh-vn-maccoffee-black-ice-coffee-halal-i2649767224.html")</f>
        <v>https://www.lazada.vn/products/cafe-pho-hop-trang-160g-10-goi-ca-phe-den-da-dam-vi-dang-thanh-vn-maccoffee-black-ice-coffee-halal-i2649767224.html</v>
      </c>
      <c r="C8398" s="10" t="s">
        <v>8398</v>
      </c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>
      <c r="A8399" s="8">
        <v>13253.0</v>
      </c>
      <c r="B8399" s="9" t="str">
        <f>HYPERLINK("https://www.lazada.vn/products/combo-5-goi-mi-omachi-xot-bo-ham-suon-ham-ngu-qua-tom-chua-cay-i2743070119.html", "https://www.lazada.vn/products/combo-5-goi-mi-omachi-xot-bo-ham-suon-ham-ngu-qua-tom-chua-cay-i2743070119.html")</f>
        <v>https://www.lazada.vn/products/combo-5-goi-mi-omachi-xot-bo-ham-suon-ham-ngu-qua-tom-chua-cay-i2743070119.html</v>
      </c>
      <c r="C8399" s="10" t="s">
        <v>8399</v>
      </c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>
      <c r="A8400" s="8">
        <v>13254.0</v>
      </c>
      <c r="B8400" s="9" t="str">
        <f>HYPERLINK("https://www.lazada.vn/products/1kg-tac-chung-duong-phen-mat-ong-nha-lam-hang-date-moi-i2674974396.html", "https://www.lazada.vn/products/1kg-tac-chung-duong-phen-mat-ong-nha-lam-hang-date-moi-i2674974396.html")</f>
        <v>https://www.lazada.vn/products/1kg-tac-chung-duong-phen-mat-ong-nha-lam-hang-date-moi-i2674974396.html</v>
      </c>
      <c r="C8400" s="10" t="s">
        <v>8400</v>
      </c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>
      <c r="A8401" s="8">
        <v>13255.0</v>
      </c>
      <c r="B8401" s="9" t="str">
        <f>HYPERLINK("https://www.lazada.vn/products/banh-quy-bourbon-butter-cookies-va-torte-cookies-nhat-ban-hop-thiec-tron-297gr-60-cai-i2972457001.html", "https://www.lazada.vn/products/banh-quy-bourbon-butter-cookies-va-torte-cookies-nhat-ban-hop-thiec-tron-297gr-60-cai-i2972457001.html")</f>
        <v>https://www.lazada.vn/products/banh-quy-bourbon-butter-cookies-va-torte-cookies-nhat-ban-hop-thiec-tron-297gr-60-cai-i2972457001.html</v>
      </c>
      <c r="C8401" s="10" t="s">
        <v>8401</v>
      </c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>
      <c r="A8402" s="8">
        <v>13256.0</v>
      </c>
      <c r="B8402" s="9" t="str">
        <f>HYPERLINK("https://www.lazada.vn/products/thung-24-lon-nuoc-ngot-co-gaz-mirinda-xa-xi-320mllon-i2040937204.html", "https://www.lazada.vn/products/thung-24-lon-nuoc-ngot-co-gaz-mirinda-xa-xi-320mllon-i2040937204.html")</f>
        <v>https://www.lazada.vn/products/thung-24-lon-nuoc-ngot-co-gaz-mirinda-xa-xi-320mllon-i2040937204.html</v>
      </c>
      <c r="C8402" s="10" t="s">
        <v>8402</v>
      </c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>
      <c r="A8403" s="8">
        <v>13257.0</v>
      </c>
      <c r="B8403" s="9" t="str">
        <f>HYPERLINK("https://www.lazada.vn/products/1-lon-nuoc-uong-collagen-82x-kakemono-nuoc-uong-giai-khat-chua-collagen-giup-bung-tinh-suc-song-245mllon-i1961805438.html", "https://www.lazada.vn/products/1-lon-nuoc-uong-collagen-82x-kakemono-nuoc-uong-giai-khat-chua-collagen-giup-bung-tinh-suc-song-245mllon-i1961805438.html")</f>
        <v>https://www.lazada.vn/products/1-lon-nuoc-uong-collagen-82x-kakemono-nuoc-uong-giai-khat-chua-collagen-giup-bung-tinh-suc-song-245mllon-i1961805438.html</v>
      </c>
      <c r="C8403" s="10" t="s">
        <v>8403</v>
      </c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>
      <c r="A8404" s="8">
        <v>13258.0</v>
      </c>
      <c r="B8404" s="9" t="str">
        <f>HYPERLINK("https://www.lazada.vn/products/500gr-keo-socola-con-nhong-i2780062157.html", "https://www.lazada.vn/products/500gr-keo-socola-con-nhong-i2780062157.html")</f>
        <v>https://www.lazada.vn/products/500gr-keo-socola-con-nhong-i2780062157.html</v>
      </c>
      <c r="C8404" s="10" t="s">
        <v>8404</v>
      </c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>
      <c r="A8405" s="8">
        <v>13259.0</v>
      </c>
      <c r="B8405" s="9" t="str">
        <f>HYPERLINK("https://www.lazada.vn/products/set-4-banh-trung-thu-2-trung-muoi-thap-cam-xa-xiu-ga-quay-tan-dan-loi-200g-dac-san-ben-tre-i2654552460.html", "https://www.lazada.vn/products/set-4-banh-trung-thu-2-trung-muoi-thap-cam-xa-xiu-ga-quay-tan-dan-loi-200g-dac-san-ben-tre-i2654552460.html")</f>
        <v>https://www.lazada.vn/products/set-4-banh-trung-thu-2-trung-muoi-thap-cam-xa-xiu-ga-quay-tan-dan-loi-200g-dac-san-ben-tre-i2654552460.html</v>
      </c>
      <c r="C8405" s="10" t="s">
        <v>8405</v>
      </c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>
      <c r="A8406" s="8">
        <v>13260.0</v>
      </c>
      <c r="B8406" s="9" t="str">
        <f>HYPERLINK("https://www.lazada.vn/products/banh-trang-tom-bo-combo-4goi-i2271280471.html", "https://www.lazada.vn/products/banh-trang-tom-bo-combo-4goi-i2271280471.html")</f>
        <v>https://www.lazada.vn/products/banh-trang-tom-bo-combo-4goi-i2271280471.html</v>
      </c>
      <c r="C8406" s="10" t="s">
        <v>8406</v>
      </c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>
      <c r="A8407" s="8">
        <v>13261.0</v>
      </c>
      <c r="B8407" s="9" t="str">
        <f>HYPERLINK("https://www.lazada.vn/products/combo-nhat-thong-30-goi-nem-nuong-phen-10-goi-snack-sashimi-bimbim-mai-ton-5-tui-sua-chua-i2270468665.html", "https://www.lazada.vn/products/combo-nhat-thong-30-goi-nem-nuong-phen-10-goi-snack-sashimi-bimbim-mai-ton-5-tui-sua-chua-i2270468665.html")</f>
        <v>https://www.lazada.vn/products/combo-nhat-thong-30-goi-nem-nuong-phen-10-goi-snack-sashimi-bimbim-mai-ton-5-tui-sua-chua-i2270468665.html</v>
      </c>
      <c r="C8407" s="10" t="s">
        <v>8407</v>
      </c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>
      <c r="A8408" s="8">
        <v>13262.0</v>
      </c>
      <c r="B8408" s="9" t="str">
        <f>HYPERLINK("https://www.lazada.vn/products/vi-40-cay-keo-mut-que-kem-jumping-risen-my-vi-xoai-i2732854600.html", "https://www.lazada.vn/products/vi-40-cay-keo-mut-que-kem-jumping-risen-my-vi-xoai-i2732854600.html")</f>
        <v>https://www.lazada.vn/products/vi-40-cay-keo-mut-que-kem-jumping-risen-my-vi-xoai-i2732854600.html</v>
      </c>
      <c r="C8408" s="10" t="s">
        <v>8408</v>
      </c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>
      <c r="A8409" s="8">
        <v>13263.0</v>
      </c>
      <c r="B8409" s="9" t="str">
        <f>HYPERLINK("https://www.lazada.vn/products/thach-trung-douxian-hop-25kg-i2427823328.html", "https://www.lazada.vn/products/thach-trung-douxian-hop-25kg-i2427823328.html")</f>
        <v>https://www.lazada.vn/products/thach-trung-douxian-hop-25kg-i2427823328.html</v>
      </c>
      <c r="C8409" s="10" t="s">
        <v>8409</v>
      </c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>
      <c r="A8410" s="8">
        <v>13264.0</v>
      </c>
      <c r="B8410" s="9" t="str">
        <f>HYPERLINK("https://www.lazada.vn/products/dong-moi-pate-aatas-cat-fitnest-cho-meo-i2948548665.html", "https://www.lazada.vn/products/dong-moi-pate-aatas-cat-fitnest-cho-meo-i2948548665.html")</f>
        <v>https://www.lazada.vn/products/dong-moi-pate-aatas-cat-fitnest-cho-meo-i2948548665.html</v>
      </c>
      <c r="C8410" s="10" t="s">
        <v>8410</v>
      </c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>
      <c r="A8411" s="8">
        <v>13265.0</v>
      </c>
      <c r="B8411" s="9" t="str">
        <f>HYPERLINK("https://www.lazada.vn/products/bot-cam-tang-hop-566g-hang-chuan-mydate-2026-i2636354481.html", "https://www.lazada.vn/products/bot-cam-tang-hop-566g-hang-chuan-mydate-2026-i2636354481.html")</f>
        <v>https://www.lazada.vn/products/bot-cam-tang-hop-566g-hang-chuan-mydate-2026-i2636354481.html</v>
      </c>
      <c r="C8411" s="10" t="s">
        <v>8411</v>
      </c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>
      <c r="A8412" s="8">
        <v>13266.0</v>
      </c>
      <c r="B8412" s="9" t="str">
        <f>HYPERLINK("https://www.lazada.vn/products/1-tui-320g-thach-zai-zai-tra-sua-tran-chau-mix-3-vi-duc-hanh-thach-cho-be-keo-thach-zaizai-an-vat-do-an-vat-an-vat-bach-hoa-online-uy-tin-i2049352942.html", "https://www.lazada.vn/products/1-tui-320g-thach-zai-zai-tra-sua-tran-chau-mix-3-vi-duc-hanh-thach-cho-be-keo-thach-zaizai-an-vat-do-an-vat-an-vat-bach-hoa-online-uy-tin-i2049352942.html")</f>
        <v>https://www.lazada.vn/products/1-tui-320g-thach-zai-zai-tra-sua-tran-chau-mix-3-vi-duc-hanh-thach-cho-be-keo-thach-zaizai-an-vat-do-an-vat-an-vat-bach-hoa-online-uy-tin-i2049352942.html</v>
      </c>
      <c r="C8412" s="10" t="s">
        <v>8412</v>
      </c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>
      <c r="A8413" s="8">
        <v>13267.0</v>
      </c>
      <c r="B8413" s="9" t="str">
        <f>HYPERLINK("https://www.lazada.vn/products/banh-tuoi-dai-loan-tu-chon-vi-theo-y-thich-banh-dung-thu-store-gia-ngan-i2556123122.html", "https://www.lazada.vn/products/banh-tuoi-dai-loan-tu-chon-vi-theo-y-thich-banh-dung-thu-store-gia-ngan-i2556123122.html")</f>
        <v>https://www.lazada.vn/products/banh-tuoi-dai-loan-tu-chon-vi-theo-y-thich-banh-dung-thu-store-gia-ngan-i2556123122.html</v>
      </c>
      <c r="C8413" s="10" t="s">
        <v>8413</v>
      </c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>
      <c r="A8414" s="8">
        <v>13268.0</v>
      </c>
      <c r="B8414" s="9" t="str">
        <f>HYPERLINK("https://www.lazada.vn/products/bia-karlsbrau-helles-natur-weizen-52-nhap-khau-duc-1-lon-500ml-i2817955897.html", "https://www.lazada.vn/products/bia-karlsbrau-helles-natur-weizen-52-nhap-khau-duc-1-lon-500ml-i2817955897.html")</f>
        <v>https://www.lazada.vn/products/bia-karlsbrau-helles-natur-weizen-52-nhap-khau-duc-1-lon-500ml-i2817955897.html</v>
      </c>
      <c r="C8414" s="10" t="s">
        <v>8414</v>
      </c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>
      <c r="A8415" s="8">
        <v>13269.0</v>
      </c>
      <c r="B8415" s="9" t="str">
        <f>HYPERLINK("https://www.lazada.vn/products/ruou-vang-khai-vi-lillet-rose-nong-do-17vol-750ml-khong-kem-hop-i2650761539.html", "https://www.lazada.vn/products/ruou-vang-khai-vi-lillet-rose-nong-do-17vol-750ml-khong-kem-hop-i2650761539.html")</f>
        <v>https://www.lazada.vn/products/ruou-vang-khai-vi-lillet-rose-nong-do-17vol-750ml-khong-kem-hop-i2650761539.html</v>
      </c>
      <c r="C8415" s="10" t="s">
        <v>8415</v>
      </c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>
      <c r="A8416" s="8">
        <v>13270.0</v>
      </c>
      <c r="B8416" s="9" t="str">
        <f>HYPERLINK("https://www.lazada.vn/products/snack-khoai-tay-original-nongshim-60g-ktown-market-i2652905990.html", "https://www.lazada.vn/products/snack-khoai-tay-original-nongshim-60g-ktown-market-i2652905990.html")</f>
        <v>https://www.lazada.vn/products/snack-khoai-tay-original-nongshim-60g-ktown-market-i2652905990.html</v>
      </c>
      <c r="C8416" s="10" t="s">
        <v>8416</v>
      </c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>
      <c r="A8417" s="8">
        <v>13271.0</v>
      </c>
      <c r="B8417" s="9" t="str">
        <f>HYPERLINK("https://www.lazada.vn/products/dua-hami-kho-dong-lanh-tu-tan-cuong-do-an-nhe-co-tui-khong-chien-xanh-la-trai-tim-trai-cay-kho-keo-dac-biet-ngay-qua-man-kho-i2847824505.html", "https://www.lazada.vn/products/dua-hami-kho-dong-lanh-tu-tan-cuong-do-an-nhe-co-tui-khong-chien-xanh-la-trai-tim-trai-cay-kho-keo-dac-biet-ngay-qua-man-kho-i2847824505.html")</f>
        <v>https://www.lazada.vn/products/dua-hami-kho-dong-lanh-tu-tan-cuong-do-an-nhe-co-tui-khong-chien-xanh-la-trai-tim-trai-cay-kho-keo-dac-biet-ngay-qua-man-kho-i2847824505.html</v>
      </c>
      <c r="C8417" s="10" t="s">
        <v>8417</v>
      </c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>
      <c r="A8418" s="8">
        <v>13272.0</v>
      </c>
      <c r="B8418" s="9" t="str">
        <f>HYPERLINK("https://www.lazada.vn/products/banh-gao-pho-mai-ngo-one-one-shop-thu-quan-i2828235875.html", "https://www.lazada.vn/products/banh-gao-pho-mai-ngo-one-one-shop-thu-quan-i2828235875.html")</f>
        <v>https://www.lazada.vn/products/banh-gao-pho-mai-ngo-one-one-shop-thu-quan-i2828235875.html</v>
      </c>
      <c r="C8418" s="10" t="s">
        <v>8418</v>
      </c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>
      <c r="A8419" s="8">
        <v>13273.0</v>
      </c>
      <c r="B8419" s="9" t="str">
        <f>HYPERLINK("https://www.lazada.vn/products/hang-my-socola-kiss-nhieu-loai-tui-nho-282g-tien-loi-i2873006056.html", "https://www.lazada.vn/products/hang-my-socola-kiss-nhieu-loai-tui-nho-282g-tien-loi-i2873006056.html")</f>
        <v>https://www.lazada.vn/products/hang-my-socola-kiss-nhieu-loai-tui-nho-282g-tien-loi-i2873006056.html</v>
      </c>
      <c r="C8419" s="10" t="s">
        <v>8419</v>
      </c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>
      <c r="A8420" s="8">
        <v>13274.0</v>
      </c>
      <c r="B8420" s="9" t="str">
        <f>HYPERLINK("https://www.lazada.vn/products/qua-la-han-500g-1kg-i2629829121.html", "https://www.lazada.vn/products/qua-la-han-500g-1kg-i2629829121.html")</f>
        <v>https://www.lazada.vn/products/qua-la-han-500g-1kg-i2629829121.html</v>
      </c>
      <c r="C8420" s="10" t="s">
        <v>8420</v>
      </c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>
      <c r="A8421" s="8">
        <v>13275.0</v>
      </c>
      <c r="B8421" s="9" t="str">
        <f>HYPERLINK("https://www.lazada.vn/products/ca-phe-pho-den-da-bich-35-goi-16g-tang-ly-kim-cuong-i2649045198.html", "https://www.lazada.vn/products/ca-phe-pho-den-da-bich-35-goi-16g-tang-ly-kim-cuong-i2649045198.html")</f>
        <v>https://www.lazada.vn/products/ca-phe-pho-den-da-bich-35-goi-16g-tang-ly-kim-cuong-i2649045198.html</v>
      </c>
      <c r="C8421" s="10" t="s">
        <v>8421</v>
      </c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>
      <c r="A8422" s="8">
        <v>13276.0</v>
      </c>
      <c r="B8422" s="9" t="str">
        <f>HYPERLINK("https://www.lazada.vn/products/creamer-dac-ngoi-sao-phuong-nam-xanh-la-hop-giay-1284g-i1732590385.html", "https://www.lazada.vn/products/creamer-dac-ngoi-sao-phuong-nam-xanh-la-hop-giay-1284g-i1732590385.html")</f>
        <v>https://www.lazada.vn/products/creamer-dac-ngoi-sao-phuong-nam-xanh-la-hop-giay-1284g-i1732590385.html</v>
      </c>
      <c r="C8422" s="10" t="s">
        <v>8422</v>
      </c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>
      <c r="A8423" s="8">
        <v>13277.0</v>
      </c>
      <c r="B8423" s="9" t="str">
        <f>HYPERLINK("https://www.lazada.vn/products/thung-20-goi-mi-koreno-up-chua-cay-67g-x-20-goi-i2742078475.html", "https://www.lazada.vn/products/thung-20-goi-mi-koreno-up-chua-cay-67g-x-20-goi-i2742078475.html")</f>
        <v>https://www.lazada.vn/products/thung-20-goi-mi-koreno-up-chua-cay-67g-x-20-goi-i2742078475.html</v>
      </c>
      <c r="C8423" s="10" t="s">
        <v>8423</v>
      </c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>
      <c r="A8424" s="8">
        <v>13278.0</v>
      </c>
      <c r="B8424" s="9" t="str">
        <f>HYPERLINK("https://www.lazada.vn/products/banh-oreo-socola-pie-cadbury-kinh-do-hop-i2964662835.html", "https://www.lazada.vn/products/banh-oreo-socola-pie-cadbury-kinh-do-hop-i2964662835.html")</f>
        <v>https://www.lazada.vn/products/banh-oreo-socola-pie-cadbury-kinh-do-hop-i2964662835.html</v>
      </c>
      <c r="C8424" s="10" t="s">
        <v>8424</v>
      </c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>
      <c r="A8425" s="8">
        <v>13279.0</v>
      </c>
      <c r="B8425" s="9" t="str">
        <f>HYPERLINK("https://www.lazada.vn/products/ruou-vang-khai-vi-lillet-blanc-nong-do-17vol-750ml-khong-kem-hop-i2650669486.html", "https://www.lazada.vn/products/ruou-vang-khai-vi-lillet-blanc-nong-do-17vol-750ml-khong-kem-hop-i2650669486.html")</f>
        <v>https://www.lazada.vn/products/ruou-vang-khai-vi-lillet-blanc-nong-do-17vol-750ml-khong-kem-hop-i2650669486.html</v>
      </c>
      <c r="C8425" s="10" t="s">
        <v>8425</v>
      </c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>
      <c r="A8426" s="8">
        <v>13280.0</v>
      </c>
      <c r="B8426" s="9" t="str">
        <f>HYPERLINK("https://www.lazada.vn/products/nuoc-cot-dua-wonderfarm-lon-400ml-160ml-thung-24-lon-sua-coconut-cream-i2673917337.html", "https://www.lazada.vn/products/nuoc-cot-dua-wonderfarm-lon-400ml-160ml-thung-24-lon-sua-coconut-cream-i2673917337.html")</f>
        <v>https://www.lazada.vn/products/nuoc-cot-dua-wonderfarm-lon-400ml-160ml-thung-24-lon-sua-coconut-cream-i2673917337.html</v>
      </c>
      <c r="C8426" s="10" t="s">
        <v>8426</v>
      </c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>
      <c r="A8427" s="8">
        <v>13281.0</v>
      </c>
      <c r="B8427" s="9" t="str">
        <f>HYPERLINK("https://www.lazada.vn/products/gia-si-socola-nong-loai-ngon-bot-cacao-nguyen-chat-cacaomi-premium-chuan-utz-xuat-khau-tui-500g-i1267630814.html", "https://www.lazada.vn/products/gia-si-socola-nong-loai-ngon-bot-cacao-nguyen-chat-cacaomi-premium-chuan-utz-xuat-khau-tui-500g-i1267630814.html")</f>
        <v>https://www.lazada.vn/products/gia-si-socola-nong-loai-ngon-bot-cacao-nguyen-chat-cacaomi-premium-chuan-utz-xuat-khau-tui-500g-i1267630814.html</v>
      </c>
      <c r="C8427" s="10" t="s">
        <v>8427</v>
      </c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>
      <c r="A8428" s="8">
        <v>13282.0</v>
      </c>
      <c r="B8428" s="9" t="str">
        <f>HYPERLINK("https://www.lazada.vn/products/thung-24-lon-nuoc-ngot-co-gaz-7up-320mllon-i2040915177.html", "https://www.lazada.vn/products/thung-24-lon-nuoc-ngot-co-gaz-7up-320mllon-i2040915177.html")</f>
        <v>https://www.lazada.vn/products/thung-24-lon-nuoc-ngot-co-gaz-7up-320mllon-i2040915177.html</v>
      </c>
      <c r="C8428" s="10" t="s">
        <v>8428</v>
      </c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>
      <c r="A8429" s="8">
        <v>13283.0</v>
      </c>
      <c r="B8429" s="9" t="str">
        <f>HYPERLINK("https://www.lazada.vn/products/po-chai-pills-hong-kong-i1957508232.html", "https://www.lazada.vn/products/po-chai-pills-hong-kong-i1957508232.html")</f>
        <v>https://www.lazada.vn/products/po-chai-pills-hong-kong-i1957508232.html</v>
      </c>
      <c r="C8429" s="10" t="s">
        <v>8429</v>
      </c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>
      <c r="A8430" s="8">
        <v>13284.0</v>
      </c>
      <c r="B8430" s="9" t="str">
        <f>HYPERLINK("https://www.lazada.vn/products/1kg-snack-cua-pho-mai-cay-thai-cuc-ngon-i2270064132.html", "https://www.lazada.vn/products/1kg-snack-cua-pho-mai-cay-thai-cuc-ngon-i2270064132.html")</f>
        <v>https://www.lazada.vn/products/1kg-snack-cua-pho-mai-cay-thai-cuc-ngon-i2270064132.html</v>
      </c>
      <c r="C8430" s="10" t="s">
        <v>8430</v>
      </c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>
      <c r="A8431" s="8">
        <v>13285.0</v>
      </c>
      <c r="B8431" s="9" t="str">
        <f>HYPERLINK("https://www.lazada.vn/products/keo-beo-alpenlibe-goi-nho-i2732223252.html", "https://www.lazada.vn/products/keo-beo-alpenlibe-goi-nho-i2732223252.html")</f>
        <v>https://www.lazada.vn/products/keo-beo-alpenlibe-goi-nho-i2732223252.html</v>
      </c>
      <c r="C8431" s="10" t="s">
        <v>8431</v>
      </c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>
      <c r="A8432" s="8">
        <v>13286.0</v>
      </c>
      <c r="B8432" s="9" t="str">
        <f>HYPERLINK("https://www.lazada.vn/products/1kg-snack-xuong-xoan-i2263491498.html", "https://www.lazada.vn/products/1kg-snack-xuong-xoan-i2263491498.html")</f>
        <v>https://www.lazada.vn/products/1kg-snack-xuong-xoan-i2263491498.html</v>
      </c>
      <c r="C8432" s="10" t="s">
        <v>8432</v>
      </c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>
      <c r="A8433" s="8">
        <v>13287.0</v>
      </c>
      <c r="B8433" s="9" t="str">
        <f>HYPERLINK("https://www.lazada.vn/products/siro-trinh-chai-nhua-600ml-du-mui-i2427463034.html", "https://www.lazada.vn/products/siro-trinh-chai-nhua-600ml-du-mui-i2427463034.html")</f>
        <v>https://www.lazada.vn/products/siro-trinh-chai-nhua-600ml-du-mui-i2427463034.html</v>
      </c>
      <c r="C8433" s="10" t="s">
        <v>8433</v>
      </c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>
      <c r="A8434" s="8">
        <v>13288.0</v>
      </c>
      <c r="B8434" s="9" t="str">
        <f>HYPERLINK("https://www.lazada.vn/products/bot-gao-lut-hat-sen-me-den-2-hop-800g-co-32-goi-luong-duong-thap-huu-co-tu-nhien-san-pham-ocop-i2635234956.html", "https://www.lazada.vn/products/bot-gao-lut-hat-sen-me-den-2-hop-800g-co-32-goi-luong-duong-thap-huu-co-tu-nhien-san-pham-ocop-i2635234956.html")</f>
        <v>https://www.lazada.vn/products/bot-gao-lut-hat-sen-me-den-2-hop-800g-co-32-goi-luong-duong-thap-huu-co-tu-nhien-san-pham-ocop-i2635234956.html</v>
      </c>
      <c r="C8434" s="10" t="s">
        <v>8434</v>
      </c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>
      <c r="A8435" s="8">
        <v>13289.0</v>
      </c>
      <c r="B8435" s="9" t="str">
        <f>HYPERLINK("https://www.lazada.vn/products/500g-banh-sua-chua-dai-loan-banh-sua-chua-ong-gia-dai-loan-i2547432135.html", "https://www.lazada.vn/products/500g-banh-sua-chua-dai-loan-banh-sua-chua-ong-gia-dai-loan-i2547432135.html")</f>
        <v>https://www.lazada.vn/products/500g-banh-sua-chua-dai-loan-banh-sua-chua-ong-gia-dai-loan-i2547432135.html</v>
      </c>
      <c r="C8435" s="10" t="s">
        <v>8435</v>
      </c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>
      <c r="A8436" s="8">
        <v>13290.0</v>
      </c>
      <c r="B8436" s="9" t="str">
        <f>HYPERLINK("https://www.lazada.vn/products/goi-400g-hat-catchy-cho-meo-truong-thanh-i2948533559.html", "https://www.lazada.vn/products/goi-400g-hat-catchy-cho-meo-truong-thanh-i2948533559.html")</f>
        <v>https://www.lazada.vn/products/goi-400g-hat-catchy-cho-meo-truong-thanh-i2948533559.html</v>
      </c>
      <c r="C8436" s="10" t="s">
        <v>8436</v>
      </c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>
      <c r="A8437" s="8">
        <v>13291.0</v>
      </c>
      <c r="B8437" s="9" t="str">
        <f>HYPERLINK("https://www.lazada.vn/products/bia-eichbaum-strong-79-nhap-khau-duc-1-lon-500ml-i2817944843.html", "https://www.lazada.vn/products/bia-eichbaum-strong-79-nhap-khau-duc-1-lon-500ml-i2817944843.html")</f>
        <v>https://www.lazada.vn/products/bia-eichbaum-strong-79-nhap-khau-duc-1-lon-500ml-i2817944843.html</v>
      </c>
      <c r="C8437" s="10" t="s">
        <v>8437</v>
      </c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>
      <c r="A8438" s="8">
        <v>13292.0</v>
      </c>
      <c r="B8438" s="9" t="str">
        <f>HYPERLINK("https://www.lazada.vn/products/thach-dua-dai-loan-goi-15kg-thach-dua-dedu-dai-loan-gion-ngon-i2046569475.html", "https://www.lazada.vn/products/thach-dua-dai-loan-goi-15kg-thach-dua-dedu-dai-loan-gion-ngon-i2046569475.html")</f>
        <v>https://www.lazada.vn/products/thach-dua-dai-loan-goi-15kg-thach-dua-dedu-dai-loan-gion-ngon-i2046569475.html</v>
      </c>
      <c r="C8438" s="10" t="s">
        <v>8438</v>
      </c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>
      <c r="A8439" s="8">
        <v>13293.0</v>
      </c>
      <c r="B8439" s="9" t="str">
        <f>HYPERLINK("https://www.lazada.vn/products/bia-apostel-weissbier-hell-53-nhap-khau-duc-1-thung-24-lon-500ml-i2817942704.html", "https://www.lazada.vn/products/bia-apostel-weissbier-hell-53-nhap-khau-duc-1-thung-24-lon-500ml-i2817942704.html")</f>
        <v>https://www.lazada.vn/products/bia-apostel-weissbier-hell-53-nhap-khau-duc-1-thung-24-lon-500ml-i2817942704.html</v>
      </c>
      <c r="C8439" s="10" t="s">
        <v>8439</v>
      </c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>
      <c r="A8440" s="8">
        <v>13294.0</v>
      </c>
      <c r="B8440" s="9" t="str">
        <f>HYPERLINK("https://www.lazada.vn/products/hang-mykeo-socola-hershey-du-loai-289g-date-xa-i2872708776.html", "https://www.lazada.vn/products/hang-mykeo-socola-hershey-du-loai-289g-date-xa-i2872708776.html")</f>
        <v>https://www.lazada.vn/products/hang-mykeo-socola-hershey-du-loai-289g-date-xa-i2872708776.html</v>
      </c>
      <c r="C8440" s="10" t="s">
        <v>8440</v>
      </c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>
      <c r="A8441" s="8">
        <v>13295.0</v>
      </c>
      <c r="B8441" s="9" t="str">
        <f>HYPERLINK("https://www.lazada.vn/products/banh-gao-nuong-vi-tao-bien-vi-tu-nhien-orion-an-shop-thu-quan-i2828107827.html", "https://www.lazada.vn/products/banh-gao-nuong-vi-tao-bien-vi-tu-nhien-orion-an-shop-thu-quan-i2828107827.html")</f>
        <v>https://www.lazada.vn/products/banh-gao-nuong-vi-tao-bien-vi-tu-nhien-orion-an-shop-thu-quan-i2828107827.html</v>
      </c>
      <c r="C8441" s="10" t="s">
        <v>8441</v>
      </c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>
      <c r="A8442" s="8">
        <v>13296.0</v>
      </c>
      <c r="B8442" s="9" t="str">
        <f>HYPERLINK("https://www.lazada.vn/products/tay-tu-hop-dried-sweet-potato-handmade-pure-farmhouse-no-additives-vacuum-peeling-soft-glutinous-sweet-potato-snack-i2846355915.html", "https://www.lazada.vn/products/tay-tu-hop-dried-sweet-potato-handmade-pure-farmhouse-no-additives-vacuum-peeling-soft-glutinous-sweet-potato-snack-i2846355915.html")</f>
        <v>https://www.lazada.vn/products/tay-tu-hop-dried-sweet-potato-handmade-pure-farmhouse-no-additives-vacuum-peeling-soft-glutinous-sweet-potato-snack-i2846355915.html</v>
      </c>
      <c r="C8442" s="10" t="s">
        <v>8442</v>
      </c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>
      <c r="A8443" s="8">
        <v>13297.0</v>
      </c>
      <c r="B8443" s="9" t="str">
        <f>HYPERLINK("https://www.lazada.vn/products/combo-30-goi-ca-phe-hoa-tan-k-coffee-delight-3in1-x-17g-cafe-k-delight-phuc-sinh-i2647040045.html", "https://www.lazada.vn/products/combo-30-goi-ca-phe-hoa-tan-k-coffee-delight-3in1-x-17g-cafe-k-delight-phuc-sinh-i2647040045.html")</f>
        <v>https://www.lazada.vn/products/combo-30-goi-ca-phe-hoa-tan-k-coffee-delight-3in1-x-17g-cafe-k-delight-phuc-sinh-i2647040045.html</v>
      </c>
      <c r="C8443" s="10" t="s">
        <v>8443</v>
      </c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>
      <c r="A8444" s="8">
        <v>13298.0</v>
      </c>
      <c r="B8444" s="9" t="str">
        <f>HYPERLINK("https://www.lazada.vn/products/thach-hong-sam-trai-cay-tre-em-vital-gin-kids-vi-cam-tui-xe-100g-i2627606312.html", "https://www.lazada.vn/products/thach-hong-sam-trai-cay-tre-em-vital-gin-kids-vi-cam-tui-xe-100g-i2627606312.html")</f>
        <v>https://www.lazada.vn/products/thach-hong-sam-trai-cay-tre-em-vital-gin-kids-vi-cam-tui-xe-100g-i2627606312.html</v>
      </c>
      <c r="C8444" s="10" t="s">
        <v>8444</v>
      </c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>
      <c r="A8445" s="8">
        <v>13299.0</v>
      </c>
      <c r="B8445" s="9" t="str">
        <f>HYPERLINK("https://www.lazada.vn/products/solite-bong-lan-cuon-du-vi-360g-bo-sua-dau-tay-la-dua-socola-i2963679431.html", "https://www.lazada.vn/products/solite-bong-lan-cuon-du-vi-360g-bo-sua-dau-tay-la-dua-socola-i2963679431.html")</f>
        <v>https://www.lazada.vn/products/solite-bong-lan-cuon-du-vi-360g-bo-sua-dau-tay-la-dua-socola-i2963679431.html</v>
      </c>
      <c r="C8445" s="10" t="s">
        <v>8445</v>
      </c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>
      <c r="A8446" s="8">
        <v>13300.0</v>
      </c>
      <c r="B8446" s="9" t="str">
        <f>HYPERLINK("https://www.lazada.vn/products/khoai-tay-phomai-bo-cuoi-an-vat-sieu-ngon-beo-gion-tre-em-rat-thich-dac-san-ngon-la-da-lat-i2652613470.html", "https://www.lazada.vn/products/khoai-tay-phomai-bo-cuoi-an-vat-sieu-ngon-beo-gion-tre-em-rat-thich-dac-san-ngon-la-da-lat-i2652613470.html")</f>
        <v>https://www.lazada.vn/products/khoai-tay-phomai-bo-cuoi-an-vat-sieu-ngon-beo-gion-tre-em-rat-thich-dac-san-ngon-la-da-lat-i2652613470.html</v>
      </c>
      <c r="C8446" s="10" t="s">
        <v>8446</v>
      </c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>
      <c r="A8447" s="8">
        <v>13301.0</v>
      </c>
      <c r="B8447" s="9" t="str">
        <f>HYPERLINK("https://www.lazada.vn/products/trai-du-du-xanh-1kg-i2844096811.html", "https://www.lazada.vn/products/trai-du-du-xanh-1kg-i2844096811.html")</f>
        <v>https://www.lazada.vn/products/trai-du-du-xanh-1kg-i2844096811.html</v>
      </c>
      <c r="C8447" s="10" t="s">
        <v>8447</v>
      </c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>
      <c r="A8448" s="8">
        <v>13302.0</v>
      </c>
      <c r="B8448" s="9" t="str">
        <f>HYPERLINK("https://www.lazada.vn/products/thung-20-goi-mi-tron-tuong-den-78g-i2742021728.html", "https://www.lazada.vn/products/thung-20-goi-mi-tron-tuong-den-78g-i2742021728.html")</f>
        <v>https://www.lazada.vn/products/thung-20-goi-mi-tron-tuong-den-78g-i2742021728.html</v>
      </c>
      <c r="C8448" s="10" t="s">
        <v>8448</v>
      </c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>
      <c r="A8449" s="8">
        <v>13303.0</v>
      </c>
      <c r="B8449" s="9" t="str">
        <f>HYPERLINK("https://www.lazada.vn/products/nuoc-loi-khuan-teenieping-vi-trai-cay-woongjin-200ml-i2673803144.html", "https://www.lazada.vn/products/nuoc-loi-khuan-teenieping-vi-trai-cay-woongjin-200ml-i2673803144.html")</f>
        <v>https://www.lazada.vn/products/nuoc-loi-khuan-teenieping-vi-trai-cay-woongjin-200ml-i2673803144.html</v>
      </c>
      <c r="C8449" s="10" t="s">
        <v>8449</v>
      </c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>
      <c r="A8450" s="8">
        <v>13304.0</v>
      </c>
      <c r="B8450" s="9" t="str">
        <f>HYPERLINK("https://www.lazada.vn/products/bot-ca-cao-sua-dua-cacaomi-chuyen-pha-che-tra-sua-milo-dam-thuc-uong-so-co-la-cacao-nong-thom-ngon-tien-loi-hop-357g-i1267627775.html", "https://www.lazada.vn/products/bot-ca-cao-sua-dua-cacaomi-chuyen-pha-che-tra-sua-milo-dam-thuc-uong-so-co-la-cacao-nong-thom-ngon-tien-loi-hop-357g-i1267627775.html")</f>
        <v>https://www.lazada.vn/products/bot-ca-cao-sua-dua-cacaomi-chuyen-pha-che-tra-sua-milo-dam-thuc-uong-so-co-la-cacao-nong-thom-ngon-tien-loi-hop-357g-i1267627775.html</v>
      </c>
      <c r="C8450" s="10" t="s">
        <v>8450</v>
      </c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>
      <c r="A8451" s="8">
        <v>13305.0</v>
      </c>
      <c r="B8451" s="9" t="str">
        <f>HYPERLINK("https://www.lazada.vn/products/ca-cao-nguyen-chat-daklak-i1731364246.html", "https://www.lazada.vn/products/ca-cao-nguyen-chat-daklak-i1731364246.html")</f>
        <v>https://www.lazada.vn/products/ca-cao-nguyen-chat-daklak-i1731364246.html</v>
      </c>
      <c r="C8451" s="10" t="s">
        <v>8451</v>
      </c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>
      <c r="A8452" s="8">
        <v>13306.0</v>
      </c>
      <c r="B8452" s="9" t="str">
        <f>HYPERLINK("https://www.lazada.vn/products/ruou-vang-vermouth-la-copa-rojo-nong-do-alc-155-750ml-i2599602039.html", "https://www.lazada.vn/products/ruou-vang-vermouth-la-copa-rojo-nong-do-alc-155-750ml-i2599602039.html")</f>
        <v>https://www.lazada.vn/products/ruou-vang-vermouth-la-copa-rojo-nong-do-alc-155-750ml-i2599602039.html</v>
      </c>
      <c r="C8452" s="10" t="s">
        <v>8452</v>
      </c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>
      <c r="A8453" s="8">
        <v>13307.0</v>
      </c>
      <c r="B8453" s="9" t="str">
        <f>HYPERLINK("https://www.lazada.vn/products/thung-24-chai-nuoc-ngot-co-gaz-mirinda-soda-kem-390mlchai-i2040877730.html", "https://www.lazada.vn/products/thung-24-chai-nuoc-ngot-co-gaz-mirinda-soda-kem-390mlchai-i2040877730.html")</f>
        <v>https://www.lazada.vn/products/thung-24-chai-nuoc-ngot-co-gaz-mirinda-soda-kem-390mlchai-i2040877730.html</v>
      </c>
      <c r="C8453" s="10" t="s">
        <v>8453</v>
      </c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>
      <c r="A8454" s="8">
        <v>13308.0</v>
      </c>
      <c r="B8454" s="9" t="str">
        <f>HYPERLINK("https://www.lazada.vn/products/nuoc-tang-luc-bo-huc-redbull-thai-lan-250ml-co-ban-le-tu-1-lon-i1947677903.html", "https://www.lazada.vn/products/nuoc-tang-luc-bo-huc-redbull-thai-lan-250ml-co-ban-le-tu-1-lon-i1947677903.html")</f>
        <v>https://www.lazada.vn/products/nuoc-tang-luc-bo-huc-redbull-thai-lan-250ml-co-ban-le-tu-1-lon-i1947677903.html</v>
      </c>
      <c r="C8454" s="10" t="s">
        <v>8454</v>
      </c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>
      <c r="A8455" s="8">
        <v>13309.0</v>
      </c>
      <c r="B8455" s="9" t="str">
        <f>HYPERLINK("https://www.lazada.vn/products/1kg-snack-oc-mit-i2263355943.html", "https://www.lazada.vn/products/1kg-snack-oc-mit-i2263355943.html")</f>
        <v>https://www.lazada.vn/products/1kg-snack-oc-mit-i2263355943.html</v>
      </c>
      <c r="C8455" s="10" t="s">
        <v>8455</v>
      </c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>
      <c r="A8456" s="8">
        <v>13310.0</v>
      </c>
      <c r="B8456" s="9" t="str">
        <f>HYPERLINK("https://www.lazada.vn/products/keo-ngam-vi-bo-huc-fast-charging-keo-tang-luc-goi-320g-gia-ngan-food-i2717318305.html", "https://www.lazada.vn/products/keo-ngam-vi-bo-huc-fast-charging-keo-tang-luc-goi-320g-gia-ngan-food-i2717318305.html")</f>
        <v>https://www.lazada.vn/products/keo-ngam-vi-bo-huc-fast-charging-keo-tang-luc-goi-320g-gia-ngan-food-i2717318305.html</v>
      </c>
      <c r="C8456" s="10" t="s">
        <v>8456</v>
      </c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>
      <c r="A8457" s="8">
        <v>13311.0</v>
      </c>
      <c r="B8457" s="9" t="str">
        <f>HYPERLINK("https://www.lazada.vn/products/combo-banh-trang-deo-tom-banh-trang-phoi-suong-do-an-vat-nhu-ngoc-700g-gom-300g-banh-trang-tom-deo-200g-bo-beo-100g-tom-hanh-phi-loai-1-100g-sot-me-tang-1-bich-muoi-tom-nhuyen-tay-ninh-sieu-chat-luong-i2258160793.html", "https://www.lazada.vn/products/combo-banh-trang-deo-tom-banh-trang-phoi-suong-do-an-vat-nhu-ngoc-700g-gom-300g-banh-trang-tom-deo-200g-bo-beo-100g-tom-hanh-phi-loai-1-100g-sot-me-tang-1-bich-muoi-tom-nhuyen-tay-ninh-sieu-chat-luong-i2258160793.html")</f>
        <v>https://www.lazada.vn/products/combo-banh-trang-deo-tom-banh-trang-phoi-suong-do-an-vat-nhu-ngoc-700g-gom-300g-banh-trang-tom-deo-200g-bo-beo-100g-tom-hanh-phi-loai-1-100g-sot-me-tang-1-bich-muoi-tom-nhuyen-tay-ninh-sieu-chat-luong-i2258160793.html</v>
      </c>
      <c r="C8457" s="10" t="s">
        <v>8457</v>
      </c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>
      <c r="A8458" s="8">
        <v>13312.0</v>
      </c>
      <c r="B8458" s="9" t="str">
        <f>HYPERLINK("https://www.lazada.vn/products/an-vat-sieu-ngon-hottrend-keo-no-striking-lollipop-hong-kong-popping-candy-sieu-hot-i2704891311.html", "https://www.lazada.vn/products/an-vat-sieu-ngon-hottrend-keo-no-striking-lollipop-hong-kong-popping-candy-sieu-hot-i2704891311.html")</f>
        <v>https://www.lazada.vn/products/an-vat-sieu-ngon-hottrend-keo-no-striking-lollipop-hong-kong-popping-candy-sieu-hot-i2704891311.html</v>
      </c>
      <c r="C8458" s="10" t="s">
        <v>8458</v>
      </c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>
      <c r="A8459" s="8">
        <v>13313.0</v>
      </c>
      <c r="B8459" s="9" t="str">
        <f>HYPERLINK("https://www.lazada.vn/products/tac-hat-dac-chung-duong-phen-tan-loc-900g-i2427400178.html", "https://www.lazada.vn/products/tac-hat-dac-chung-duong-phen-tan-loc-900g-i2427400178.html")</f>
        <v>https://www.lazada.vn/products/tac-hat-dac-chung-duong-phen-tan-loc-900g-i2427400178.html</v>
      </c>
      <c r="C8459" s="10" t="s">
        <v>8459</v>
      </c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>
      <c r="A8460" s="8">
        <v>13314.0</v>
      </c>
      <c r="B8460" s="9" t="str">
        <f>HYPERLINK("https://www.lazada.vn/products/pate-mrvet-cho-meo-i2948343817.html", "https://www.lazada.vn/products/pate-mrvet-cho-meo-i2948343817.html")</f>
        <v>https://www.lazada.vn/products/pate-mrvet-cho-meo-i2948343817.html</v>
      </c>
      <c r="C8460" s="10" t="s">
        <v>8460</v>
      </c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>
      <c r="A8461" s="8">
        <v>13315.0</v>
      </c>
      <c r="B8461" s="9" t="str">
        <f>HYPERLINK("https://www.lazada.vn/products/bot-cacao-malaysia-loai-re-500g-i2634384378.html", "https://www.lazada.vn/products/bot-cacao-malaysia-loai-re-500g-i2634384378.html")</f>
        <v>https://www.lazada.vn/products/bot-cacao-malaysia-loai-re-500g-i2634384378.html</v>
      </c>
      <c r="C8461" s="10" t="s">
        <v>8461</v>
      </c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>
      <c r="A8462" s="8">
        <v>13316.0</v>
      </c>
      <c r="B8462" s="9" t="str">
        <f>HYPERLINK("https://www.lazada.vn/products/banh-mix-dai-loan-thung-2kg-thung-2kg-banh-mix-dai-loan-loai-ngon-du-vi-i2547393842.html", "https://www.lazada.vn/products/banh-mix-dai-loan-thung-2kg-thung-2kg-banh-mix-dai-loan-loai-ngon-du-vi-i2547393842.html")</f>
        <v>https://www.lazada.vn/products/banh-mix-dai-loan-thung-2kg-thung-2kg-banh-mix-dai-loan-loai-ngon-du-vi-i2547393842.html</v>
      </c>
      <c r="C8462" s="10" t="s">
        <v>8462</v>
      </c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>
      <c r="A8463" s="8">
        <v>13317.0</v>
      </c>
      <c r="B8463" s="9" t="str">
        <f>HYPERLINK("https://www.lazada.vn/products/3q-bkb-agrary-tran-chau-thach-gion-bich-1kg-i2043761341.html", "https://www.lazada.vn/products/3q-bkb-agrary-tran-chau-thach-gion-bich-1kg-i2043761341.html")</f>
        <v>https://www.lazada.vn/products/3q-bkb-agrary-tran-chau-thach-gion-bich-1kg-i2043761341.html</v>
      </c>
      <c r="C8463" s="10" t="s">
        <v>8463</v>
      </c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>
      <c r="A8464" s="8">
        <v>13318.0</v>
      </c>
      <c r="B8464" s="9" t="str">
        <f>HYPERLINK("https://www.lazada.vn/products/thuc-an-cho-meo-kairisi-steam-cooked-sang-trong-lich-suken-breast-liver-boiled-sang-trong-lich-suken-meat-dog-cat-rice-mix-water-supplement-pet-food-i2947186699.html", "https://www.lazada.vn/products/thuc-an-cho-meo-kairisi-steam-cooked-sang-trong-lich-suken-breast-liver-boiled-sang-trong-lich-suken-meat-dog-cat-rice-mix-water-supplement-pet-food-i2947186699.html")</f>
        <v>https://www.lazada.vn/products/thuc-an-cho-meo-kairisi-steam-cooked-sang-trong-lich-suken-breast-liver-boiled-sang-trong-lich-suken-meat-dog-cat-rice-mix-water-supplement-pet-food-i2947186699.html</v>
      </c>
      <c r="C8464" s="10" t="s">
        <v>8464</v>
      </c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>
      <c r="A8465" s="8">
        <v>13319.0</v>
      </c>
      <c r="B8465" s="9" t="str">
        <f>HYPERLINK("https://www.lazada.vn/products/bot-cacao-malaysia-loai-dang-500g-i2634317978.html", "https://www.lazada.vn/products/bot-cacao-malaysia-loai-dang-500g-i2634317978.html")</f>
        <v>https://www.lazada.vn/products/bot-cacao-malaysia-loai-dang-500g-i2634317978.html</v>
      </c>
      <c r="C8465" s="10" t="s">
        <v>8465</v>
      </c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>
      <c r="A8466" s="8">
        <v>13320.0</v>
      </c>
      <c r="B8466" s="9" t="str">
        <f>HYPERLINK("https://www.lazada.vn/products/1-kg-banh-sua-chua-vo-gion-thom-ngon-an-mai-ko-ngan-i2545549439.html", "https://www.lazada.vn/products/1-kg-banh-sua-chua-vo-gion-thom-ngon-an-mai-ko-ngan-i2545549439.html")</f>
        <v>https://www.lazada.vn/products/1-kg-banh-sua-chua-vo-gion-thom-ngon-an-mai-ko-ngan-i2545549439.html</v>
      </c>
      <c r="C8466" s="10" t="s">
        <v>8466</v>
      </c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>
      <c r="A8467" s="8">
        <v>13321.0</v>
      </c>
      <c r="B8467" s="9" t="str">
        <f>HYPERLINK("https://www.lazada.vn/products/hcm-500-thach-zai-mix-du-vi-ngon-hon-khi-an-lanh-cong-ty-duc-hanh-thanh-ngan-i2042983420.html", "https://www.lazada.vn/products/hcm-500-thach-zai-mix-du-vi-ngon-hon-khi-an-lanh-cong-ty-duc-hanh-thanh-ngan-i2042983420.html")</f>
        <v>https://www.lazada.vn/products/hcm-500-thach-zai-mix-du-vi-ngon-hon-khi-an-lanh-cong-ty-duc-hanh-thanh-ngan-i2042983420.html</v>
      </c>
      <c r="C8467" s="10" t="s">
        <v>8467</v>
      </c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>
      <c r="A8468" s="8">
        <v>13322.0</v>
      </c>
      <c r="B8468" s="9" t="str">
        <f>HYPERLINK("https://www.lazada.vn/products/socola-nama-chocolate-tuoi-nguyen-hop-408g-khoang-60-vien-i2872567803.html", "https://www.lazada.vn/products/socola-nama-chocolate-tuoi-nguyen-hop-408g-khoang-60-vien-i2872567803.html")</f>
        <v>https://www.lazada.vn/products/socola-nama-chocolate-tuoi-nguyen-hop-408g-khoang-60-vien-i2872567803.html</v>
      </c>
      <c r="C8468" s="10" t="s">
        <v>8468</v>
      </c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>
      <c r="A8469" s="8">
        <v>13323.0</v>
      </c>
      <c r="B8469" s="9" t="str">
        <f>HYPERLINK("https://www.lazada.vn/products/khoai-lang-mat-say-deo-nguyen-cu-i2842739068.html", "https://www.lazada.vn/products/khoai-lang-mat-say-deo-nguyen-cu-i2842739068.html")</f>
        <v>https://www.lazada.vn/products/khoai-lang-mat-say-deo-nguyen-cu-i2842739068.html</v>
      </c>
      <c r="C8469" s="10" t="s">
        <v>8469</v>
      </c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>
      <c r="A8470" s="8">
        <v>13324.0</v>
      </c>
      <c r="B8470" s="9" t="str">
        <f>HYPERLINK("https://www.lazada.vn/products/banh-orion-custas-du-vi-kem-trung-com-tiramisu-kem-sua-pho-mai-i2963555296.html", "https://www.lazada.vn/products/banh-orion-custas-du-vi-kem-trung-com-tiramisu-kem-sua-pho-mai-i2963555296.html")</f>
        <v>https://www.lazada.vn/products/banh-orion-custas-du-vi-kem-trung-com-tiramisu-kem-sua-pho-mai-i2963555296.html</v>
      </c>
      <c r="C8470" s="10" t="s">
        <v>8470</v>
      </c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>
      <c r="A8471" s="8">
        <v>13325.0</v>
      </c>
      <c r="B8471" s="9" t="str">
        <f>HYPERLINK("https://www.lazada.vn/products/bia-apostel-weissbier-hell-53-nhap-khau-duc-1-lon-500ml-i2817915865.html", "https://www.lazada.vn/products/bia-apostel-weissbier-hell-53-nhap-khau-duc-1-lon-500ml-i2817915865.html")</f>
        <v>https://www.lazada.vn/products/bia-apostel-weissbier-hell-53-nhap-khau-duc-1-lon-500ml-i2817915865.html</v>
      </c>
      <c r="C8471" s="10" t="s">
        <v>8471</v>
      </c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>
      <c r="A8472" s="8">
        <v>13326.0</v>
      </c>
      <c r="B8472" s="9" t="str">
        <f>HYPERLINK("https://www.lazada.vn/products/banh-quy-gion-mix-hat-dinh-duong-vi-hanh-nhan-hat-dieu-dua-gion-hop-340gr-43-45-banh-i2827322861.html", "https://www.lazada.vn/products/banh-quy-gion-mix-hat-dinh-duong-vi-hanh-nhan-hat-dieu-dua-gion-hop-340gr-43-45-banh-i2827322861.html")</f>
        <v>https://www.lazada.vn/products/banh-quy-gion-mix-hat-dinh-duong-vi-hanh-nhan-hat-dieu-dua-gion-hop-340gr-43-45-banh-i2827322861.html</v>
      </c>
      <c r="C8472" s="10" t="s">
        <v>8472</v>
      </c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>
      <c r="A8473" s="8">
        <v>13327.0</v>
      </c>
      <c r="B8473" s="9" t="str">
        <f>HYPERLINK("https://www.lazada.vn/products/hop-tra-sua-tran-chau-hoang-kim-hillway-280g-i2627086471.html", "https://www.lazada.vn/products/hop-tra-sua-tran-chau-hoang-kim-hillway-280g-i2627086471.html")</f>
        <v>https://www.lazada.vn/products/hop-tra-sua-tran-chau-hoang-kim-hillway-280g-i2627086471.html</v>
      </c>
      <c r="C8473" s="10" t="s">
        <v>8473</v>
      </c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>
      <c r="A8474" s="8">
        <v>13328.0</v>
      </c>
      <c r="B8474" s="9" t="str">
        <f>HYPERLINK("https://www.lazada.vn/products/gion-ngon-combo-1000g-keo-socola-chuoi-keo-socola-gion-hinh-qua-chuoi-thom-ngon-an-vat-cuc-da-i2871846389.html", "https://www.lazada.vn/products/gion-ngon-combo-1000g-keo-socola-chuoi-keo-socola-gion-hinh-qua-chuoi-thom-ngon-an-vat-cuc-da-i2871846389.html")</f>
        <v>https://www.lazada.vn/products/gion-ngon-combo-1000g-keo-socola-chuoi-keo-socola-gion-hinh-qua-chuoi-thom-ngon-an-vat-cuc-da-i2871846389.html</v>
      </c>
      <c r="C8474" s="10" t="s">
        <v>8474</v>
      </c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>
      <c r="A8475" s="8">
        <v>13329.0</v>
      </c>
      <c r="B8475" s="9" t="str">
        <f>HYPERLINK("https://www.lazada.vn/products/chinh-hang-vien-nen-ca-gai-leo-va-cay-mat-nhan-tay-bac-99-i2647035170.html", "https://www.lazada.vn/products/chinh-hang-vien-nen-ca-gai-leo-va-cay-mat-nhan-tay-bac-99-i2647035170.html")</f>
        <v>https://www.lazada.vn/products/chinh-hang-vien-nen-ca-gai-leo-va-cay-mat-nhan-tay-bac-99-i2647035170.html</v>
      </c>
      <c r="C8475" s="10" t="s">
        <v>8475</v>
      </c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>
      <c r="A8476" s="8">
        <v>13330.0</v>
      </c>
      <c r="B8476" s="9" t="str">
        <f>HYPERLINK("https://www.lazada.vn/products/khoai-mon-soi-tam-vi-hanh-vi-cua-an-vat-sieu-ngon-beo-gion-rum-dac-san-ngon-la-da-lat-i2652599620.html", "https://www.lazada.vn/products/khoai-mon-soi-tam-vi-hanh-vi-cua-an-vat-sieu-ngon-beo-gion-rum-dac-san-ngon-la-da-lat-i2652599620.html")</f>
        <v>https://www.lazada.vn/products/khoai-mon-soi-tam-vi-hanh-vi-cua-an-vat-sieu-ngon-beo-gion-rum-dac-san-ngon-la-da-lat-i2652599620.html</v>
      </c>
      <c r="C8476" s="10" t="s">
        <v>8476</v>
      </c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>
      <c r="A8477" s="8">
        <v>13331.0</v>
      </c>
      <c r="B8477" s="9" t="str">
        <f>HYPERLINK("https://www.lazada.vn/products/bia-apostel-weissbier-dunkel-53-nhap-khau-duc-1-lon-500ml-i2817906802.html", "https://www.lazada.vn/products/bia-apostel-weissbier-dunkel-53-nhap-khau-duc-1-lon-500ml-i2817906802.html")</f>
        <v>https://www.lazada.vn/products/bia-apostel-weissbier-dunkel-53-nhap-khau-duc-1-lon-500ml-i2817906802.html</v>
      </c>
      <c r="C8477" s="10" t="s">
        <v>8477</v>
      </c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>
      <c r="A8478" s="8">
        <v>13332.0</v>
      </c>
      <c r="B8478" s="9" t="str">
        <f>HYPERLINK("https://www.lazada.vn/products/tang-muong-go-don-450kyen-thi-goi-qua-tang-10-hu-yen-goi-mix-1-yen-sao-nha-trang-30-yen-hu-70ml-i2624811658.html", "https://www.lazada.vn/products/tang-muong-go-don-450kyen-thi-goi-qua-tang-10-hu-yen-goi-mix-1-yen-sao-nha-trang-30-yen-hu-70ml-i2624811658.html")</f>
        <v>https://www.lazada.vn/products/tang-muong-go-don-450kyen-thi-goi-qua-tang-10-hu-yen-goi-mix-1-yen-sao-nha-trang-30-yen-hu-70ml-i2624811658.html</v>
      </c>
      <c r="C8478" s="10" t="s">
        <v>8478</v>
      </c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>
      <c r="A8479" s="8">
        <v>13333.0</v>
      </c>
      <c r="B8479" s="9" t="str">
        <f>HYPERLINK("https://www.lazada.vn/products/banh-snack-khoai-tay-swing-orion-chon-vi-nhan-shop-i2651995507.html", "https://www.lazada.vn/products/banh-snack-khoai-tay-swing-orion-chon-vi-nhan-shop-i2651995507.html")</f>
        <v>https://www.lazada.vn/products/banh-snack-khoai-tay-swing-orion-chon-vi-nhan-shop-i2651995507.html</v>
      </c>
      <c r="C8479" s="10" t="s">
        <v>8479</v>
      </c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>
      <c r="A8480" s="8">
        <v>13334.0</v>
      </c>
      <c r="B8480" s="9" t="str">
        <f>HYPERLINK("https://www.lazada.vn/products/ca-phe-oldtown-white-coffee-malaysia-vi-truyen-thong-old-town-white-coffee-classic-35g-x-15-goi-beucci-shop-i2645266013.html", "https://www.lazada.vn/products/ca-phe-oldtown-white-coffee-malaysia-vi-truyen-thong-old-town-white-coffee-classic-35g-x-15-goi-beucci-shop-i2645266013.html")</f>
        <v>https://www.lazada.vn/products/ca-phe-oldtown-white-coffee-malaysia-vi-truyen-thong-old-town-white-coffee-classic-35g-x-15-goi-beucci-shop-i2645266013.html</v>
      </c>
      <c r="C8480" s="10" t="s">
        <v>8480</v>
      </c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>
      <c r="A8481" s="8">
        <v>13335.0</v>
      </c>
      <c r="B8481" s="9" t="str">
        <f>HYPERLINK("https://www.lazada.vn/products/nhau-ngam-duong-cat-mat-mia-2-ky-may-i2673790348.html", "https://www.lazada.vn/products/nhau-ngam-duong-cat-mat-mia-2-ky-may-i2673790348.html")</f>
        <v>https://www.lazada.vn/products/nhau-ngam-duong-cat-mat-mia-2-ky-may-i2673790348.html</v>
      </c>
      <c r="C8481" s="10" t="s">
        <v>8481</v>
      </c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>
      <c r="A8482" s="8">
        <v>13336.0</v>
      </c>
      <c r="B8482" s="9" t="str">
        <f>HYPERLINK("https://www.lazada.vn/products/hu-tieu-sa-dec-chon-loc-dac-biet-1-san-pham-la-1kg-i1730428265.html", "https://www.lazada.vn/products/hu-tieu-sa-dec-chon-loc-dac-biet-1-san-pham-la-1kg-i1730428265.html")</f>
        <v>https://www.lazada.vn/products/hu-tieu-sa-dec-chon-loc-dac-biet-1-san-pham-la-1kg-i1730428265.html</v>
      </c>
      <c r="C8482" s="10" t="s">
        <v>8482</v>
      </c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>
      <c r="A8483" s="8">
        <v>13337.0</v>
      </c>
      <c r="B8483" s="9" t="str">
        <f>HYPERLINK("https://www.lazada.vn/products/thung-hu-tieu-bo-kho-vifon-30-goi-65g-i2742005911.html", "https://www.lazada.vn/products/thung-hu-tieu-bo-kho-vifon-30-goi-65g-i2742005911.html")</f>
        <v>https://www.lazada.vn/products/thung-hu-tieu-bo-kho-vifon-30-goi-65g-i2742005911.html</v>
      </c>
      <c r="C8483" s="10" t="s">
        <v>8483</v>
      </c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>
      <c r="A8484" s="8">
        <v>13338.0</v>
      </c>
      <c r="B8484" s="9" t="str">
        <f>HYPERLINK("https://www.lazada.vn/products/combo-3-vi-luong-kho-sbt-tran-bi-matcha-oc-cho-tui-500gr-i2963439386.html", "https://www.lazada.vn/products/combo-3-vi-luong-kho-sbt-tran-bi-matcha-oc-cho-tui-500gr-i2963439386.html")</f>
        <v>https://www.lazada.vn/products/combo-3-vi-luong-kho-sbt-tran-bi-matcha-oc-cho-tui-500gr-i2963439386.html</v>
      </c>
      <c r="C8484" s="10" t="s">
        <v>8484</v>
      </c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>
      <c r="A8485" s="8">
        <v>13339.0</v>
      </c>
      <c r="B8485" s="9" t="str">
        <f>HYPERLINK("https://www.lazada.vn/products/bot-ca-cao-sua-hoa-tan-3in1-cacaomi-dam-da-vi-cacao-nguyen-chat-thom-ngon-chuyen-pha-che-socola-chocolate-nong-tra-sua-milo-dam-1kg-i1267626825.html", "https://www.lazada.vn/products/bot-ca-cao-sua-hoa-tan-3in1-cacaomi-dam-da-vi-cacao-nguyen-chat-thom-ngon-chuyen-pha-che-socola-chocolate-nong-tra-sua-milo-dam-1kg-i1267626825.html")</f>
        <v>https://www.lazada.vn/products/bot-ca-cao-sua-hoa-tan-3in1-cacaomi-dam-da-vi-cacao-nguyen-chat-thom-ngon-chuyen-pha-che-socola-chocolate-nong-tra-sua-milo-dam-1kg-i1267626825.html</v>
      </c>
      <c r="C8485" s="10" t="s">
        <v>8485</v>
      </c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>
      <c r="A8486" s="8">
        <v>13340.0</v>
      </c>
      <c r="B8486" s="9" t="str">
        <f>HYPERLINK("https://www.lazada.vn/products/ruou-vang-vermouth-la-copa-blanco-nong-do-alc-15-750ml-i2599534647.html", "https://www.lazada.vn/products/ruou-vang-vermouth-la-copa-blanco-nong-do-alc-15-750ml-i2599534647.html")</f>
        <v>https://www.lazada.vn/products/ruou-vang-vermouth-la-copa-blanco-nong-do-alc-15-750ml-i2599534647.html</v>
      </c>
      <c r="C8486" s="10" t="s">
        <v>8486</v>
      </c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>
      <c r="A8487" s="8">
        <v>13341.0</v>
      </c>
      <c r="B8487" s="9" t="str">
        <f>HYPERLINK("https://www.lazada.vn/products/thung-24-chai-nuoc-giai-khat-mirinda-cam-390mlchai-i2040875289.html", "https://www.lazada.vn/products/thung-24-chai-nuoc-giai-khat-mirinda-cam-390mlchai-i2040875289.html")</f>
        <v>https://www.lazada.vn/products/thung-24-chai-nuoc-giai-khat-mirinda-cam-390mlchai-i2040875289.html</v>
      </c>
      <c r="C8487" s="10" t="s">
        <v>8487</v>
      </c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>
      <c r="A8488" s="8">
        <v>13342.0</v>
      </c>
      <c r="B8488" s="9" t="str">
        <f>HYPERLINK("https://www.lazada.vn/products/nuoc-uong-chong-say-tau-xe-han-quoc-hop-mau-xanh-30-chai-i1946755215.html", "https://www.lazada.vn/products/nuoc-uong-chong-say-tau-xe-han-quoc-hop-mau-xanh-30-chai-i1946755215.html")</f>
        <v>https://www.lazada.vn/products/nuoc-uong-chong-say-tau-xe-han-quoc-hop-mau-xanh-30-chai-i1946755215.html</v>
      </c>
      <c r="C8488" s="10" t="s">
        <v>8488</v>
      </c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>
      <c r="A8489" s="8">
        <v>13343.0</v>
      </c>
      <c r="B8489" s="9" t="str">
        <f>HYPERLINK("https://www.lazada.vn/products/keo-sam-gung-sam-que-200g-han-quoc-i2704044857.html", "https://www.lazada.vn/products/keo-sam-gung-sam-que-200g-han-quoc-i2704044857.html")</f>
        <v>https://www.lazada.vn/products/keo-sam-gung-sam-que-200g-han-quoc-i2704044857.html</v>
      </c>
      <c r="C8489" s="10" t="s">
        <v>8489</v>
      </c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>
      <c r="A8490" s="8">
        <v>13344.0</v>
      </c>
      <c r="B8490" s="9" t="str">
        <f>HYPERLINK("https://www.lazada.vn/products/banh-trang-phoi-suong-combo-than-thanh-15kg-do-an-vat-nhu-ngoc-gom-300g-bt-phoi-suong-300g-bt-deo-tom-400g-bo-beo-300g-tom-hanh-phi-loai-1-150g-sot-me-tang-2-bich-muoi-tom-nhuyen-tay-ninh-50g-thom-ngon-i2258159785.html", "https://www.lazada.vn/products/banh-trang-phoi-suong-combo-than-thanh-15kg-do-an-vat-nhu-ngoc-gom-300g-bt-phoi-suong-300g-bt-deo-tom-400g-bo-beo-300g-tom-hanh-phi-loai-1-150g-sot-me-tang-2-bich-muoi-tom-nhuyen-tay-ninh-50g-thom-ngon-i2258159785.html")</f>
        <v>https://www.lazada.vn/products/banh-trang-phoi-suong-combo-than-thanh-15kg-do-an-vat-nhu-ngoc-gom-300g-bt-phoi-suong-300g-bt-deo-tom-400g-bo-beo-300g-tom-hanh-phi-loai-1-150g-sot-me-tang-2-bich-muoi-tom-nhuyen-tay-ninh-50g-thom-ngon-i2258159785.html</v>
      </c>
      <c r="C8490" s="10" t="s">
        <v>8490</v>
      </c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>
      <c r="A8491" s="8">
        <v>13345.0</v>
      </c>
      <c r="B8491" s="9" t="str">
        <f>HYPERLINK("https://www.lazada.vn/products/sieu-sale-sinh-to-dou-xian-chai-1l-du-mui-i2426543305.html", "https://www.lazada.vn/products/sieu-sale-sinh-to-dou-xian-chai-1l-du-mui-i2426543305.html")</f>
        <v>https://www.lazada.vn/products/sieu-sale-sinh-to-dou-xian-chai-1l-du-mui-i2426543305.html</v>
      </c>
      <c r="C8491" s="10" t="s">
        <v>8491</v>
      </c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>
      <c r="A8492" s="8">
        <v>13346.0</v>
      </c>
      <c r="B8492" s="9" t="str">
        <f>HYPERLINK("https://www.lazada.vn/products/hcm-500g-thach-zai-mix-du-vi-ngon-hon-khi-an-lanh-cong-ty-duc-hanh-i2042982888.html", "https://www.lazada.vn/products/hcm-500g-thach-zai-mix-du-vi-ngon-hon-khi-an-lanh-cong-ty-duc-hanh-i2042982888.html")</f>
        <v>https://www.lazada.vn/products/hcm-500g-thach-zai-mix-du-vi-ngon-hon-khi-an-lanh-cong-ty-duc-hanh-i2042982888.html</v>
      </c>
      <c r="C8492" s="10" t="s">
        <v>8492</v>
      </c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>
      <c r="A8493" s="8">
        <v>13347.0</v>
      </c>
      <c r="B8493" s="9" t="str">
        <f>HYPERLINK("https://www.lazada.vn/products/compo-5-banh-mi-tuoi-nhan-sua-chua-sieu-mem-shika-goi-85g-i2545239961.html", "https://www.lazada.vn/products/compo-5-banh-mi-tuoi-nhan-sua-chua-sieu-mem-shika-goi-85g-i2545239961.html")</f>
        <v>https://www.lazada.vn/products/compo-5-banh-mi-tuoi-nhan-sua-chua-sieu-mem-shika-goi-85g-i2545239961.html</v>
      </c>
      <c r="C8493" s="10" t="s">
        <v>8493</v>
      </c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>
      <c r="A8494" s="8">
        <v>13348.0</v>
      </c>
      <c r="B8494" s="9" t="str">
        <f>HYPERLINK("https://www.lazada.vn/products/freshcat-fish-diet-cat-strip-snacks-nutritious-chicken-fish-meat-for-kittens-liquid-food-main-course-whole-box-hydration-i2947133120.html", "https://www.lazada.vn/products/freshcat-fish-diet-cat-strip-snacks-nutritious-chicken-fish-meat-for-kittens-liquid-food-main-course-whole-box-hydration-i2947133120.html")</f>
        <v>https://www.lazada.vn/products/freshcat-fish-diet-cat-strip-snacks-nutritious-chicken-fish-meat-for-kittens-liquid-food-main-course-whole-box-hydration-i2947133120.html</v>
      </c>
      <c r="C8494" s="10" t="s">
        <v>8494</v>
      </c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>
      <c r="A8495" s="8">
        <v>13349.0</v>
      </c>
      <c r="B8495" s="9" t="str">
        <f>HYPERLINK("https://www.lazada.vn/products/bich-chi-tui-300g-khong-duong-bot-me-den-hat-sen-vn-black-sesame-powder-with-lotus-seed-i2633326194.html", "https://www.lazada.vn/products/bich-chi-tui-300g-khong-duong-bot-me-den-hat-sen-vn-black-sesame-powder-with-lotus-seed-i2633326194.html")</f>
        <v>https://www.lazada.vn/products/bich-chi-tui-300g-khong-duong-bot-me-den-hat-sen-vn-black-sesame-powder-with-lotus-seed-i2633326194.html</v>
      </c>
      <c r="C8495" s="10" t="s">
        <v>8495</v>
      </c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>
      <c r="A8496" s="8">
        <v>13350.0</v>
      </c>
      <c r="B8496" s="9" t="str">
        <f>HYPERLINK("https://www.lazada.vn/products/bo-do-an-cho-meo-kairisi-fish-oil-cat-strip-chicken-strip-hair-shedding-prevention-all-stage-cat-treats-snacks-i2946995901.html", "https://www.lazada.vn/products/bo-do-an-cho-meo-kairisi-fish-oil-cat-strip-chicken-strip-hair-shedding-prevention-all-stage-cat-treats-snacks-i2946995901.html")</f>
        <v>https://www.lazada.vn/products/bo-do-an-cho-meo-kairisi-fish-oil-cat-strip-chicken-strip-hair-shedding-prevention-all-stage-cat-treats-snacks-i2946995901.html</v>
      </c>
      <c r="C8496" s="10" t="s">
        <v>8496</v>
      </c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>
      <c r="A8497" s="8">
        <v>13351.0</v>
      </c>
      <c r="B8497" s="9" t="str">
        <f>HYPERLINK("https://www.lazada.vn/products/keo-socola-dua-nhan-hanh-nhan-raffaello-150g-duc-i2866336289.html", "https://www.lazada.vn/products/keo-socola-dua-nhan-hanh-nhan-raffaello-150g-duc-i2866336289.html")</f>
        <v>https://www.lazada.vn/products/keo-socola-dua-nhan-hanh-nhan-raffaello-150g-duc-i2866336289.html</v>
      </c>
      <c r="C8497" s="10" t="s">
        <v>8497</v>
      </c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>
      <c r="A8498" s="8">
        <v>13352.0</v>
      </c>
      <c r="B8498" s="9" t="str">
        <f>HYPERLINK("https://www.lazada.vn/products/khoai-lang-vang-soi-say-gion-ntfood-hu-300gr-nhat-tin-food-i2842336483.html", "https://www.lazada.vn/products/khoai-lang-vang-soi-say-gion-ntfood-hu-300gr-nhat-tin-food-i2842336483.html")</f>
        <v>https://www.lazada.vn/products/khoai-lang-vang-soi-say-gion-ntfood-hu-300gr-nhat-tin-food-i2842336483.html</v>
      </c>
      <c r="C8498" s="10" t="s">
        <v>8498</v>
      </c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>
      <c r="A8499" s="8">
        <v>13353.0</v>
      </c>
      <c r="B8499" s="9" t="str">
        <f>HYPERLINK("https://www.lazada.vn/products/banh-gau-nhan-socola-thai-lan-hop-thiec-430g-i2826389012.html", "https://www.lazada.vn/products/banh-gau-nhan-socola-thai-lan-hop-thiec-430g-i2826389012.html")</f>
        <v>https://www.lazada.vn/products/banh-gau-nhan-socola-thai-lan-hop-thiec-430g-i2826389012.html</v>
      </c>
      <c r="C8499" s="10" t="s">
        <v>8499</v>
      </c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>
      <c r="A8500" s="8">
        <v>13354.0</v>
      </c>
      <c r="B8500" s="9" t="str">
        <f>HYPERLINK("https://www.lazada.vn/products/lowest-pricerefreshing-1-thung-bia-corny-khoa-khilong-ngat-ket-noi-cho-bia-nha-kieu-cornelius-i2817579341.html", "https://www.lazada.vn/products/lowest-pricerefreshing-1-thung-bia-corny-khoa-khilong-ngat-ket-noi-cho-bia-nha-kieu-cornelius-i2817579341.html")</f>
        <v>https://www.lazada.vn/products/lowest-pricerefreshing-1-thung-bia-corny-khoa-khilong-ngat-ket-noi-cho-bia-nha-kieu-cornelius-i2817579341.html</v>
      </c>
      <c r="C8500" s="10" t="s">
        <v>8500</v>
      </c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>
      <c r="A8501" s="8">
        <v>13355.0</v>
      </c>
      <c r="B8501" s="9" t="str">
        <f>HYPERLINK("https://www.lazada.vn/products/banh-chocopie-orion-du-vithuong-dam-dua-hau-dao-xoai-matcha-i2963345886.html", "https://www.lazada.vn/products/banh-chocopie-orion-du-vithuong-dam-dua-hau-dao-xoai-matcha-i2963345886.html")</f>
        <v>https://www.lazada.vn/products/banh-chocopie-orion-du-vithuong-dam-dua-hau-dao-xoai-matcha-i2963345886.html</v>
      </c>
      <c r="C8501" s="10" t="s">
        <v>8501</v>
      </c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>
      <c r="A8502" s="8">
        <v>13356.0</v>
      </c>
      <c r="B8502" s="9" t="str">
        <f>HYPERLINK("https://www.lazada.vn/products/keo-socolate-mm-milk-sieu-ngon-nhap-nguyen-hop-18kg-cua-my-i2865832668.html", "https://www.lazada.vn/products/keo-socolate-mm-milk-sieu-ngon-nhap-nguyen-hop-18kg-cua-my-i2865832668.html")</f>
        <v>https://www.lazada.vn/products/keo-socolate-mm-milk-sieu-ngon-nhap-nguyen-hop-18kg-cua-my-i2865832668.html</v>
      </c>
      <c r="C8502" s="10" t="s">
        <v>8502</v>
      </c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>
      <c r="A8503" s="8">
        <v>13357.0</v>
      </c>
      <c r="B8503" s="9" t="str">
        <f>HYPERLINK("https://www.lazada.vn/products/khoai-sam-say-deo-500gr-i2842090853.html", "https://www.lazada.vn/products/khoai-sam-say-deo-500gr-i2842090853.html")</f>
        <v>https://www.lazada.vn/products/khoai-sam-say-deo-500gr-i2842090853.html</v>
      </c>
      <c r="C8503" s="10" t="s">
        <v>8503</v>
      </c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>
      <c r="A8504" s="8">
        <v>13358.0</v>
      </c>
      <c r="B8504" s="9" t="str">
        <f>HYPERLINK("https://www.lazada.vn/products/hat-no-thach-no-cu-nang-mau-hong-lon-850g-i2623066879.html", "https://www.lazada.vn/products/hat-no-thach-no-cu-nang-mau-hong-lon-850g-i2623066879.html")</f>
        <v>https://www.lazada.vn/products/hat-no-thach-no-cu-nang-mau-hong-lon-850g-i2623066879.html</v>
      </c>
      <c r="C8504" s="10" t="s">
        <v>8504</v>
      </c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>
      <c r="A8505" s="8">
        <v>13359.0</v>
      </c>
      <c r="B8505" s="9" t="str">
        <f>HYPERLINK("https://www.lazada.vn/products/ca-phe-trang-oldtown-white-coffee-malaysia-it-duong-old-town-white-coffee-less-sugar-35g-x-15-goi-beucci-i2645077677.html", "https://www.lazada.vn/products/ca-phe-trang-oldtown-white-coffee-malaysia-it-duong-old-town-white-coffee-less-sugar-35g-x-15-goi-beucci-i2645077677.html")</f>
        <v>https://www.lazada.vn/products/ca-phe-trang-oldtown-white-coffee-malaysia-it-duong-old-town-white-coffee-less-sugar-35g-x-15-goi-beucci-i2645077677.html</v>
      </c>
      <c r="C8505" s="10" t="s">
        <v>8505</v>
      </c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>
      <c r="A8506" s="8">
        <v>13360.0</v>
      </c>
      <c r="B8506" s="9" t="str">
        <f>HYPERLINK("https://www.lazada.vn/products/thung-30-goi-pho-bo-pho-ga-vifon-65g-i2741257847.html", "https://www.lazada.vn/products/thung-30-goi-pho-bo-pho-ga-vifon-65g-i2741257847.html")</f>
        <v>https://www.lazada.vn/products/thung-30-goi-pho-bo-pho-ga-vifon-65g-i2741257847.html</v>
      </c>
      <c r="C8506" s="10" t="s">
        <v>8506</v>
      </c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>
      <c r="A8507" s="8">
        <v>13361.0</v>
      </c>
      <c r="B8507" s="9" t="str">
        <f>HYPERLINK("https://www.lazada.vn/products/1kg-bap-say-kho-bo-la-chanh-tui-zip-do-an-vat-ngon-shop-haimy-i2649658717.html", "https://www.lazada.vn/products/1kg-bap-say-kho-bo-la-chanh-tui-zip-do-an-vat-ngon-shop-haimy-i2649658717.html")</f>
        <v>https://www.lazada.vn/products/1kg-bap-say-kho-bo-la-chanh-tui-zip-do-an-vat-ngon-shop-haimy-i2649658717.html</v>
      </c>
      <c r="C8507" s="10" t="s">
        <v>8507</v>
      </c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>
      <c r="A8508" s="8">
        <v>13362.0</v>
      </c>
      <c r="B8508" s="9" t="str">
        <f>HYPERLINK("https://www.lazada.vn/products/bot-chanh-knorr-100gr-i2671643574.html", "https://www.lazada.vn/products/bot-chanh-knorr-100gr-i2671643574.html")</f>
        <v>https://www.lazada.vn/products/bot-chanh-knorr-100gr-i2671643574.html</v>
      </c>
      <c r="C8508" s="10" t="s">
        <v>8508</v>
      </c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>
      <c r="A8509" s="8">
        <v>13363.0</v>
      </c>
      <c r="B8509" s="9" t="str">
        <f>HYPERLINK("https://www.lazada.vn/products/cay-nem-chua-la-oi-dac-san-cho-huyen-binh-dinh-net-200gr-i1726629503.html", "https://www.lazada.vn/products/cay-nem-chua-la-oi-dac-san-cho-huyen-binh-dinh-net-200gr-i1726629503.html")</f>
        <v>https://www.lazada.vn/products/cay-nem-chua-la-oi-dac-san-cho-huyen-binh-dinh-net-200gr-i1726629503.html</v>
      </c>
      <c r="C8509" s="10" t="s">
        <v>8509</v>
      </c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>
      <c r="A8510" s="8">
        <v>13364.0</v>
      </c>
      <c r="B8510" s="9" t="str">
        <f>HYPERLINK("https://www.lazada.vn/products/loc-mi-koreno-jumbo-vi-bo-cay-100g-x-10goi-loc-i2740994664.html", "https://www.lazada.vn/products/loc-mi-koreno-jumbo-vi-bo-cay-100g-x-10goi-loc-i2740994664.html")</f>
        <v>https://www.lazada.vn/products/loc-mi-koreno-jumbo-vi-bo-cay-100g-x-10goi-loc-i2740994664.html</v>
      </c>
      <c r="C8510" s="10" t="s">
        <v>8510</v>
      </c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>
      <c r="A8511" s="8">
        <v>13365.0</v>
      </c>
      <c r="B8511" s="9" t="str">
        <f>HYPERLINK("https://www.lazada.vn/products/ruou-vang-vermouth-la-copa-extra-seco-nong-do-alc-17-750ml-i2599189487.html", "https://www.lazada.vn/products/ruou-vang-vermouth-la-copa-extra-seco-nong-do-alc-17-750ml-i2599189487.html")</f>
        <v>https://www.lazada.vn/products/ruou-vang-vermouth-la-copa-extra-seco-nong-do-alc-17-750ml-i2599189487.html</v>
      </c>
      <c r="C8511" s="10" t="s">
        <v>8511</v>
      </c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>
      <c r="A8512" s="8">
        <v>13366.0</v>
      </c>
      <c r="B8512" s="9" t="str">
        <f>HYPERLINK("https://www.lazada.vn/products/bot-cacao-sua-3in1-dam-da-vi-ca-cao-nguyen-chat-cacaomi-dung-pha-che-thuc-uong-socola-nong-tra-sua-milo-dam-lam-banh-thom-ngon-250g-i1267620869.html", "https://www.lazada.vn/products/bot-cacao-sua-3in1-dam-da-vi-ca-cao-nguyen-chat-cacaomi-dung-pha-che-thuc-uong-socola-nong-tra-sua-milo-dam-lam-banh-thom-ngon-250g-i1267620869.html")</f>
        <v>https://www.lazada.vn/products/bot-cacao-sua-3in1-dam-da-vi-ca-cao-nguyen-chat-cacaomi-dung-pha-che-thuc-uong-socola-nong-tra-sua-milo-dam-lam-banh-thom-ngon-250g-i1267620869.html</v>
      </c>
      <c r="C8512" s="10" t="s">
        <v>8512</v>
      </c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>
      <c r="A8513" s="8">
        <v>13367.0</v>
      </c>
      <c r="B8513" s="9" t="str">
        <f>HYPERLINK("https://www.lazada.vn/products/thung-24-chai-nuoc-ngot-co-gaz-7up-390mlchai-i2040827427.html", "https://www.lazada.vn/products/thung-24-chai-nuoc-ngot-co-gaz-7up-390mlchai-i2040827427.html")</f>
        <v>https://www.lazada.vn/products/thung-24-chai-nuoc-ngot-co-gaz-7up-390mlchai-i2040827427.html</v>
      </c>
      <c r="C8513" s="10" t="s">
        <v>8513</v>
      </c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>
      <c r="A8514" s="8">
        <v>13368.0</v>
      </c>
      <c r="B8514" s="9" t="str">
        <f>HYPERLINK("https://www.lazada.vn/products/giao-hang-2h-combo-3-nuoc-cot-ga-brands-vi-truyen-thong-i1870048777.html", "https://www.lazada.vn/products/giao-hang-2h-combo-3-nuoc-cot-ga-brands-vi-truyen-thong-i1870048777.html")</f>
        <v>https://www.lazada.vn/products/giao-hang-2h-combo-3-nuoc-cot-ga-brands-vi-truyen-thong-i1870048777.html</v>
      </c>
      <c r="C8514" s="10" t="s">
        <v>8514</v>
      </c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>
      <c r="A8515" s="8">
        <v>13369.0</v>
      </c>
      <c r="B8515" s="9" t="str">
        <f>HYPERLINK("https://www.lazada.vn/products/vang-y-terre-di-mario-i2478296471.html", "https://www.lazada.vn/products/vang-y-terre-di-mario-i2478296471.html")</f>
        <v>https://www.lazada.vn/products/vang-y-terre-di-mario-i2478296471.html</v>
      </c>
      <c r="C8515" s="10" t="s">
        <v>8515</v>
      </c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>
      <c r="A8516" s="8">
        <v>13370.0</v>
      </c>
      <c r="B8516" s="9" t="str">
        <f>HYPERLINK("https://www.lazada.vn/products/keo-hat-dieu-banh-da-le-trang-dac-san-tay-ninh-1-bich-2-mieng-i2669825010.html", "https://www.lazada.vn/products/keo-hat-dieu-banh-da-le-trang-dac-san-tay-ninh-1-bich-2-mieng-i2669825010.html")</f>
        <v>https://www.lazada.vn/products/keo-hat-dieu-banh-da-le-trang-dac-san-tay-ninh-1-bich-2-mieng-i2669825010.html</v>
      </c>
      <c r="C8516" s="10" t="s">
        <v>8516</v>
      </c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>
      <c r="A8517" s="8">
        <v>13371.0</v>
      </c>
      <c r="B8517" s="9" t="str">
        <f>HYPERLINK("https://www.lazada.vn/products/banh-xoai-banh-trang-xoai-dac-san-nha-trang-bich-110gr-i2254261226.html", "https://www.lazada.vn/products/banh-xoai-banh-trang-xoai-dac-san-nha-trang-bich-110gr-i2254261226.html")</f>
        <v>https://www.lazada.vn/products/banh-xoai-banh-trang-xoai-dac-san-nha-trang-bich-110gr-i2254261226.html</v>
      </c>
      <c r="C8517" s="10" t="s">
        <v>8517</v>
      </c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>
      <c r="A8518" s="8">
        <v>13372.0</v>
      </c>
      <c r="B8518" s="9" t="str">
        <f>HYPERLINK("https://www.lazada.vn/products/10-banh-ruoc-ca-ruoc-gau-sieu-ngon-i2545083579.html", "https://www.lazada.vn/products/10-banh-ruoc-ca-ruoc-gau-sieu-ngon-i2545083579.html")</f>
        <v>https://www.lazada.vn/products/10-banh-ruoc-ca-ruoc-gau-sieu-ngon-i2545083579.html</v>
      </c>
      <c r="C8518" s="10" t="s">
        <v>8518</v>
      </c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>
      <c r="A8519" s="8">
        <v>13373.0</v>
      </c>
      <c r="B8519" s="9" t="str">
        <f>HYPERLINK("https://www.lazada.vn/products/hcm-1-kg-thach-zai-mix-du-vi-ngon-hon-khi-an-lanh-cong-ty-duc-hanh-i2042942554.html", "https://www.lazada.vn/products/hcm-1-kg-thach-zai-mix-du-vi-ngon-hon-khi-an-lanh-cong-ty-duc-hanh-i2042942554.html")</f>
        <v>https://www.lazada.vn/products/hcm-1-kg-thach-zai-mix-du-vi-ngon-hon-khi-an-lanh-cong-ty-duc-hanh-i2042942554.html</v>
      </c>
      <c r="C8519" s="10" t="s">
        <v>8519</v>
      </c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>
      <c r="A8520" s="8">
        <v>13374.0</v>
      </c>
      <c r="B8520" s="9" t="str">
        <f>HYPERLINK("https://www.lazada.vn/products/bich-chi-tui-xduong-350g-bot-5-thu-dau-hat-sen-vn-five-bean-powder-with-lotus-seed-i2633239067.html", "https://www.lazada.vn/products/bich-chi-tui-xduong-350g-bot-5-thu-dau-hat-sen-vn-five-bean-powder-with-lotus-seed-i2633239067.html")</f>
        <v>https://www.lazada.vn/products/bich-chi-tui-xduong-350g-bot-5-thu-dau-hat-sen-vn-five-bean-powder-with-lotus-seed-i2633239067.html</v>
      </c>
      <c r="C8520" s="10" t="s">
        <v>8520</v>
      </c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>
      <c r="A8521" s="8">
        <v>13375.0</v>
      </c>
      <c r="B8521" s="9" t="str">
        <f>HYPERLINK("https://www.lazada.vn/products/syrup-torani-chai-750ml-i2426090144.html", "https://www.lazada.vn/products/syrup-torani-chai-750ml-i2426090144.html")</f>
        <v>https://www.lazada.vn/products/syrup-torani-chai-750ml-i2426090144.html</v>
      </c>
      <c r="C8521" s="10" t="s">
        <v>8521</v>
      </c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>
      <c r="A8522" s="8">
        <v>13376.0</v>
      </c>
      <c r="B8522" s="9" t="str">
        <f>HYPERLINK("https://www.lazada.vn/products/vang-y-19-diamond-i2478169907.html", "https://www.lazada.vn/products/vang-y-19-diamond-i2478169907.html")</f>
        <v>https://www.lazada.vn/products/vang-y-19-diamond-i2478169907.html</v>
      </c>
      <c r="C8522" s="10" t="s">
        <v>8522</v>
      </c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>
      <c r="A8523" s="8">
        <v>13377.0</v>
      </c>
      <c r="B8523" s="9" t="str">
        <f>HYPERLINK("https://www.lazada.vn/products/pikapoo-cat-strip-100-sticks-large-pack-fresh-meat-soup-meat-paste-liquid-cat-strip-all-price-wet-food-for-kittens-and-adult-cats-i2946367252.html", "https://www.lazada.vn/products/pikapoo-cat-strip-100-sticks-large-pack-fresh-meat-soup-meat-paste-liquid-cat-strip-all-price-wet-food-for-kittens-and-adult-cats-i2946367252.html")</f>
        <v>https://www.lazada.vn/products/pikapoo-cat-strip-100-sticks-large-pack-fresh-meat-soup-meat-paste-liquid-cat-strip-all-price-wet-food-for-kittens-and-adult-cats-i2946367252.html</v>
      </c>
      <c r="C8523" s="10" t="s">
        <v>8523</v>
      </c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>
      <c r="A8524" s="8">
        <v>13378.0</v>
      </c>
      <c r="B8524" s="9" t="str">
        <f>HYPERLINK("https://www.lazada.vn/products/vang-ngot-terracina-i2478163409.html", "https://www.lazada.vn/products/vang-ngot-terracina-i2478163409.html")</f>
        <v>https://www.lazada.vn/products/vang-ngot-terracina-i2478163409.html</v>
      </c>
      <c r="C8524" s="10" t="s">
        <v>8524</v>
      </c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>
      <c r="A8525" s="8">
        <v>13379.0</v>
      </c>
      <c r="B8525" s="9" t="str">
        <f>HYPERLINK("https://www.lazada.vn/products/bellotta-wet-food-cat-snacks-bellotta-kittens-gurgling-sauce-meal-pack-wet-food-for-kittens-hair-beauty-skin-care-i2946367215.html", "https://www.lazada.vn/products/bellotta-wet-food-cat-snacks-bellotta-kittens-gurgling-sauce-meal-pack-wet-food-for-kittens-hair-beauty-skin-care-i2946367215.html")</f>
        <v>https://www.lazada.vn/products/bellotta-wet-food-cat-snacks-bellotta-kittens-gurgling-sauce-meal-pack-wet-food-for-kittens-hair-beauty-skin-care-i2946367215.html</v>
      </c>
      <c r="C8525" s="10" t="s">
        <v>8525</v>
      </c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>
      <c r="A8526" s="8">
        <v>13380.0</v>
      </c>
      <c r="B8526" s="9" t="str">
        <f>HYPERLINK("https://www.lazada.vn/products/9036-1pcs-od-10-mm-trang-pu-con-lan-voi-693-mang-3x10x4mm-pu69310-4-polyurethane-hinh-thanh-banh-xe-pu693-boc-lop-cao-su-rong-roc-i2812277739.html", "https://www.lazada.vn/products/9036-1pcs-od-10-mm-trang-pu-con-lan-voi-693-mang-3x10x4mm-pu69310-4-polyurethane-hinh-thanh-banh-xe-pu693-boc-lop-cao-su-rong-roc-i2812277739.html")</f>
        <v>https://www.lazada.vn/products/9036-1pcs-od-10-mm-trang-pu-con-lan-voi-693-mang-3x10x4mm-pu69310-4-polyurethane-hinh-thanh-banh-xe-pu693-boc-lop-cao-su-rong-roc-i2812277739.html</v>
      </c>
      <c r="C8526" s="10" t="s">
        <v>8526</v>
      </c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>
      <c r="A8527" s="8">
        <v>13381.0</v>
      </c>
      <c r="B8527" s="9" t="str">
        <f>HYPERLINK("https://www.lazada.vn/products/banh-phap-challot-hon-hop-trang-an-275g-i2826329030.html", "https://www.lazada.vn/products/banh-phap-challot-hon-hop-trang-an-275g-i2826329030.html")</f>
        <v>https://www.lazada.vn/products/banh-phap-challot-hon-hop-trang-an-275g-i2826329030.html</v>
      </c>
      <c r="C8527" s="10" t="s">
        <v>8527</v>
      </c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>
      <c r="A8528" s="8">
        <v>13382.0</v>
      </c>
      <c r="B8528" s="9" t="str">
        <f>HYPERLINK("https://www.lazada.vn/products/keo-socola-nhan-ruou-sua-balley-ngon-me-ly-hu-500g-i2864590071.html", "https://www.lazada.vn/products/keo-socola-nhan-ruou-sua-balley-ngon-me-ly-hu-500g-i2864590071.html")</f>
        <v>https://www.lazada.vn/products/keo-socola-nhan-ruou-sua-balley-ngon-me-ly-hu-500g-i2864590071.html</v>
      </c>
      <c r="C8528" s="10" t="s">
        <v>8528</v>
      </c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>
      <c r="A8529" s="8">
        <v>13383.0</v>
      </c>
      <c r="B8529" s="9" t="str">
        <f>HYPERLINK("https://www.lazada.vn/products/thach-rau-cau-si-ro-huong-trai-cay-7-vi-mua-1hop-tang-1-goi-i2962087940.html", "https://www.lazada.vn/products/thach-rau-cau-si-ro-huong-trai-cay-7-vi-mua-1hop-tang-1-goi-i2962087940.html")</f>
        <v>https://www.lazada.vn/products/thach-rau-cau-si-ro-huong-trai-cay-7-vi-mua-1hop-tang-1-goi-i2962087940.html</v>
      </c>
      <c r="C8529" s="10" t="s">
        <v>8529</v>
      </c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>
      <c r="A8530" s="8">
        <v>13384.0</v>
      </c>
      <c r="B8530" s="9" t="str">
        <f>HYPERLINK("https://www.lazada.vn/products/mi-ly-kokomi-tom-chua-cay-24-ly-x-65gr-i2905393263.html", "https://www.lazada.vn/products/mi-ly-kokomi-tom-chua-cay-24-ly-x-65gr-i2905393263.html")</f>
        <v>https://www.lazada.vn/products/mi-ly-kokomi-tom-chua-cay-24-ly-x-65gr-i2905393263.html</v>
      </c>
      <c r="C8530" s="10" t="s">
        <v>8530</v>
      </c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>
      <c r="A8531" s="8">
        <v>13385.0</v>
      </c>
      <c r="B8531" s="9" t="str">
        <f>HYPERLINK("https://www.lazada.vn/products/hang-uc-keo-socola-sua-nhan-mat-ong-va-hat-hanh-nhan-phien-ban-ti-hon-tiny-toblerone-hop-giay-sang-trong-120gr-i2864579409.html", "https://www.lazada.vn/products/hang-uc-keo-socola-sua-nhan-mat-ong-va-hat-hanh-nhan-phien-ban-ti-hon-tiny-toblerone-hop-giay-sang-trong-120gr-i2864579409.html")</f>
        <v>https://www.lazada.vn/products/hang-uc-keo-socola-sua-nhan-mat-ong-va-hat-hanh-nhan-phien-ban-ti-hon-tiny-toblerone-hop-giay-sang-trong-120gr-i2864579409.html</v>
      </c>
      <c r="C8531" s="10" t="s">
        <v>8531</v>
      </c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>
      <c r="A8532" s="8">
        <v>13386.0</v>
      </c>
      <c r="B8532" s="9" t="str">
        <f>HYPERLINK("https://www.lazada.vn/products/500gr1kg-mut-tao-thai-lan-mut-tao-deo-do-an-mut-tet-i2841652646.html", "https://www.lazada.vn/products/500gr1kg-mut-tao-thai-lan-mut-tao-deo-do-an-mut-tet-i2841652646.html")</f>
        <v>https://www.lazada.vn/products/500gr1kg-mut-tao-thai-lan-mut-tao-deo-do-an-mut-tet-i2841652646.html</v>
      </c>
      <c r="C8532" s="10" t="s">
        <v>8532</v>
      </c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>
      <c r="A8533" s="8">
        <v>13387.0</v>
      </c>
      <c r="B8533" s="9" t="str">
        <f>HYPERLINK("https://www.lazada.vn/products/bich-20-goi-thit-ho-kaka-snack-mieng-cay-ho-kaka-an-vat-tuoi-tho-goi-20g-i2648832053.html", "https://www.lazada.vn/products/bich-20-goi-thit-ho-kaka-snack-mieng-cay-ho-kaka-an-vat-tuoi-tho-goi-20g-i2648832053.html")</f>
        <v>https://www.lazada.vn/products/bich-20-goi-thit-ho-kaka-snack-mieng-cay-ho-kaka-an-vat-tuoi-tho-goi-20g-i2648832053.html</v>
      </c>
      <c r="C8533" s="10" t="s">
        <v>8533</v>
      </c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>
      <c r="A8534" s="8">
        <v>13388.0</v>
      </c>
      <c r="B8534" s="9" t="str">
        <f>HYPERLINK("https://www.lazada.vn/products/chi-giao-hcm-pate-500g-saigonfood-i1725123595.html", "https://www.lazada.vn/products/chi-giao-hcm-pate-500g-saigonfood-i1725123595.html")</f>
        <v>https://www.lazada.vn/products/chi-giao-hcm-pate-500g-saigonfood-i1725123595.html</v>
      </c>
      <c r="C8534" s="10" t="s">
        <v>8534</v>
      </c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>
      <c r="A8535" s="8">
        <v>13389.0</v>
      </c>
      <c r="B8535" s="9" t="str">
        <f>HYPERLINK("https://www.lazada.vn/products/hat-no-thach-no-cu-nang-mau-trang-lon-850g-i2622978858.html", "https://www.lazada.vn/products/hat-no-thach-no-cu-nang-mau-trang-lon-850g-i2622978858.html")</f>
        <v>https://www.lazada.vn/products/hat-no-thach-no-cu-nang-mau-trang-lon-850g-i2622978858.html</v>
      </c>
      <c r="C8535" s="10" t="s">
        <v>8535</v>
      </c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>
      <c r="A8536" s="8">
        <v>13390.0</v>
      </c>
      <c r="B8536" s="9" t="str">
        <f>HYPERLINK("https://www.lazada.vn/products/nuoc-ep-oi-malee-1-l-thai-lan-i2670554118.html", "https://www.lazada.vn/products/nuoc-ep-oi-malee-1-l-thai-lan-i2670554118.html")</f>
        <v>https://www.lazada.vn/products/nuoc-ep-oi-malee-1-l-thai-lan-i2670554118.html</v>
      </c>
      <c r="C8536" s="10" t="s">
        <v>8536</v>
      </c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>
      <c r="A8537" s="8">
        <v>13391.0</v>
      </c>
      <c r="B8537" s="9" t="str">
        <f>HYPERLINK("https://www.lazada.vn/products/ca-phe-oldtown-white-coffee-malaysia-vi-hat-phi-old-town-white-coffee-hazelnut-35g-x-15-goi-beucci-shop-i2645010951.html", "https://www.lazada.vn/products/ca-phe-oldtown-white-coffee-malaysia-vi-hat-phi-old-town-white-coffee-hazelnut-35g-x-15-goi-beucci-shop-i2645010951.html")</f>
        <v>https://www.lazada.vn/products/ca-phe-oldtown-white-coffee-malaysia-vi-hat-phi-old-town-white-coffee-hazelnut-35g-x-15-goi-beucci-shop-i2645010951.html</v>
      </c>
      <c r="C8537" s="10" t="s">
        <v>8537</v>
      </c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>
      <c r="A8538" s="8">
        <v>13392.0</v>
      </c>
      <c r="B8538" s="9" t="str">
        <f>HYPERLINK("https://www.lazada.vn/products/nuoc-cot-dua-do-beo-cao-nif-tropicsun-330ml-i2670466414.html", "https://www.lazada.vn/products/nuoc-cot-dua-do-beo-cao-nif-tropicsun-330ml-i2670466414.html")</f>
        <v>https://www.lazada.vn/products/nuoc-cot-dua-do-beo-cao-nif-tropicsun-330ml-i2670466414.html</v>
      </c>
      <c r="C8538" s="10" t="s">
        <v>8538</v>
      </c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>
      <c r="A8539" s="8">
        <v>13393.0</v>
      </c>
      <c r="B8539" s="9" t="str">
        <f>HYPERLINK("https://www.lazada.vn/products/nuoc-cot-dua-wonderfarm-lon-400ml-160ml-thung-24-lon-sua-coconut-cream-i2669000554.html", "https://www.lazada.vn/products/nuoc-cot-dua-wonderfarm-lon-400ml-160ml-thung-24-lon-sua-coconut-cream-i2669000554.html")</f>
        <v>https://www.lazada.vn/products/nuoc-cot-dua-wonderfarm-lon-400ml-160ml-thung-24-lon-sua-coconut-cream-i2669000554.html</v>
      </c>
      <c r="C8539" s="10" t="s">
        <v>8539</v>
      </c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>
      <c r="A8540" s="8">
        <v>13394.0</v>
      </c>
      <c r="B8540" s="9" t="str">
        <f>HYPERLINK("https://www.lazada.vn/products/loc-mi-tron-tuong-den-koreno-78g-x-5-goi-i2740959845.html", "https://www.lazada.vn/products/loc-mi-tron-tuong-den-koreno-78g-x-5-goi-i2740959845.html")</f>
        <v>https://www.lazada.vn/products/loc-mi-tron-tuong-den-koreno-78g-x-5-goi-i2740959845.html</v>
      </c>
      <c r="C8540" s="10" t="s">
        <v>8540</v>
      </c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>
      <c r="A8541" s="8">
        <v>13395.0</v>
      </c>
      <c r="B8541" s="9" t="str">
        <f>HYPERLINK("https://www.lazada.vn/products/chinh-hang-ruou-vang-port-cockburns-fine-tawny-port-wine-750ml-19-i2501406436.html", "https://www.lazada.vn/products/chinh-hang-ruou-vang-port-cockburns-fine-tawny-port-wine-750ml-19-i2501406436.html")</f>
        <v>https://www.lazada.vn/products/chinh-hang-ruou-vang-port-cockburns-fine-tawny-port-wine-750ml-19-i2501406436.html</v>
      </c>
      <c r="C8541" s="10" t="s">
        <v>8541</v>
      </c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>
      <c r="A8542" s="8">
        <v>13396.0</v>
      </c>
      <c r="B8542" s="9" t="str">
        <f>HYPERLINK("https://www.lazada.vn/products/loc-10-goi-mi-koreno-vi-kim-chi-100g-x-10-goi-loc-i2740951833.html", "https://www.lazada.vn/products/loc-10-goi-mi-koreno-vi-kim-chi-100g-x-10-goi-loc-i2740951833.html")</f>
        <v>https://www.lazada.vn/products/loc-10-goi-mi-koreno-vi-kim-chi-100g-x-10-goi-loc-i2740951833.html</v>
      </c>
      <c r="C8542" s="10" t="s">
        <v>8542</v>
      </c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>
      <c r="A8543" s="8">
        <v>13397.0</v>
      </c>
      <c r="B8543" s="9" t="str">
        <f>HYPERLINK("https://www.lazada.vn/products/chinh-hang-ruou-khai-vi-cockburns-fine-ruby-port-wine-750ml-19-i2501374419.html", "https://www.lazada.vn/products/chinh-hang-ruou-khai-vi-cockburns-fine-ruby-port-wine-750ml-19-i2501374419.html")</f>
        <v>https://www.lazada.vn/products/chinh-hang-ruou-khai-vi-cockburns-fine-ruby-port-wine-750ml-19-i2501374419.html</v>
      </c>
      <c r="C8543" s="10" t="s">
        <v>8543</v>
      </c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>
      <c r="A8544" s="8">
        <v>13398.0</v>
      </c>
      <c r="B8544" s="9" t="str">
        <f>HYPERLINK("https://www.lazada.vn/products/1t-12to-i2905133174.html", "https://www.lazada.vn/products/1t-12to-i2905133174.html")</f>
        <v>https://www.lazada.vn/products/1t-12to-i2905133174.html</v>
      </c>
      <c r="C8544" s="10" t="s">
        <v>8544</v>
      </c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>
      <c r="A8545" s="8">
        <v>13399.0</v>
      </c>
      <c r="B8545" s="9" t="str">
        <f>HYPERLINK("https://www.lazada.vn/products/bot-ca-cao-sua-hoa-tan-3in1-thom-ngon-cacaomi-pha-tra-sua-chocolate-so-co-la-nong-chuan-vi-cacao-nguyen-chat-dac-san-viet-nam-lam-qua-bieu-tang-470g-i1267613884.html", "https://www.lazada.vn/products/bot-ca-cao-sua-hoa-tan-3in1-thom-ngon-cacaomi-pha-tra-sua-chocolate-so-co-la-nong-chuan-vi-cacao-nguyen-chat-dac-san-viet-nam-lam-qua-bieu-tang-470g-i1267613884.html")</f>
        <v>https://www.lazada.vn/products/bot-ca-cao-sua-hoa-tan-3in1-thom-ngon-cacaomi-pha-tra-sua-chocolate-so-co-la-nong-chuan-vi-cacao-nguyen-chat-dac-san-viet-nam-lam-qua-bieu-tang-470g-i1267613884.html</v>
      </c>
      <c r="C8545" s="10" t="s">
        <v>8545</v>
      </c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>
      <c r="A8546" s="8">
        <v>13400.0</v>
      </c>
      <c r="B8546" s="9" t="str">
        <f>HYPERLINK("https://www.lazada.vn/products/thung-24-chai-nuoc-giai-khat-mirinda-xa-xi-390mlchai-i2040765690.html", "https://www.lazada.vn/products/thung-24-chai-nuoc-giai-khat-mirinda-xa-xi-390mlchai-i2040765690.html")</f>
        <v>https://www.lazada.vn/products/thung-24-chai-nuoc-giai-khat-mirinda-xa-xi-390mlchai-i2040765690.html</v>
      </c>
      <c r="C8546" s="10" t="s">
        <v>8546</v>
      </c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>
      <c r="A8547" s="8">
        <v>13401.0</v>
      </c>
      <c r="B8547" s="9" t="str">
        <f>HYPERLINK("https://www.lazada.vn/products/giao-hang-2h-combo-2-nuoc-cot-ga-brands-vi-truyen-thong-i1869979594.html", "https://www.lazada.vn/products/giao-hang-2h-combo-2-nuoc-cot-ga-brands-vi-truyen-thong-i1869979594.html")</f>
        <v>https://www.lazada.vn/products/giao-hang-2h-combo-2-nuoc-cot-ga-brands-vi-truyen-thong-i1869979594.html</v>
      </c>
      <c r="C8547" s="10" t="s">
        <v>8547</v>
      </c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>
      <c r="A8548" s="8">
        <v>13402.0</v>
      </c>
      <c r="B8548" s="9" t="str">
        <f>HYPERLINK("https://www.lazada.vn/products/keo-ngam-play-more-hu-12g-22g-i2666247861.html", "https://www.lazada.vn/products/keo-ngam-play-more-hu-12g-22g-i2666247861.html")</f>
        <v>https://www.lazada.vn/products/keo-ngam-play-more-hu-12g-22g-i2666247861.html</v>
      </c>
      <c r="C8548" s="10" t="s">
        <v>8548</v>
      </c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>
      <c r="A8549" s="8">
        <v>13403.0</v>
      </c>
      <c r="B8549" s="9" t="str">
        <f>HYPERLINK("https://www.lazada.vn/products/banh-trang-dua-non-la-dua-thuy-dac-san-da-nang-ngon-nhat-thom-nhat-chat-luong-nhat-i2254209517.html", "https://www.lazada.vn/products/banh-trang-dua-non-la-dua-thuy-dac-san-da-nang-ngon-nhat-thom-nhat-chat-luong-nhat-i2254209517.html")</f>
        <v>https://www.lazada.vn/products/banh-trang-dua-non-la-dua-thuy-dac-san-da-nang-ngon-nhat-thom-nhat-chat-luong-nhat-i2254209517.html</v>
      </c>
      <c r="C8549" s="10" t="s">
        <v>8549</v>
      </c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>
      <c r="A8550" s="8">
        <v>13404.0</v>
      </c>
      <c r="B8550" s="9" t="str">
        <f>HYPERLINK("https://www.lazada.vn/products/hcm-1-kg-thach-zai-tran-chau-mix-du-vi-ngon-hon-khi-an-lanh-cong-ty-duc-hanh-i2042911919.html", "https://www.lazada.vn/products/hcm-1-kg-thach-zai-tran-chau-mix-du-vi-ngon-hon-khi-an-lanh-cong-ty-duc-hanh-i2042911919.html")</f>
        <v>https://www.lazada.vn/products/hcm-1-kg-thach-zai-tran-chau-mix-du-vi-ngon-hon-khi-an-lanh-cong-ty-duc-hanh-i2042911919.html</v>
      </c>
      <c r="C8550" s="10" t="s">
        <v>8550</v>
      </c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>
      <c r="A8551" s="8">
        <v>13405.0</v>
      </c>
      <c r="B8551" s="9" t="str">
        <f>HYPERLINK("https://www.lazada.vn/products/banh-mi-deo-dai-loan-nguyen-vi-khong-chat-phu-gia-mem-deo-phu-hop-voi-nguoi-an-kieng-lanh-manh-i2543459962.html", "https://www.lazada.vn/products/banh-mi-deo-dai-loan-nguyen-vi-khong-chat-phu-gia-mem-deo-phu-hop-voi-nguoi-an-kieng-lanh-manh-i2543459962.html")</f>
        <v>https://www.lazada.vn/products/banh-mi-deo-dai-loan-nguyen-vi-khong-chat-phu-gia-mem-deo-phu-hop-voi-nguoi-an-kieng-lanh-manh-i2543459962.html</v>
      </c>
      <c r="C8551" s="10" t="s">
        <v>8551</v>
      </c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>
      <c r="A8552" s="8">
        <v>13406.0</v>
      </c>
      <c r="B8552" s="9" t="str">
        <f>HYPERLINK("https://www.lazada.vn/products/bot-me-den-hat-sen-bich-chi-350gr-10-goi-x-35gr-08141-i2633062621.html", "https://www.lazada.vn/products/bot-me-den-hat-sen-bich-chi-350gr-10-goi-x-35gr-08141-i2633062621.html")</f>
        <v>https://www.lazada.vn/products/bot-me-den-hat-sen-bich-chi-350gr-10-goi-x-35gr-08141-i2633062621.html</v>
      </c>
      <c r="C8552" s="10" t="s">
        <v>8552</v>
      </c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>
      <c r="A8553" s="8">
        <v>13407.0</v>
      </c>
      <c r="B8553" s="9" t="str">
        <f>HYPERLINK("https://www.lazada.vn/products/chinh-hang-ruou-vang-do-mouton-cadet-750ml-14-i2478024245.html", "https://www.lazada.vn/products/chinh-hang-ruou-vang-do-mouton-cadet-750ml-14-i2478024245.html")</f>
        <v>https://www.lazada.vn/products/chinh-hang-ruou-vang-do-mouton-cadet-750ml-14-i2478024245.html</v>
      </c>
      <c r="C8553" s="10" t="s">
        <v>8553</v>
      </c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>
      <c r="A8554" s="8">
        <v>13408.0</v>
      </c>
      <c r="B8554" s="9" t="str">
        <f>HYPERLINK("https://www.lazada.vn/products/hang-uc-siro-la-phong-sugar-free-queen-maple-syrup-flavoured-355ml-i2426038742.html", "https://www.lazada.vn/products/hang-uc-siro-la-phong-sugar-free-queen-maple-syrup-flavoured-355ml-i2426038742.html")</f>
        <v>https://www.lazada.vn/products/hang-uc-siro-la-phong-sugar-free-queen-maple-syrup-flavoured-355ml-i2426038742.html</v>
      </c>
      <c r="C8554" s="10" t="s">
        <v>8554</v>
      </c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>
      <c r="A8555" s="8">
        <v>13409.0</v>
      </c>
      <c r="B8555" s="9" t="str">
        <f>HYPERLINK("https://www.lazada.vn/products/500-gram-san-pham-san-xuat-bia-su-dung-nhan-hieu-men-nay-de-san-xuat-vang-tot-voi-nang-suat-cao-i2810850547.html", "https://www.lazada.vn/products/500-gram-san-pham-san-xuat-bia-su-dung-nhan-hieu-men-nay-de-san-xuat-vang-tot-voi-nang-suat-cao-i2810850547.html")</f>
        <v>https://www.lazada.vn/products/500-gram-san-pham-san-xuat-bia-su-dung-nhan-hieu-men-nay-de-san-xuat-vang-tot-voi-nang-suat-cao-i2810850547.html</v>
      </c>
      <c r="C8555" s="10" t="s">
        <v>8555</v>
      </c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>
      <c r="A8556" s="8">
        <v>13410.0</v>
      </c>
      <c r="B8556" s="9" t="str">
        <f>HYPERLINK("https://www.lazada.vn/products/banh-bao-tha-lau-rang-muc-hieu-lc-goi-500g-giao-hoa-toc-tphcm-i2826140182.html", "https://www.lazada.vn/products/banh-bao-tha-lau-rang-muc-hieu-lc-goi-500g-giao-hoa-toc-tphcm-i2826140182.html")</f>
        <v>https://www.lazada.vn/products/banh-bao-tha-lau-rang-muc-hieu-lc-goi-500g-giao-hoa-toc-tphcm-i2826140182.html</v>
      </c>
      <c r="C8556" s="10" t="s">
        <v>8556</v>
      </c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>
      <c r="A8557" s="8">
        <v>13411.0</v>
      </c>
      <c r="B8557" s="9" t="str">
        <f>HYPERLINK("https://www.lazada.vn/products/banh-sua-chua-ong-gia-an-sang-tien-loi-du-vi-i2960318183.html", "https://www.lazada.vn/products/banh-sua-chua-ong-gia-an-sang-tien-loi-du-vi-i2960318183.html")</f>
        <v>https://www.lazada.vn/products/banh-sua-chua-ong-gia-an-sang-tien-loi-du-vi-i2960318183.html</v>
      </c>
      <c r="C8557" s="10" t="s">
        <v>8557</v>
      </c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>
      <c r="A8558" s="8">
        <v>13412.0</v>
      </c>
      <c r="B8558" s="9" t="str">
        <f>HYPERLINK("https://www.lazada.vn/products/tui-nguyen-2kg-hat-royal-canin-fit-32-danh-cho-meo-hay-van-dong-thuong-xuyen-i2946155247.html", "https://www.lazada.vn/products/tui-nguyen-2kg-hat-royal-canin-fit-32-danh-cho-meo-hay-van-dong-thuong-xuyen-i2946155247.html")</f>
        <v>https://www.lazada.vn/products/tui-nguyen-2kg-hat-royal-canin-fit-32-danh-cho-meo-hay-van-dong-thuong-xuyen-i2946155247.html</v>
      </c>
      <c r="C8558" s="10" t="s">
        <v>8558</v>
      </c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>
      <c r="A8559" s="8">
        <v>13413.0</v>
      </c>
      <c r="B8559" s="9" t="str">
        <f>HYPERLINK("https://www.lazada.vn/products/mat-ong-gung-han-quoc-hu-1kg-i1724826088.html", "https://www.lazada.vn/products/mat-ong-gung-han-quoc-hu-1kg-i1724826088.html")</f>
        <v>https://www.lazada.vn/products/mat-ong-gung-han-quoc-hu-1kg-i1724826088.html</v>
      </c>
      <c r="C8559" s="10" t="s">
        <v>8559</v>
      </c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>
      <c r="A8560" s="8">
        <v>13414.0</v>
      </c>
      <c r="B8560" s="9" t="str">
        <f>HYPERLINK("https://www.lazada.vn/products/snack-khoai-tay-90g-slide-thit-nuong-lon-90g-i2646689762.html", "https://www.lazada.vn/products/snack-khoai-tay-90g-slide-thit-nuong-lon-90g-i2646689762.html")</f>
        <v>https://www.lazada.vn/products/snack-khoai-tay-90g-slide-thit-nuong-lon-90g-i2646689762.html</v>
      </c>
      <c r="C8560" s="10" t="s">
        <v>8560</v>
      </c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>
      <c r="A8561" s="8">
        <v>13415.0</v>
      </c>
      <c r="B8561" s="9" t="str">
        <f>HYPERLINK("https://www.lazada.vn/products/socola-nhan-ruou-anthonberg-chocolate-liqueurs-cocktails-flavours-with-a-delicious-liquid-filling-cua-danmark-hop-16-chai-250gr-i2864563396.html", "https://www.lazada.vn/products/socola-nhan-ruou-anthonberg-chocolate-liqueurs-cocktails-flavours-with-a-delicious-liquid-filling-cua-danmark-hop-16-chai-250gr-i2864563396.html")</f>
        <v>https://www.lazada.vn/products/socola-nhan-ruou-anthonberg-chocolate-liqueurs-cocktails-flavours-with-a-delicious-liquid-filling-cua-danmark-hop-16-chai-250gr-i2864563396.html</v>
      </c>
      <c r="C8561" s="10" t="s">
        <v>8561</v>
      </c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>
      <c r="A8562" s="8">
        <v>13416.0</v>
      </c>
      <c r="B8562" s="9" t="str">
        <f>HYPERLINK("https://www.lazada.vn/products/500g-mang-cau-xiem-say-deo-lac-muoi-ot-cay-cay-man-man-la-mieng-hanh-phuc-da-lat-i2946120373.html", "https://www.lazada.vn/products/500g-mang-cau-xiem-say-deo-lac-muoi-ot-cay-cay-man-man-la-mieng-hanh-phuc-da-lat-i2946120373.html")</f>
        <v>https://www.lazada.vn/products/500g-mang-cau-xiem-say-deo-lac-muoi-ot-cay-cay-man-man-la-mieng-hanh-phuc-da-lat-i2946120373.html</v>
      </c>
      <c r="C8562" s="10" t="s">
        <v>8562</v>
      </c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>
      <c r="A8563" s="8">
        <v>13417.0</v>
      </c>
      <c r="B8563" s="9" t="str">
        <f>HYPERLINK("https://www.lazada.vn/products/tao-kho-nuong-mat-ong-hat-walnuts-pho-mai-pho-mai-gion-moi-hop-dung-hat-an-nhe-kho-hat-an-nhe-kho-hat-i2841391605.html", "https://www.lazada.vn/products/tao-kho-nuong-mat-ong-hat-walnuts-pho-mai-pho-mai-gion-moi-hop-dung-hat-an-nhe-kho-hat-an-nhe-kho-hat-i2841391605.html")</f>
        <v>https://www.lazada.vn/products/tao-kho-nuong-mat-ong-hat-walnuts-pho-mai-pho-mai-gion-moi-hop-dung-hat-an-nhe-kho-hat-an-nhe-kho-hat-i2841391605.html</v>
      </c>
      <c r="C8563" s="10" t="s">
        <v>8563</v>
      </c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>
      <c r="A8564" s="8">
        <v>13418.0</v>
      </c>
      <c r="B8564" s="9" t="str">
        <f>HYPERLINK("https://www.lazada.vn/products/hcm1kg-thach-dua-tho-ep-kho-dac-san-ben-tre-tang-huong-dua-shop-haimy-do-an-vat-muasamnhanh-i2621813286.html", "https://www.lazada.vn/products/hcm1kg-thach-dua-tho-ep-kho-dac-san-ben-tre-tang-huong-dua-shop-haimy-do-an-vat-muasamnhanh-i2621813286.html")</f>
        <v>https://www.lazada.vn/products/hcm1kg-thach-dua-tho-ep-kho-dac-san-ben-tre-tang-huong-dua-shop-haimy-do-an-vat-muasamnhanh-i2621813286.html</v>
      </c>
      <c r="C8564" s="10" t="s">
        <v>8564</v>
      </c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>
      <c r="A8565" s="8">
        <v>13419.0</v>
      </c>
      <c r="B8565" s="9" t="str">
        <f>HYPERLINK("https://www.lazada.vn/products/nuoc-cot-dua-wonderfarm-lon-400ml-160ml-thung-24-lon-sua-coconut-cream-i2668836782.html", "https://www.lazada.vn/products/nuoc-cot-dua-wonderfarm-lon-400ml-160ml-thung-24-lon-sua-coconut-cream-i2668836782.html")</f>
        <v>https://www.lazada.vn/products/nuoc-cot-dua-wonderfarm-lon-400ml-160ml-thung-24-lon-sua-coconut-cream-i2668836782.html</v>
      </c>
      <c r="C8565" s="10" t="s">
        <v>8565</v>
      </c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>
      <c r="A8566" s="8">
        <v>13420.0</v>
      </c>
      <c r="B8566" s="9" t="str">
        <f>HYPERLINK("https://www.lazada.vn/products/nuoc-cot-trai-nhau-tran-gia-i2668650958.html", "https://www.lazada.vn/products/nuoc-cot-trai-nhau-tran-gia-i2668650958.html")</f>
        <v>https://www.lazada.vn/products/nuoc-cot-trai-nhau-tran-gia-i2668650958.html</v>
      </c>
      <c r="C8566" s="10" t="s">
        <v>8566</v>
      </c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>
      <c r="A8567" s="8">
        <v>13421.0</v>
      </c>
      <c r="B8567" s="9" t="str">
        <f>HYPERLINK("https://www.lazada.vn/products/nuoc-cot-nhau-ngam-duong-phen-100-tu-nhien-khong-chat-bao-quan-tot-cho-suc-khoe-chai-1000ml-i2668053054.html", "https://www.lazada.vn/products/nuoc-cot-nhau-ngam-duong-phen-100-tu-nhien-khong-chat-bao-quan-tot-cho-suc-khoe-chai-1000ml-i2668053054.html")</f>
        <v>https://www.lazada.vn/products/nuoc-cot-nhau-ngam-duong-phen-100-tu-nhien-khong-chat-bao-quan-tot-cho-suc-khoe-chai-1000ml-i2668053054.html</v>
      </c>
      <c r="C8567" s="10" t="s">
        <v>8567</v>
      </c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>
      <c r="A8568" s="8">
        <v>13422.0</v>
      </c>
      <c r="B8568" s="9" t="str">
        <f>HYPERLINK("https://www.lazada.vn/products/combo-15-goi-mi-kokomi-pro-tom-cay-sa-te-kim-chi-bo-cay-canh-chua-goi-75g-i2740656623.html", "https://www.lazada.vn/products/combo-15-goi-mi-kokomi-pro-tom-cay-sa-te-kim-chi-bo-cay-canh-chua-goi-75g-i2740656623.html")</f>
        <v>https://www.lazada.vn/products/combo-15-goi-mi-kokomi-pro-tom-cay-sa-te-kim-chi-bo-cay-canh-chua-goi-75g-i2740656623.html</v>
      </c>
      <c r="C8568" s="10" t="s">
        <v>8568</v>
      </c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>
      <c r="A8569" s="8">
        <v>13423.0</v>
      </c>
      <c r="B8569" s="9" t="str">
        <f>HYPERLINK("https://www.lazada.vn/products/thung-24-ly-mi-chay-lau-thai-sala-vifon-60grly-i2737916312.html", "https://www.lazada.vn/products/thung-24-ly-mi-chay-lau-thai-sala-vifon-60grly-i2737916312.html")</f>
        <v>https://www.lazada.vn/products/thung-24-ly-mi-chay-lau-thai-sala-vifon-60grly-i2737916312.html</v>
      </c>
      <c r="C8569" s="10" t="s">
        <v>8569</v>
      </c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>
      <c r="A8570" s="8">
        <v>13424.0</v>
      </c>
      <c r="B8570" s="9" t="str">
        <f>HYPERLINK("https://www.lazada.vn/products/chinh-hang-ruou-canasta-cream-sherry-750ml-195-i2313576625.html", "https://www.lazada.vn/products/chinh-hang-ruou-canasta-cream-sherry-750ml-195-i2313576625.html")</f>
        <v>https://www.lazada.vn/products/chinh-hang-ruou-canasta-cream-sherry-750ml-195-i2313576625.html</v>
      </c>
      <c r="C8570" s="10" t="s">
        <v>8570</v>
      </c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>
      <c r="A8571" s="8">
        <v>13425.0</v>
      </c>
      <c r="B8571" s="9" t="str">
        <f>HYPERLINK("https://www.lazada.vn/products/30-goi-gia-chi-85k-i2904966325.html", "https://www.lazada.vn/products/30-goi-gia-chi-85k-i2904966325.html")</f>
        <v>https://www.lazada.vn/products/30-goi-gia-chi-85k-i2904966325.html</v>
      </c>
      <c r="C8571" s="10" t="s">
        <v>8571</v>
      </c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>
      <c r="A8572" s="8">
        <v>13426.0</v>
      </c>
      <c r="B8572" s="9" t="str">
        <f>HYPERLINK("https://www.lazada.vn/products/bot-cacao-nguyen-chat-gu-truyen-thong-cacaomi-original-pha-che-socola-nong-dac-san-viet-nam-lam-qua-bieu-tang-hop-217g-i1267607913.html", "https://www.lazada.vn/products/bot-cacao-nguyen-chat-gu-truyen-thong-cacaomi-original-pha-che-socola-nong-dac-san-viet-nam-lam-qua-bieu-tang-hop-217g-i1267607913.html")</f>
        <v>https://www.lazada.vn/products/bot-cacao-nguyen-chat-gu-truyen-thong-cacaomi-original-pha-che-socola-nong-dac-san-viet-nam-lam-qua-bieu-tang-hop-217g-i1267607913.html</v>
      </c>
      <c r="C8572" s="10" t="s">
        <v>8572</v>
      </c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>
      <c r="A8573" s="8">
        <v>13427.0</v>
      </c>
      <c r="B8573" s="9" t="str">
        <f>HYPERLINK("https://www.lazada.vn/products/thung-24-lon-nuoc-uong-co-gaz-aquafina-soda-320mllon-i2040763596.html", "https://www.lazada.vn/products/thung-24-lon-nuoc-uong-co-gaz-aquafina-soda-320mllon-i2040763596.html")</f>
        <v>https://www.lazada.vn/products/thung-24-lon-nuoc-uong-co-gaz-aquafina-soda-320mllon-i2040763596.html</v>
      </c>
      <c r="C8573" s="10" t="s">
        <v>8573</v>
      </c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>
      <c r="A8574" s="8">
        <v>13428.0</v>
      </c>
      <c r="B8574" s="9" t="str">
        <f>HYPERLINK("https://www.lazada.vn/products/nuoc-tang-luc-redbull-xanh-thai-i1857205961.html", "https://www.lazada.vn/products/nuoc-tang-luc-redbull-xanh-thai-i1857205961.html")</f>
        <v>https://www.lazada.vn/products/nuoc-tang-luc-redbull-xanh-thai-i1857205961.html</v>
      </c>
      <c r="C8574" s="10" t="s">
        <v>8574</v>
      </c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>
      <c r="A8575" s="8">
        <v>13429.0</v>
      </c>
      <c r="B8575" s="9" t="str">
        <f>HYPERLINK("https://www.lazada.vn/products/keo-deo-trai-cay-boc-vo-nhieu-vi-goi-60g-store-gia-ngan-i2659570804.html", "https://www.lazada.vn/products/keo-deo-trai-cay-boc-vo-nhieu-vi-goi-60g-store-gia-ngan-i2659570804.html")</f>
        <v>https://www.lazada.vn/products/keo-deo-trai-cay-boc-vo-nhieu-vi-goi-60g-store-gia-ngan-i2659570804.html</v>
      </c>
      <c r="C8575" s="10" t="s">
        <v>8575</v>
      </c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>
      <c r="A8576" s="8">
        <v>13430.0</v>
      </c>
      <c r="B8576" s="9" t="str">
        <f>HYPERLINK("https://www.lazada.vn/products/banh-trang-sua-dua-sau-rieng-dat-phuong-nam-220gr-banh-phong-sua-i2254188675.html", "https://www.lazada.vn/products/banh-trang-sua-dua-sau-rieng-dat-phuong-nam-220gr-banh-phong-sua-i2254188675.html")</f>
        <v>https://www.lazada.vn/products/banh-trang-sua-dua-sau-rieng-dat-phuong-nam-220gr-banh-phong-sua-i2254188675.html</v>
      </c>
      <c r="C8576" s="10" t="s">
        <v>8576</v>
      </c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>
      <c r="A8577" s="8">
        <v>13431.0</v>
      </c>
      <c r="B8577" s="9" t="str">
        <f>HYPERLINK("https://www.lazada.vn/products/hang-chinh-hang-thach-bi-do-chen-chen-vic-dep-da-mo-nam-no-va-san-chac-nguc-can-bang-noi-tiet-to-khang-nang-noi-sinh-tui-8-goi-i2042424892.html", "https://www.lazada.vn/products/hang-chinh-hang-thach-bi-do-chen-chen-vic-dep-da-mo-nam-no-va-san-chac-nguc-can-bang-noi-tiet-to-khang-nang-noi-sinh-tui-8-goi-i2042424892.html")</f>
        <v>https://www.lazada.vn/products/hang-chinh-hang-thach-bi-do-chen-chen-vic-dep-da-mo-nam-no-va-san-chac-nguc-can-bang-noi-tiet-to-khang-nang-noi-sinh-tui-8-goi-i2042424892.html</v>
      </c>
      <c r="C8577" s="10" t="s">
        <v>8577</v>
      </c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>
      <c r="A8578" s="8">
        <v>13432.0</v>
      </c>
      <c r="B8578" s="9" t="str">
        <f>HYPERLINK("https://www.lazada.vn/products/banh-trung-tipo-kem-sau-rieng-220g-hay-banh-trung-tipo-220g-i2539766102.html", "https://www.lazada.vn/products/banh-trung-tipo-kem-sau-rieng-220g-hay-banh-trung-tipo-220g-i2539766102.html")</f>
        <v>https://www.lazada.vn/products/banh-trung-tipo-kem-sau-rieng-220g-hay-banh-trung-tipo-220g-i2539766102.html</v>
      </c>
      <c r="C8578" s="10" t="s">
        <v>8578</v>
      </c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>
      <c r="A8579" s="8">
        <v>13433.0</v>
      </c>
      <c r="B8579" s="9" t="str">
        <f>HYPERLINK("https://www.lazada.vn/products/bot-pha-nuoc-chanh-vang-country-time-lemonade-cua-my-hop-538gr-hop-2330gr-i2631953174.html", "https://www.lazada.vn/products/bot-pha-nuoc-chanh-vang-country-time-lemonade-cua-my-hop-538gr-hop-2330gr-i2631953174.html")</f>
        <v>https://www.lazada.vn/products/bot-pha-nuoc-chanh-vang-country-time-lemonade-cua-my-hop-538gr-hop-2330gr-i2631953174.html</v>
      </c>
      <c r="C8579" s="10" t="s">
        <v>8579</v>
      </c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>
      <c r="A8580" s="8">
        <v>13434.0</v>
      </c>
      <c r="B8580" s="9" t="str">
        <f>HYPERLINK("https://www.lazada.vn/products/banh-trang-trang-hong-minh-sieu-mong-500g-dung-cuon-thit-dac-biet-mong-deo-khong-can-nhung-nuoc-dac-san-tay-ninh-i2652074452.html", "https://www.lazada.vn/products/banh-trang-trang-hong-minh-sieu-mong-500g-dung-cuon-thit-dac-biet-mong-deo-khong-can-nhung-nuoc-dac-san-tay-ninh-i2652074452.html")</f>
        <v>https://www.lazada.vn/products/banh-trang-trang-hong-minh-sieu-mong-500g-dung-cuon-thit-dac-biet-mong-deo-khong-can-nhung-nuoc-dac-san-tay-ninh-i2652074452.html</v>
      </c>
      <c r="C8580" s="10" t="s">
        <v>8580</v>
      </c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>
      <c r="A8581" s="8">
        <v>13435.0</v>
      </c>
      <c r="B8581" s="9" t="str">
        <f>HYPERLINK("https://www.lazada.vn/products/chinh-hang-ruou-vang-do-handpicked-regional-selections-cab-sauv-750ml-141-i2477937487.html", "https://www.lazada.vn/products/chinh-hang-ruou-vang-do-handpicked-regional-selections-cab-sauv-750ml-141-i2477937487.html")</f>
        <v>https://www.lazada.vn/products/chinh-hang-ruou-vang-do-handpicked-regional-selections-cab-sauv-750ml-141-i2477937487.html</v>
      </c>
      <c r="C8581" s="10" t="s">
        <v>8581</v>
      </c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>
      <c r="A8582" s="8">
        <v>13436.0</v>
      </c>
      <c r="B8582" s="9" t="str">
        <f>HYPERLINK("https://www.lazada.vn/products/snack-khoai-tay-90g-slide-pho-mai-lon-90g-i2646625613.html", "https://www.lazada.vn/products/snack-khoai-tay-90g-slide-pho-mai-lon-90g-i2646625613.html")</f>
        <v>https://www.lazada.vn/products/snack-khoai-tay-90g-slide-pho-mai-lon-90g-i2646625613.html</v>
      </c>
      <c r="C8582" s="10" t="s">
        <v>8582</v>
      </c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>
      <c r="A8583" s="8">
        <v>13437.0</v>
      </c>
      <c r="B8583" s="9" t="str">
        <f>HYPERLINK("https://www.lazada.vn/products/1kg-mu-trom-ninh-thuan-loai-1-giup-thanh-nhiet-giai-doc-an-vat-ong-gia-i2621776296.html", "https://www.lazada.vn/products/1kg-mu-trom-ninh-thuan-loai-1-giup-thanh-nhiet-giai-doc-an-vat-ong-gia-i2621776296.html")</f>
        <v>https://www.lazada.vn/products/1kg-mu-trom-ninh-thuan-loai-1-giup-thanh-nhiet-giai-doc-an-vat-ong-gia-i2621776296.html</v>
      </c>
      <c r="C8583" s="10" t="s">
        <v>8583</v>
      </c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>
      <c r="A8584" s="8">
        <v>13438.0</v>
      </c>
      <c r="B8584" s="9" t="str">
        <f>HYPERLINK("https://www.lazada.vn/products/bia-corona-extra-thung-24-chai_250ml-i2809892214.html", "https://www.lazada.vn/products/bia-corona-extra-thung-24-chai_250ml-i2809892214.html")</f>
        <v>https://www.lazada.vn/products/bia-corona-extra-thung-24-chai_250ml-i2809892214.html</v>
      </c>
      <c r="C8584" s="10" t="s">
        <v>8584</v>
      </c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>
      <c r="A8585" s="8">
        <v>13439.0</v>
      </c>
      <c r="B8585" s="9" t="str">
        <f>HYPERLINK("https://www.lazada.vn/products/banh-phong-nuoc-cot-dua-vi-chuoi-hop-500gr-banh-phong-chuoi-banh-phong-tom-ca-mau-banh-phong-tom-nam-can-do-an-vat-mon-ngon-ca-mau-i1724180549.html", "https://www.lazada.vn/products/banh-phong-nuoc-cot-dua-vi-chuoi-hop-500gr-banh-phong-chuoi-banh-phong-tom-ca-mau-banh-phong-tom-nam-can-do-an-vat-mon-ngon-ca-mau-i1724180549.html")</f>
        <v>https://www.lazada.vn/products/banh-phong-nuoc-cot-dua-vi-chuoi-hop-500gr-banh-phong-chuoi-banh-phong-tom-ca-mau-banh-phong-tom-nam-can-do-an-vat-mon-ngon-ca-mau-i1724180549.html</v>
      </c>
      <c r="C8585" s="10" t="s">
        <v>8585</v>
      </c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>
      <c r="A8586" s="8">
        <v>13440.0</v>
      </c>
      <c r="B8586" s="9" t="str">
        <f>HYPERLINK("https://www.lazada.vn/products/banh-tart-trung-vi-pho-mai-trung-muoi-120g-i2958960614.html", "https://www.lazada.vn/products/banh-tart-trung-vi-pho-mai-trung-muoi-120g-i2958960614.html")</f>
        <v>https://www.lazada.vn/products/banh-tart-trung-vi-pho-mai-trung-muoi-120g-i2958960614.html</v>
      </c>
      <c r="C8586" s="10" t="s">
        <v>8586</v>
      </c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>
      <c r="A8587" s="8">
        <v>13441.0</v>
      </c>
      <c r="B8587" s="9" t="str">
        <f>HYPERLINK("https://www.lazada.vn/products/combo-2-banh-tipo-trung-nuong-vi-sua-500g-huu-nghi-i2825469621.html", "https://www.lazada.vn/products/combo-2-banh-tipo-trung-nuong-vi-sua-500g-huu-nghi-i2825469621.html")</f>
        <v>https://www.lazada.vn/products/combo-2-banh-tipo-trung-nuong-vi-sua-500g-huu-nghi-i2825469621.html</v>
      </c>
      <c r="C8587" s="10" t="s">
        <v>8587</v>
      </c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>
      <c r="A8588" s="8">
        <v>13442.0</v>
      </c>
      <c r="B8588" s="9" t="str">
        <f>HYPERLINK("https://www.lazada.vn/products/socola-nhan-ruou-anthonberg-chocolate-liqueurs-cocktails-flavours-with-a-delicious-liquid-filling-cua-danmark-hop-16-chai-250gr-i2864558420.html", "https://www.lazada.vn/products/socola-nhan-ruou-anthonberg-chocolate-liqueurs-cocktails-flavours-with-a-delicious-liquid-filling-cua-danmark-hop-16-chai-250gr-i2864558420.html")</f>
        <v>https://www.lazada.vn/products/socola-nhan-ruou-anthonberg-chocolate-liqueurs-cocktails-flavours-with-a-delicious-liquid-filling-cua-danmark-hop-16-chai-250gr-i2864558420.html</v>
      </c>
      <c r="C8588" s="10" t="s">
        <v>8588</v>
      </c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>
      <c r="A8589" s="8">
        <v>13443.0</v>
      </c>
      <c r="B8589" s="9" t="str">
        <f>HYPERLINK("https://www.lazada.vn/products/6-to-i2904959814.html", "https://www.lazada.vn/products/6-to-i2904959814.html")</f>
        <v>https://www.lazada.vn/products/6-to-i2904959814.html</v>
      </c>
      <c r="C8589" s="10" t="s">
        <v>8589</v>
      </c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>
      <c r="A8590" s="8">
        <v>13444.0</v>
      </c>
      <c r="B8590" s="9" t="str">
        <f>HYPERLINK("https://www.lazada.vn/products/bot-ca-cao-nguyen-chat-cacaomi-premium-gu-dam-vi-cacao-chuyen-pha-che-socola-chocolate-nong-tra-sua-ho-tro-giam-can-an-kieng-keto-eat-clean-dac-san-viet-nam-chuan-xuat-khau-127g-i1267593954.html", "https://www.lazada.vn/products/bot-ca-cao-nguyen-chat-cacaomi-premium-gu-dam-vi-cacao-chuyen-pha-che-socola-chocolate-nong-tra-sua-ho-tro-giam-can-an-kieng-keto-eat-clean-dac-san-viet-nam-chuan-xuat-khau-127g-i1267593954.html")</f>
        <v>https://www.lazada.vn/products/bot-ca-cao-nguyen-chat-cacaomi-premium-gu-dam-vi-cacao-chuyen-pha-che-socola-chocolate-nong-tra-sua-ho-tro-giam-can-an-kieng-keto-eat-clean-dac-san-viet-nam-chuan-xuat-khau-127g-i1267593954.html</v>
      </c>
      <c r="C8590" s="10" t="s">
        <v>8590</v>
      </c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>
      <c r="A8591" s="8">
        <v>13445.0</v>
      </c>
      <c r="B8591" s="9" t="str">
        <f>HYPERLINK("https://www.lazada.vn/products/vang-trai-cay-cosmopolitan-diva-fusion-55-750ml-i2865554333.html", "https://www.lazada.vn/products/vang-trai-cay-cosmopolitan-diva-fusion-55-750ml-i2865554333.html")</f>
        <v>https://www.lazada.vn/products/vang-trai-cay-cosmopolitan-diva-fusion-55-750ml-i2865554333.html</v>
      </c>
      <c r="C8591" s="10" t="s">
        <v>8591</v>
      </c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>
      <c r="A8592" s="8">
        <v>13446.0</v>
      </c>
      <c r="B8592" s="9" t="str">
        <f>HYPERLINK("https://www.lazada.vn/products/me-tron-muoi-ot-hu-500gr-i2840901594.html", "https://www.lazada.vn/products/me-tron-muoi-ot-hu-500gr-i2840901594.html")</f>
        <v>https://www.lazada.vn/products/me-tron-muoi-ot-hu-500gr-i2840901594.html</v>
      </c>
      <c r="C8592" s="10" t="s">
        <v>8592</v>
      </c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>
      <c r="A8593" s="8">
        <v>13447.0</v>
      </c>
      <c r="B8593" s="9" t="str">
        <f>HYPERLINK("https://www.lazada.vn/products/tui-nguyen-2-kg-khong-chiet-thuc-an-hat-cho-meo-con-va-meo-me-dang-bau-cho-con-bu-royal-canin-mother-babycat-i2946072421.html", "https://www.lazada.vn/products/tui-nguyen-2-kg-khong-chiet-thuc-an-hat-cho-meo-con-va-meo-me-dang-bau-cho-con-bu-royal-canin-mother-babycat-i2946072421.html")</f>
        <v>https://www.lazada.vn/products/tui-nguyen-2-kg-khong-chiet-thuc-an-hat-cho-meo-con-va-meo-me-dang-bau-cho-con-bu-royal-canin-mother-babycat-i2946072421.html</v>
      </c>
      <c r="C8593" s="10" t="s">
        <v>8593</v>
      </c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>
      <c r="A8594" s="8">
        <v>13448.0</v>
      </c>
      <c r="B8594" s="9" t="str">
        <f>HYPERLINK("https://www.lazada.vn/products/freeshipmax-mi-goi-ramen-ichiran-nhat-ban-i2737913582.html", "https://www.lazada.vn/products/freeshipmax-mi-goi-ramen-ichiran-nhat-ban-i2737913582.html")</f>
        <v>https://www.lazada.vn/products/freeshipmax-mi-goi-ramen-ichiran-nhat-ban-i2737913582.html</v>
      </c>
      <c r="C8594" s="10" t="s">
        <v>8594</v>
      </c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>
      <c r="A8595" s="8">
        <v>13449.0</v>
      </c>
      <c r="B8595" s="9" t="str">
        <f>HYPERLINK("https://www.lazada.vn/products/tac-xi-muoi-thanh-binh-i2667865526.html", "https://www.lazada.vn/products/tac-xi-muoi-thanh-binh-i2667865526.html")</f>
        <v>https://www.lazada.vn/products/tac-xi-muoi-thanh-binh-i2667865526.html</v>
      </c>
      <c r="C8595" s="10" t="s">
        <v>8595</v>
      </c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>
      <c r="A8596" s="8">
        <v>13450.0</v>
      </c>
      <c r="B8596" s="9" t="str">
        <f>HYPERLINK("https://www.lazada.vn/products/hoa-toc-nuoc-yen-nha-dam-tingco-chai-500-ml-i2028784048.html", "https://www.lazada.vn/products/hoa-toc-nuoc-yen-nha-dam-tingco-chai-500-ml-i2028784048.html")</f>
        <v>https://www.lazada.vn/products/hoa-toc-nuoc-yen-nha-dam-tingco-chai-500-ml-i2028784048.html</v>
      </c>
      <c r="C8596" s="10" t="s">
        <v>8596</v>
      </c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>
      <c r="A8597" s="8">
        <v>13451.0</v>
      </c>
      <c r="B8597" s="9" t="str">
        <f>HYPERLINK("https://www.lazada.vn/products/nuoc-cot-ga-brands-vi-truyen-thong-i1847446491.html", "https://www.lazada.vn/products/nuoc-cot-ga-brands-vi-truyen-thong-i1847446491.html")</f>
        <v>https://www.lazada.vn/products/nuoc-cot-ga-brands-vi-truyen-thong-i1847446491.html</v>
      </c>
      <c r="C8597" s="10" t="s">
        <v>8597</v>
      </c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>
      <c r="A8598" s="8">
        <v>13452.0</v>
      </c>
      <c r="B8598" s="9" t="str">
        <f>HYPERLINK("https://www.lazada.vn/products/keo-deo-trai-cay-boc-vo-nhieu-vi-goi-60g-beegin-food-store-i2659463718.html", "https://www.lazada.vn/products/keo-deo-trai-cay-boc-vo-nhieu-vi-goi-60g-beegin-food-store-i2659463718.html")</f>
        <v>https://www.lazada.vn/products/keo-deo-trai-cay-boc-vo-nhieu-vi-goi-60g-beegin-food-store-i2659463718.html</v>
      </c>
      <c r="C8598" s="10" t="s">
        <v>8598</v>
      </c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>
      <c r="A8599" s="8">
        <v>13453.0</v>
      </c>
      <c r="B8599" s="9" t="str">
        <f>HYPERLINK("https://www.lazada.vn/products/com-chay-chay-diep-khang-180-gr-i2251229229.html", "https://www.lazada.vn/products/com-chay-chay-diep-khang-180-gr-i2251229229.html")</f>
        <v>https://www.lazada.vn/products/com-chay-chay-diep-khang-180-gr-i2251229229.html</v>
      </c>
      <c r="C8599" s="10" t="s">
        <v>8599</v>
      </c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>
      <c r="A8600" s="8">
        <v>13454.0</v>
      </c>
      <c r="B8600" s="9" t="str">
        <f>HYPERLINK("https://www.lazada.vn/products/hcm-1-kg-thach-zai-mix-du-vi-ngon-hon-khi-an-lanh-cong-ty-duc-hanh-i2040284901.html", "https://www.lazada.vn/products/hcm-1-kg-thach-zai-mix-du-vi-ngon-hon-khi-an-lanh-cong-ty-duc-hanh-i2040284901.html")</f>
        <v>https://www.lazada.vn/products/hcm-1-kg-thach-zai-mix-du-vi-ngon-hon-khi-an-lanh-cong-ty-duc-hanh-i2040284901.html</v>
      </c>
      <c r="C8600" s="10" t="s">
        <v>8600</v>
      </c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>
      <c r="A8601" s="8">
        <v>13455.0</v>
      </c>
      <c r="B8601" s="9" t="str">
        <f>HYPERLINK("https://www.lazada.vn/products/do-an-vat-banh-cha-nem-la-chanh-mai-anh-banh-an-vat-ngon-hap-dan-gia-re-1-goi-10-cai-i2537731006.html", "https://www.lazada.vn/products/do-an-vat-banh-cha-nem-la-chanh-mai-anh-banh-an-vat-ngon-hap-dan-gia-re-1-goi-10-cai-i2537731006.html")</f>
        <v>https://www.lazada.vn/products/do-an-vat-banh-cha-nem-la-chanh-mai-anh-banh-an-vat-ngon-hap-dan-gia-re-1-goi-10-cai-i2537731006.html</v>
      </c>
      <c r="C8601" s="10" t="s">
        <v>8601</v>
      </c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>
      <c r="A8602" s="8">
        <v>13456.0</v>
      </c>
      <c r="B8602" s="9" t="str">
        <f>HYPERLINK("https://www.lazada.vn/products/banh-sua-chua-ong-gia-banh-an-vat-noi-dia-ngon-hap-dan-i2537584393.html", "https://www.lazada.vn/products/banh-sua-chua-ong-gia-banh-an-vat-noi-dia-ngon-hap-dan-i2537584393.html")</f>
        <v>https://www.lazada.vn/products/banh-sua-chua-ong-gia-banh-an-vat-noi-dia-ngon-hap-dan-i2537584393.html</v>
      </c>
      <c r="C8602" s="10" t="s">
        <v>8602</v>
      </c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>
      <c r="A8603" s="8">
        <v>13457.0</v>
      </c>
      <c r="B8603" s="9" t="str">
        <f>HYPERLINK("https://www.lazada.vn/products/bot-pha-nuoc-chanh-vang-country-time-lemonade-cua-my-hop-538gr-i2631861727.html", "https://www.lazada.vn/products/bot-pha-nuoc-chanh-vang-country-time-lemonade-cua-my-hop-538gr-i2631861727.html")</f>
        <v>https://www.lazada.vn/products/bot-pha-nuoc-chanh-vang-country-time-lemonade-cua-my-hop-538gr-i2631861727.html</v>
      </c>
      <c r="C8603" s="10" t="s">
        <v>8603</v>
      </c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>
      <c r="A8604" s="8">
        <v>13458.0</v>
      </c>
      <c r="B8604" s="9" t="str">
        <f>HYPERLINK("https://www.lazada.vn/products/vang-y-1930-i2477819013.html", "https://www.lazada.vn/products/vang-y-1930-i2477819013.html")</f>
        <v>https://www.lazada.vn/products/vang-y-1930-i2477819013.html</v>
      </c>
      <c r="C8604" s="10" t="s">
        <v>8604</v>
      </c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>
      <c r="A8605" s="8">
        <v>13459.0</v>
      </c>
      <c r="B8605" s="9" t="str">
        <f>HYPERLINK("https://www.lazada.vn/products/xa-date-1405hop-500g-banh-mochi-sua-nhan-kem-khoai-mon-dau-nanh-sau-rieng-dao-xoai-chuyen-si-tpnk-i2651984793.html", "https://www.lazada.vn/products/xa-date-1405hop-500g-banh-mochi-sua-nhan-kem-khoai-mon-dau-nanh-sau-rieng-dao-xoai-chuyen-si-tpnk-i2651984793.html")</f>
        <v>https://www.lazada.vn/products/xa-date-1405hop-500g-banh-mochi-sua-nhan-kem-khoai-mon-dau-nanh-sau-rieng-dao-xoai-chuyen-si-tpnk-i2651984793.html</v>
      </c>
      <c r="C8605" s="10" t="s">
        <v>8605</v>
      </c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>
      <c r="A8606" s="8">
        <v>13460.0</v>
      </c>
      <c r="B8606" s="9" t="str">
        <f>HYPERLINK("https://www.lazada.vn/products/me-lao-lac-muoi-ot-duong-500ghu-tang-kem-muoi-ot-do-an-vat-an-vat-i1721835836.html", "https://www.lazada.vn/products/me-lao-lac-muoi-ot-duong-500ghu-tang-kem-muoi-ot-do-an-vat-an-vat-i1721835836.html")</f>
        <v>https://www.lazada.vn/products/me-lao-lac-muoi-ot-duong-500ghu-tang-kem-muoi-ot-do-an-vat-an-vat-i1721835836.html</v>
      </c>
      <c r="C8606" s="10" t="s">
        <v>8606</v>
      </c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>
      <c r="A8607" s="8">
        <v>13461.0</v>
      </c>
      <c r="B8607" s="9" t="str">
        <f>HYPERLINK("https://www.lazada.vn/products/banh-bong-lan-kem-trung-orion-custas-hop-6-cai-x-235g-i2957365337.html", "https://www.lazada.vn/products/banh-bong-lan-kem-trung-orion-custas-hop-6-cai-x-235g-i2957365337.html")</f>
        <v>https://www.lazada.vn/products/banh-bong-lan-kem-trung-orion-custas-hop-6-cai-x-235g-i2957365337.html</v>
      </c>
      <c r="C8607" s="10" t="s">
        <v>8607</v>
      </c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>
      <c r="A8608" s="8">
        <v>13462.0</v>
      </c>
      <c r="B8608" s="9" t="str">
        <f>HYPERLINK("https://www.lazada.vn/products/1664-blanc-i2809114447.html", "https://www.lazada.vn/products/1664-blanc-i2809114447.html")</f>
        <v>https://www.lazada.vn/products/1664-blanc-i2809114447.html</v>
      </c>
      <c r="C8608" s="10" t="s">
        <v>8608</v>
      </c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>
      <c r="A8609" s="8">
        <v>13463.0</v>
      </c>
      <c r="B8609" s="9" t="str">
        <f>HYPERLINK("https://www.lazada.vn/products/1-kg-mu-trom-dang-vien-ninh-thuan-cuc-to-loai-ngon-i2621742401.html", "https://www.lazada.vn/products/1-kg-mu-trom-dang-vien-ninh-thuan-cuc-to-loai-ngon-i2621742401.html")</f>
        <v>https://www.lazada.vn/products/1-kg-mu-trom-dang-vien-ninh-thuan-cuc-to-loai-ngon-i2621742401.html</v>
      </c>
      <c r="C8609" s="10" t="s">
        <v>8609</v>
      </c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>
      <c r="A8610" s="8">
        <v>13464.0</v>
      </c>
      <c r="B8610" s="9" t="str">
        <f>HYPERLINK("https://www.lazada.vn/products/banh-nabisco-variety-pack-snack-hop-40-goi-trong-luong-1120gr-cua-my-gom-5-banh-ritz-bits-oreo-mini-nutter-butter-bites-chips-ahoy-i2640960061.html", "https://www.lazada.vn/products/banh-nabisco-variety-pack-snack-hop-40-goi-trong-luong-1120gr-cua-my-gom-5-banh-ritz-bits-oreo-mini-nutter-butter-bites-chips-ahoy-i2640960061.html")</f>
        <v>https://www.lazada.vn/products/banh-nabisco-variety-pack-snack-hop-40-goi-trong-luong-1120gr-cua-my-gom-5-banh-ritz-bits-oreo-mini-nutter-butter-bites-chips-ahoy-i2640960061.html</v>
      </c>
      <c r="C8610" s="10" t="s">
        <v>8610</v>
      </c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>
      <c r="A8611" s="8">
        <v>13465.0</v>
      </c>
      <c r="B8611" s="9" t="str">
        <f>HYPERLINK("https://www.lazada.vn/products/banh-quy-hat-ca-phe-vi-ca-phe-den-dang-nguyen-ban-it-duong-dam-vi-i2824901181.html", "https://www.lazada.vn/products/banh-quy-hat-ca-phe-vi-ca-phe-den-dang-nguyen-ban-it-duong-dam-vi-i2824901181.html")</f>
        <v>https://www.lazada.vn/products/banh-quy-hat-ca-phe-vi-ca-phe-den-dang-nguyen-ban-it-duong-dam-vi-i2824901181.html</v>
      </c>
      <c r="C8611" s="10" t="s">
        <v>8611</v>
      </c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>
      <c r="A8612" s="8">
        <v>13466.0</v>
      </c>
      <c r="B8612" s="9" t="str">
        <f>HYPERLINK("https://www.lazada.vn/products/500g-xoai-say-deo-muoi-ot-hang-xuat-khau-chins-da-lat-i2837862049.html", "https://www.lazada.vn/products/500g-xoai-say-deo-muoi-ot-hang-xuat-khau-chins-da-lat-i2837862049.html")</f>
        <v>https://www.lazada.vn/products/500g-xoai-say-deo-muoi-ot-hang-xuat-khau-chins-da-lat-i2837862049.html</v>
      </c>
      <c r="C8612" s="10" t="s">
        <v>8612</v>
      </c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>
      <c r="A8613" s="8">
        <v>13467.0</v>
      </c>
      <c r="B8613" s="9" t="str">
        <f>HYPERLINK("https://www.lazada.vn/products/10-goi-30k-i2904956212.html", "https://www.lazada.vn/products/10-goi-30k-i2904956212.html")</f>
        <v>https://www.lazada.vn/products/10-goi-30k-i2904956212.html</v>
      </c>
      <c r="C8613" s="10" t="s">
        <v>8613</v>
      </c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>
      <c r="A8614" s="8">
        <v>13468.0</v>
      </c>
      <c r="B8614" s="9" t="str">
        <f>HYPERLINK("https://www.lazada.vn/products/khoai-lang-tim-say-mat-ong-dac-san-chinh-da-lat-loai-dac-biet-i2837854077.html", "https://www.lazada.vn/products/khoai-lang-tim-say-mat-ong-dac-san-chinh-da-lat-loai-dac-biet-i2837854077.html")</f>
        <v>https://www.lazada.vn/products/khoai-lang-tim-say-mat-ong-dac-san-chinh-da-lat-loai-dac-biet-i2837854077.html</v>
      </c>
      <c r="C8614" s="10" t="s">
        <v>8614</v>
      </c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>
      <c r="A8615" s="8">
        <v>13469.0</v>
      </c>
      <c r="B8615" s="9" t="str">
        <f>HYPERLINK("https://www.lazada.vn/products/bot-cacao-nguyen-chat-khong-duong-cacaomi-original-vi-truyen-thong-dung-pha-che-socola-nong-milo-dam-tra-sua-granola-giam-can-an-kieng-1kg-i1267593947.html", "https://www.lazada.vn/products/bot-cacao-nguyen-chat-khong-duong-cacaomi-original-vi-truyen-thong-dung-pha-che-socola-nong-milo-dam-tra-sua-granola-giam-can-an-kieng-1kg-i1267593947.html")</f>
        <v>https://www.lazada.vn/products/bot-cacao-nguyen-chat-khong-duong-cacaomi-original-vi-truyen-thong-dung-pha-che-socola-nong-milo-dam-tra-sua-granola-giam-can-an-kieng-1kg-i1267593947.html</v>
      </c>
      <c r="C8615" s="10" t="s">
        <v>8615</v>
      </c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>
      <c r="A8616" s="8">
        <v>13470.0</v>
      </c>
      <c r="B8616" s="9" t="str">
        <f>HYPERLINK("https://www.lazada.vn/products/socola-boc-hanh-nhan-kirkland-milk-chocolate-almonds-136kg-i2864537208.html", "https://www.lazada.vn/products/socola-boc-hanh-nhan-kirkland-milk-chocolate-almonds-136kg-i2864537208.html")</f>
        <v>https://www.lazada.vn/products/socola-boc-hanh-nhan-kirkland-milk-chocolate-almonds-136kg-i2864537208.html</v>
      </c>
      <c r="C8616" s="10" t="s">
        <v>8616</v>
      </c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>
      <c r="A8617" s="8">
        <v>13471.0</v>
      </c>
      <c r="B8617" s="9" t="str">
        <f>HYPERLINK("https://www.lazada.vn/products/thuc-an-hat-royal-canin-poodle-adult-danh-rieng-cho-dong-poodle-i2946011603.html", "https://www.lazada.vn/products/thuc-an-hat-royal-canin-poodle-adult-danh-rieng-cho-dong-poodle-i2946011603.html")</f>
        <v>https://www.lazada.vn/products/thuc-an-hat-royal-canin-poodle-adult-danh-rieng-cho-dong-poodle-i2946011603.html</v>
      </c>
      <c r="C8617" s="10" t="s">
        <v>8617</v>
      </c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>
      <c r="A8618" s="8">
        <v>13472.0</v>
      </c>
      <c r="B8618" s="9" t="str">
        <f>HYPERLINK("https://www.lazada.vn/products/combo-2-goi-snack-mi-tom-enaak-tre-em-vi-ga-truyen-thong-30g-m04-beegin-food-store-i2737872679.html", "https://www.lazada.vn/products/combo-2-goi-snack-mi-tom-enaak-tre-em-vi-ga-truyen-thong-30g-m04-beegin-food-store-i2737872679.html")</f>
        <v>https://www.lazada.vn/products/combo-2-goi-snack-mi-tom-enaak-tre-em-vi-ga-truyen-thong-30g-m04-beegin-food-store-i2737872679.html</v>
      </c>
      <c r="C8618" s="10" t="s">
        <v>8618</v>
      </c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>
      <c r="A8619" s="8">
        <v>13473.0</v>
      </c>
      <c r="B8619" s="9" t="str">
        <f>HYPERLINK("https://www.lazada.vn/products/nhau-ngam-ruou-ruou-nhau-i2666993312.html", "https://www.lazada.vn/products/nhau-ngam-ruou-ruou-nhau-i2666993312.html")</f>
        <v>https://www.lazada.vn/products/nhau-ngam-ruou-ruou-nhau-i2666993312.html</v>
      </c>
      <c r="C8619" s="10" t="s">
        <v>8619</v>
      </c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>
      <c r="A8620" s="8">
        <v>13474.0</v>
      </c>
      <c r="B8620" s="9" t="str">
        <f>HYPERLINK("https://www.lazada.vn/products/tui-nguyen-2kg-hat-royal-canin-fit-32-danh-cho-meo-hay-van-dong-thuong-xuyen-i2945997670.html", "https://www.lazada.vn/products/tui-nguyen-2kg-hat-royal-canin-fit-32-danh-cho-meo-hay-van-dong-thuong-xuyen-i2945997670.html")</f>
        <v>https://www.lazada.vn/products/tui-nguyen-2kg-hat-royal-canin-fit-32-danh-cho-meo-hay-van-dong-thuong-xuyen-i2945997670.html</v>
      </c>
      <c r="C8620" s="10" t="s">
        <v>8620</v>
      </c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>
      <c r="A8621" s="8">
        <v>13475.0</v>
      </c>
      <c r="B8621" s="9" t="str">
        <f>HYPERLINK("https://www.lazada.vn/products/hoa-toc-thung-24-lon-pepsi-co-gas-lon-320-ml-i2028783049.html", "https://www.lazada.vn/products/hoa-toc-thung-24-lon-pepsi-co-gas-lon-320-ml-i2028783049.html")</f>
        <v>https://www.lazada.vn/products/hoa-toc-thung-24-lon-pepsi-co-gas-lon-320-ml-i2028783049.html</v>
      </c>
      <c r="C8621" s="10" t="s">
        <v>8621</v>
      </c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>
      <c r="A8622" s="8">
        <v>13476.0</v>
      </c>
      <c r="B8622" s="9" t="str">
        <f>HYPERLINK("https://www.lazada.vn/products/nuoc-tang-luc-vi-ca-phe-wake-up-247-chai-330ml-i1847042858.html", "https://www.lazada.vn/products/nuoc-tang-luc-vi-ca-phe-wake-up-247-chai-330ml-i1847042858.html")</f>
        <v>https://www.lazada.vn/products/nuoc-tang-luc-vi-ca-phe-wake-up-247-chai-330ml-i1847042858.html</v>
      </c>
      <c r="C8622" s="10" t="s">
        <v>8622</v>
      </c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>
      <c r="A8623" s="8">
        <v>13477.0</v>
      </c>
      <c r="B8623" s="9" t="str">
        <f>HYPERLINK("https://www.lazada.vn/products/keo-deo-trai-cay-boc-vo-nhieu-vi-goi-60g-k67-an-vat-beegin-i2659420932.html", "https://www.lazada.vn/products/keo-deo-trai-cay-boc-vo-nhieu-vi-goi-60g-k67-an-vat-beegin-i2659420932.html")</f>
        <v>https://www.lazada.vn/products/keo-deo-trai-cay-boc-vo-nhieu-vi-goi-60g-k67-an-vat-beegin-i2659420932.html</v>
      </c>
      <c r="C8623" s="10" t="s">
        <v>8623</v>
      </c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>
      <c r="A8624" s="8">
        <v>13478.0</v>
      </c>
      <c r="B8624" s="9" t="str">
        <f>HYPERLINK("https://www.lazada.vn/products/banh-trang-phoi-suong-toi-deo-sa-te-tac-lua-chon-5b10b1b-i2250823917.html", "https://www.lazada.vn/products/banh-trang-phoi-suong-toi-deo-sa-te-tac-lua-chon-5b10b1b-i2250823917.html")</f>
        <v>https://www.lazada.vn/products/banh-trang-phoi-suong-toi-deo-sa-te-tac-lua-chon-5b10b1b-i2250823917.html</v>
      </c>
      <c r="C8624" s="10" t="s">
        <v>8624</v>
      </c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>
      <c r="A8625" s="8">
        <v>13479.0</v>
      </c>
      <c r="B8625" s="9" t="str">
        <f>HYPERLINK("https://www.lazada.vn/products/goi-500gr-bot-kem-cheese-thom-ngon-i2630504752.html", "https://www.lazada.vn/products/goi-500gr-bot-kem-cheese-thom-ngon-i2630504752.html")</f>
        <v>https://www.lazada.vn/products/goi-500gr-bot-kem-cheese-thom-ngon-i2630504752.html</v>
      </c>
      <c r="C8625" s="10" t="s">
        <v>8625</v>
      </c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>
      <c r="A8626" s="8">
        <v>13480.0</v>
      </c>
      <c r="B8626" s="9" t="str">
        <f>HYPERLINK("https://www.lazada.vn/products/thach-zai-zai-10-thanh-vi-ngau-nhien-i2040158314.html", "https://www.lazada.vn/products/thach-zai-zai-10-thanh-vi-ngau-nhien-i2040158314.html")</f>
        <v>https://www.lazada.vn/products/thach-zai-zai-10-thanh-vi-ngau-nhien-i2040158314.html</v>
      </c>
      <c r="C8626" s="10" t="s">
        <v>8626</v>
      </c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>
      <c r="A8627" s="8">
        <v>13481.0</v>
      </c>
      <c r="B8627" s="9" t="str">
        <f>HYPERLINK("https://www.lazada.vn/products/banh-cua-nhan-kem-sua-banh-quy-cua-bo-sua-do-an-vat-ngon-hn-i2537464156.html", "https://www.lazada.vn/products/banh-cua-nhan-kem-sua-banh-quy-cua-bo-sua-do-an-vat-ngon-hn-i2537464156.html")</f>
        <v>https://www.lazada.vn/products/banh-cua-nhan-kem-sua-banh-quy-cua-bo-sua-do-an-vat-ngon-hn-i2537464156.html</v>
      </c>
      <c r="C8627" s="10" t="s">
        <v>8627</v>
      </c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>
      <c r="A8628" s="8">
        <v>13482.0</v>
      </c>
      <c r="B8628" s="9" t="str">
        <f>HYPERLINK("https://www.lazada.vn/products/vang-y-t3-i2477569841.html", "https://www.lazada.vn/products/vang-y-t3-i2477569841.html")</f>
        <v>https://www.lazada.vn/products/vang-y-t3-i2477569841.html</v>
      </c>
      <c r="C8628" s="10" t="s">
        <v>8628</v>
      </c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>
      <c r="A8629" s="8">
        <v>13483.0</v>
      </c>
      <c r="B8629" s="9" t="str">
        <f>HYPERLINK("https://www.lazada.vn/products/banh-quy-gion-mixx-hat-dinh-duong-godinn-dai-loan-hop-350-gram-i2824529711.html", "https://www.lazada.vn/products/banh-quy-gion-mixx-hat-dinh-duong-godinn-dai-loan-hop-350-gram-i2824529711.html")</f>
        <v>https://www.lazada.vn/products/banh-quy-gion-mixx-hat-dinh-duong-godinn-dai-loan-hop-350-gram-i2824529711.html</v>
      </c>
      <c r="C8629" s="10" t="s">
        <v>8629</v>
      </c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>
      <c r="A8630" s="8">
        <v>13484.0</v>
      </c>
      <c r="B8630" s="9" t="str">
        <f>HYPERLINK("https://www.lazada.vn/products/cao-atiso-nau-sam-300g-dung-nau-sam-bong-cuc-sam-bi-dao-i2621675973.html", "https://www.lazada.vn/products/cao-atiso-nau-sam-300g-dung-nau-sam-bong-cuc-sam-bi-dao-i2621675973.html")</f>
        <v>https://www.lazada.vn/products/cao-atiso-nau-sam-300g-dung-nau-sam-bong-cuc-sam-bi-dao-i2621675973.html</v>
      </c>
      <c r="C8630" s="10" t="s">
        <v>8630</v>
      </c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>
      <c r="A8631" s="8">
        <v>13485.0</v>
      </c>
      <c r="B8631" s="9" t="str">
        <f>HYPERLINK("https://www.lazada.vn/products/bo-6-cai-ly-bia-ug-316-thai-lan-i2807702946.html", "https://www.lazada.vn/products/bo-6-cai-ly-bia-ug-316-thai-lan-i2807702946.html")</f>
        <v>https://www.lazada.vn/products/bo-6-cai-ly-bia-ug-316-thai-lan-i2807702946.html</v>
      </c>
      <c r="C8631" s="10" t="s">
        <v>8631</v>
      </c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>
      <c r="A8632" s="8">
        <v>13486.0</v>
      </c>
      <c r="B8632" s="9" t="str">
        <f>HYPERLINK("https://www.lazada.vn/products/toi-phi-gion-ngon-sach-se-hang-nha-lam-dam-bao-chat-luong-khong-pha-bot-1-hu-100g-ngoc-hien-foody-i1721677367.html", "https://www.lazada.vn/products/toi-phi-gion-ngon-sach-se-hang-nha-lam-dam-bao-chat-luong-khong-pha-bot-1-hu-100g-ngoc-hien-foody-i1721677367.html")</f>
        <v>https://www.lazada.vn/products/toi-phi-gion-ngon-sach-se-hang-nha-lam-dam-bao-chat-luong-khong-pha-bot-1-hu-100g-ngoc-hien-foody-i1721677367.html</v>
      </c>
      <c r="C8632" s="10" t="s">
        <v>8632</v>
      </c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>
      <c r="A8633" s="8">
        <v>13487.0</v>
      </c>
      <c r="B8633" s="9" t="str">
        <f>HYPERLINK("https://www.lazada.vn/products/mi-kokomi-65gr-i2904905131.html", "https://www.lazada.vn/products/mi-kokomi-65gr-i2904905131.html")</f>
        <v>https://www.lazada.vn/products/mi-kokomi-65gr-i2904905131.html</v>
      </c>
      <c r="C8633" s="10" t="s">
        <v>8633</v>
      </c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>
      <c r="A8634" s="8">
        <v>13488.0</v>
      </c>
      <c r="B8634" s="9" t="str">
        <f>HYPERLINK("https://www.lazada.vn/products/bot-milo-nguyen-chat-1kg-nestle-date-082025-i1264616084.html", "https://www.lazada.vn/products/bot-milo-nguyen-chat-1kg-nestle-date-082025-i1264616084.html")</f>
        <v>https://www.lazada.vn/products/bot-milo-nguyen-chat-1kg-nestle-date-082025-i1264616084.html</v>
      </c>
      <c r="C8634" s="10" t="s">
        <v>8634</v>
      </c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>
      <c r="A8635" s="8">
        <v>13489.0</v>
      </c>
      <c r="B8635" s="9" t="str">
        <f>HYPERLINK("https://www.lazada.vn/products/banh-trung-muoi-pho-mai-tan-chay-thom-gion-obalab-320g-cai-i2956024692.html", "https://www.lazada.vn/products/banh-trung-muoi-pho-mai-tan-chay-thom-gion-obalab-320g-cai-i2956024692.html")</f>
        <v>https://www.lazada.vn/products/banh-trung-muoi-pho-mai-tan-chay-thom-gion-obalab-320g-cai-i2956024692.html</v>
      </c>
      <c r="C8635" s="10" t="s">
        <v>8635</v>
      </c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>
      <c r="A8636" s="8">
        <v>13490.0</v>
      </c>
      <c r="B8636" s="9" t="str">
        <f>HYPERLINK("https://www.lazada.vn/products/tui-nguyen-tui-5-goi-chip-khoai-tay-gion-vi-bbq-sweet-chilli-copper-kettle-gluten-free-khong-bot-ngot-i2638895501.html", "https://www.lazada.vn/products/tui-nguyen-tui-5-goi-chip-khoai-tay-gion-vi-bbq-sweet-chilli-copper-kettle-gluten-free-khong-bot-ngot-i2638895501.html")</f>
        <v>https://www.lazada.vn/products/tui-nguyen-tui-5-goi-chip-khoai-tay-gion-vi-bbq-sweet-chilli-copper-kettle-gluten-free-khong-bot-ngot-i2638895501.html</v>
      </c>
      <c r="C8636" s="10" t="s">
        <v>8636</v>
      </c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>
      <c r="A8637" s="8">
        <v>13491.0</v>
      </c>
      <c r="B8637" s="9" t="str">
        <f>HYPERLINK("https://www.lazada.vn/products/khoai-lang-mat-ta-nung-say-deo-da-lat-khong-duong-250gr-dac-san-chin-da-lat-i2837829299.html", "https://www.lazada.vn/products/khoai-lang-mat-ta-nung-say-deo-da-lat-khong-duong-250gr-dac-san-chin-da-lat-i2837829299.html")</f>
        <v>https://www.lazada.vn/products/khoai-lang-mat-ta-nung-say-deo-da-lat-khong-duong-250gr-dac-san-chin-da-lat-i2837829299.html</v>
      </c>
      <c r="C8637" s="10" t="s">
        <v>8637</v>
      </c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>
      <c r="A8638" s="8">
        <v>13492.0</v>
      </c>
      <c r="B8638" s="9" t="str">
        <f>HYPERLINK("https://www.lazada.vn/products/freeshipmax-mi-ramen-ichiran-hoac-hu-gia-vi-dong-goi-i2737859814.html", "https://www.lazada.vn/products/freeshipmax-mi-ramen-ichiran-hoac-hu-gia-vi-dong-goi-i2737859814.html")</f>
        <v>https://www.lazada.vn/products/freeshipmax-mi-ramen-ichiran-hoac-hu-gia-vi-dong-goi-i2737859814.html</v>
      </c>
      <c r="C8638" s="10" t="s">
        <v>8638</v>
      </c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>
      <c r="A8639" s="8">
        <v>13493.0</v>
      </c>
      <c r="B8639" s="9" t="str">
        <f>HYPERLINK("https://www.lazada.vn/products/nuoc-trai-cay-soda-welchs-han-quoc-355ml-i2666298653.html", "https://www.lazada.vn/products/nuoc-trai-cay-soda-welchs-han-quoc-355ml-i2666298653.html")</f>
        <v>https://www.lazada.vn/products/nuoc-trai-cay-soda-welchs-han-quoc-355ml-i2666298653.html</v>
      </c>
      <c r="C8639" s="10" t="s">
        <v>8639</v>
      </c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>
      <c r="A8640" s="8">
        <v>13494.0</v>
      </c>
      <c r="B8640" s="9" t="str">
        <f>HYPERLINK("https://www.lazada.vn/products/500gr-ba-khia-muoi-nguyen-con-chua-tron-dac-san-chau-doc-i2944556194.html", "https://www.lazada.vn/products/500gr-ba-khia-muoi-nguyen-con-chua-tron-dac-san-chau-doc-i2944556194.html")</f>
        <v>https://www.lazada.vn/products/500gr-ba-khia-muoi-nguyen-con-chua-tron-dac-san-chau-doc-i2944556194.html</v>
      </c>
      <c r="C8640" s="10" t="s">
        <v>8640</v>
      </c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>
      <c r="A8641" s="8">
        <v>13495.0</v>
      </c>
      <c r="B8641" s="9" t="str">
        <f>HYPERLINK("https://www.lazada.vn/products/hoa-toc-thung-24-chai-tra-xanh-khong-do-chai-455-ml-i2028766136.html", "https://www.lazada.vn/products/hoa-toc-thung-24-chai-tra-xanh-khong-do-chai-455-ml-i2028766136.html")</f>
        <v>https://www.lazada.vn/products/hoa-toc-thung-24-chai-tra-xanh-khong-do-chai-455-ml-i2028766136.html</v>
      </c>
      <c r="C8641" s="10" t="s">
        <v>8641</v>
      </c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>
      <c r="A8642" s="8">
        <v>13496.0</v>
      </c>
      <c r="B8642" s="9" t="str">
        <f>HYPERLINK("https://www.lazada.vn/products/nuoc-tang-luc-rockstar-lon-250ml-i1829109301.html", "https://www.lazada.vn/products/nuoc-tang-luc-rockstar-lon-250ml-i1829109301.html")</f>
        <v>https://www.lazada.vn/products/nuoc-tang-luc-rockstar-lon-250ml-i1829109301.html</v>
      </c>
      <c r="C8642" s="10" t="s">
        <v>8642</v>
      </c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>
      <c r="A8643" s="8">
        <v>13497.0</v>
      </c>
      <c r="B8643" s="9" t="str">
        <f>HYPERLINK("https://www.lazada.vn/products/combo-2h-keo-nhap-khau-nhat-i2659370489.html", "https://www.lazada.vn/products/combo-2h-keo-nhap-khau-nhat-i2659370489.html")</f>
        <v>https://www.lazada.vn/products/combo-2h-keo-nhap-khau-nhat-i2659370489.html</v>
      </c>
      <c r="C8643" s="10" t="s">
        <v>8643</v>
      </c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>
      <c r="A8644" s="8">
        <v>13498.0</v>
      </c>
      <c r="B8644" s="9" t="str">
        <f>HYPERLINK("https://www.lazada.vn/products/banh-trang-dua-non-mon-dac-san-thom-ngon-gion-beo-rat-hap-dan-i2243391670.html", "https://www.lazada.vn/products/banh-trang-dua-non-mon-dac-san-thom-ngon-gion-beo-rat-hap-dan-i2243391670.html")</f>
        <v>https://www.lazada.vn/products/banh-trang-dua-non-mon-dac-san-thom-ngon-gion-beo-rat-hap-dan-i2243391670.html</v>
      </c>
      <c r="C8644" s="10" t="s">
        <v>8644</v>
      </c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>
      <c r="A8645" s="8">
        <v>13499.0</v>
      </c>
      <c r="B8645" s="9" t="str">
        <f>HYPERLINK("https://www.lazada.vn/products/bot-suong-sao-hai-mau-den-trang-hang-cong-ty-chinh-hieu-day-du-kiem-dinh-thanh-nhiet-giai-nhiet-i-kho-thao-duoc-24h-i2629150878.html", "https://www.lazada.vn/products/bot-suong-sao-hai-mau-den-trang-hang-cong-ty-chinh-hieu-day-du-kiem-dinh-thanh-nhiet-giai-nhiet-i-kho-thao-duoc-24h-i2629150878.html")</f>
        <v>https://www.lazada.vn/products/bot-suong-sao-hai-mau-den-trang-hang-cong-ty-chinh-hieu-day-du-kiem-dinh-thanh-nhiet-giai-nhiet-i-kho-thao-duoc-24h-i2629150878.html</v>
      </c>
      <c r="C8645" s="10" t="s">
        <v>8645</v>
      </c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>
      <c r="A8646" s="8">
        <v>13500.0</v>
      </c>
      <c r="B8646" s="9" t="str">
        <f>HYPERLINK("https://www.lazada.vn/products/thach-zai-zai-tui-500g-zai-zai-vi-tu-chon-hang-cong-ty-duc-hanh-i2040155059.html", "https://www.lazada.vn/products/thach-zai-zai-tui-500g-zai-zai-vi-tu-chon-hang-cong-ty-duc-hanh-i2040155059.html")</f>
        <v>https://www.lazada.vn/products/thach-zai-zai-tui-500g-zai-zai-vi-tu-chon-hang-cong-ty-duc-hanh-i2040155059.html</v>
      </c>
      <c r="C8646" s="10" t="s">
        <v>8646</v>
      </c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>
      <c r="A8647" s="8">
        <v>13501.0</v>
      </c>
      <c r="B8647" s="9" t="str">
        <f>HYPERLINK("https://www.lazada.vn/products/banh-mi-hamburger-sua-chua-kep-nhan-pho-mai-cha-bong-do-an-vat-noi-dia-i2537332524.html", "https://www.lazada.vn/products/banh-mi-hamburger-sua-chua-kep-nhan-pho-mai-cha-bong-do-an-vat-noi-dia-i2537332524.html")</f>
        <v>https://www.lazada.vn/products/banh-mi-hamburger-sua-chua-kep-nhan-pho-mai-cha-bong-do-an-vat-noi-dia-i2537332524.html</v>
      </c>
      <c r="C8647" s="10" t="s">
        <v>8647</v>
      </c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>
      <c r="A8648" s="8">
        <v>13502.0</v>
      </c>
      <c r="B8648" s="9" t="str">
        <f>HYPERLINK("https://www.lazada.vn/products/vang-y-t2-i2477555847.html", "https://www.lazada.vn/products/vang-y-t2-i2477555847.html")</f>
        <v>https://www.lazada.vn/products/vang-y-t2-i2477555847.html</v>
      </c>
      <c r="C8648" s="10" t="s">
        <v>8648</v>
      </c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>
      <c r="A8649" s="8">
        <v>13503.0</v>
      </c>
      <c r="B8649" s="9" t="str">
        <f>HYPERLINK("https://www.lazada.vn/products/banh-quy-sua-cosy-marie-goi-528gam-i2824149317.html", "https://www.lazada.vn/products/banh-quy-sua-cosy-marie-goi-528gam-i2824149317.html")</f>
        <v>https://www.lazada.vn/products/banh-quy-sua-cosy-marie-goi-528gam-i2824149317.html</v>
      </c>
      <c r="C8649" s="10" t="s">
        <v>8649</v>
      </c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>
      <c r="A8650" s="8">
        <v>13504.0</v>
      </c>
      <c r="B8650" s="9" t="str">
        <f>HYPERLINK("https://www.lazada.vn/products/combo-5-banh-bong-lan-pho-mai-tron-hap-sua-bo-tuoi-b159-beegin-mart-i2651377129.html", "https://www.lazada.vn/products/combo-5-banh-bong-lan-pho-mai-tron-hap-sua-bo-tuoi-b159-beegin-mart-i2651377129.html")</f>
        <v>https://www.lazada.vn/products/combo-5-banh-bong-lan-pho-mai-tron-hap-sua-bo-tuoi-b159-beegin-mart-i2651377129.html</v>
      </c>
      <c r="C8650" s="10" t="s">
        <v>8650</v>
      </c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>
      <c r="A8651" s="8">
        <v>13505.0</v>
      </c>
      <c r="B8651" s="9" t="str">
        <f>HYPERLINK("https://www.lazada.vn/products/sua-hat-hanh-nhan-golden-health-190ml-thung-24-hop-i2621345700.html", "https://www.lazada.vn/products/sua-hat-hanh-nhan-golden-health-190ml-thung-24-hop-i2621345700.html")</f>
        <v>https://www.lazada.vn/products/sua-hat-hanh-nhan-golden-health-190ml-thung-24-hop-i2621345700.html</v>
      </c>
      <c r="C8651" s="10" t="s">
        <v>8651</v>
      </c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>
      <c r="A8652" s="8">
        <v>13506.0</v>
      </c>
      <c r="B8652" s="9" t="str">
        <f>HYPERLINK("https://www.lazada.vn/products/banh-can-hanh-nhan-goi-loai-ngon-500gr-i2952709144.html", "https://www.lazada.vn/products/banh-can-hanh-nhan-goi-loai-ngon-500gr-i2952709144.html")</f>
        <v>https://www.lazada.vn/products/banh-can-hanh-nhan-goi-loai-ngon-500gr-i2952709144.html</v>
      </c>
      <c r="C8652" s="10" t="s">
        <v>8652</v>
      </c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>
      <c r="A8653" s="8">
        <v>13507.0</v>
      </c>
      <c r="B8653" s="9" t="str">
        <f>HYPERLINK("https://www.lazada.vn/products/fava-beansfoul-medammes-dau-fava-250g-i2939659360.html", "https://www.lazada.vn/products/fava-beansfoul-medammes-dau-fava-250g-i2939659360.html")</f>
        <v>https://www.lazada.vn/products/fava-beansfoul-medammes-dau-fava-250g-i2939659360.html</v>
      </c>
      <c r="C8653" s="10" t="s">
        <v>8653</v>
      </c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>
      <c r="A8654" s="8">
        <v>13508.0</v>
      </c>
      <c r="B8654" s="9" t="str">
        <f>HYPERLINK("https://www.lazada.vn/products/hu-120ml-rosemary-huong-thao-say-lanh-xanh-tuoi-thom-diu-uop-ga-bo-i1721346123.html", "https://www.lazada.vn/products/hu-120ml-rosemary-huong-thao-say-lanh-xanh-tuoi-thom-diu-uop-ga-bo-i1721346123.html")</f>
        <v>https://www.lazada.vn/products/hu-120ml-rosemary-huong-thao-say-lanh-xanh-tuoi-thom-diu-uop-ga-bo-i1721346123.html</v>
      </c>
      <c r="C8654" s="10" t="s">
        <v>8654</v>
      </c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>
      <c r="A8655" s="8">
        <v>13509.0</v>
      </c>
      <c r="B8655" s="9" t="str">
        <f>HYPERLINK("https://www.lazada.vn/products/davita-bone-sugar-free-tuyp-10-vien-sui-i1806318256.html", "https://www.lazada.vn/products/davita-bone-sugar-free-tuyp-10-vien-sui-i1806318256.html")</f>
        <v>https://www.lazada.vn/products/davita-bone-sugar-free-tuyp-10-vien-sui-i1806318256.html</v>
      </c>
      <c r="C8655" s="10" t="s">
        <v>8655</v>
      </c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>
      <c r="A8656" s="8">
        <v>13510.0</v>
      </c>
      <c r="B8656" s="9" t="str">
        <f>HYPERLINK("https://www.lazada.vn/products/mi-udon-khong-muoi-easy-manma-wakodo-cho-be-i2902239260.html", "https://www.lazada.vn/products/mi-udon-khong-muoi-easy-manma-wakodo-cho-be-i2902239260.html")</f>
        <v>https://www.lazada.vn/products/mi-udon-khong-muoi-easy-manma-wakodo-cho-be-i2902239260.html</v>
      </c>
      <c r="C8656" s="10" t="s">
        <v>8656</v>
      </c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>
      <c r="A8657" s="8">
        <v>13511.0</v>
      </c>
      <c r="B8657" s="9" t="str">
        <f>HYPERLINK("https://www.lazada.vn/products/hop-5-vien-keo-vi-sam-mentalk-malaysia-i2658809300.html", "https://www.lazada.vn/products/hop-5-vien-keo-vi-sam-mentalk-malaysia-i2658809300.html")</f>
        <v>https://www.lazada.vn/products/hop-5-vien-keo-vi-sam-mentalk-malaysia-i2658809300.html</v>
      </c>
      <c r="C8657" s="10" t="s">
        <v>8657</v>
      </c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>
      <c r="A8658" s="8">
        <v>13512.0</v>
      </c>
      <c r="B8658" s="9" t="str">
        <f>HYPERLINK("https://www.lazada.vn/products/snack-cha-gio-an-lien-nonya-empire-singapore-100g-i2638441857.html", "https://www.lazada.vn/products/snack-cha-gio-an-lien-nonya-empire-singapore-100g-i2638441857.html")</f>
        <v>https://www.lazada.vn/products/snack-cha-gio-an-lien-nonya-empire-singapore-100g-i2638441857.html</v>
      </c>
      <c r="C8658" s="10" t="s">
        <v>8658</v>
      </c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>
      <c r="A8659" s="8">
        <v>13513.0</v>
      </c>
      <c r="B8659" s="9" t="str">
        <f>HYPERLINK("https://www.lazada.vn/products/thung-30goi-mi-bo-sieu-cay-unif-goi-72g-nuoc-sup-dam-da-thom-ngon-dung-vi-cay-nong-cho-soi-mi-day-ngon-doc-dao-han-su-dung-luon-moi-i2736610227.html", "https://www.lazada.vn/products/thung-30goi-mi-bo-sieu-cay-unif-goi-72g-nuoc-sup-dam-da-thom-ngon-dung-vi-cay-nong-cho-soi-mi-day-ngon-doc-dao-han-su-dung-luon-moi-i2736610227.html")</f>
        <v>https://www.lazada.vn/products/thung-30goi-mi-bo-sieu-cay-unif-goi-72g-nuoc-sup-dam-da-thom-ngon-dung-vi-cay-nong-cho-soi-mi-day-ngon-doc-dao-han-su-dung-luon-moi-i2736610227.html</v>
      </c>
      <c r="C8659" s="10" t="s">
        <v>8659</v>
      </c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>
      <c r="A8660" s="8">
        <v>13514.0</v>
      </c>
      <c r="B8660" s="9" t="str">
        <f>HYPERLINK("https://www.lazada.vn/products/combo-2-chai-nuoc-nho-xanh-330ml-i2665714092.html", "https://www.lazada.vn/products/combo-2-chai-nuoc-nho-xanh-330ml-i2665714092.html")</f>
        <v>https://www.lazada.vn/products/combo-2-chai-nuoc-nho-xanh-330ml-i2665714092.html</v>
      </c>
      <c r="C8660" s="10" t="s">
        <v>8660</v>
      </c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>
      <c r="A8661" s="8">
        <v>13515.0</v>
      </c>
      <c r="B8661" s="9" t="str">
        <f>HYPERLINK("https://www.lazada.vn/products/hon-hop-trai-cay-say-kho-va-rau-cu-an-nhe-goi-500g-chip-trai-cay-sua-chua-tre-em-phu-nu-mang-thai-dac-biet-trai-cay-kho-lon-tui-qua-tang-i2837819081.html", "https://www.lazada.vn/products/hon-hop-trai-cay-say-kho-va-rau-cu-an-nhe-goi-500g-chip-trai-cay-sua-chua-tre-em-phu-nu-mang-thai-dac-biet-trai-cay-kho-lon-tui-qua-tang-i2837819081.html")</f>
        <v>https://www.lazada.vn/products/hon-hop-trai-cay-say-kho-va-rau-cu-an-nhe-goi-500g-chip-trai-cay-sua-chua-tre-em-phu-nu-mang-thai-dac-biet-trai-cay-kho-lon-tui-qua-tang-i2837819081.html</v>
      </c>
      <c r="C8661" s="10" t="s">
        <v>8661</v>
      </c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>
      <c r="A8662" s="8">
        <v>13516.0</v>
      </c>
      <c r="B8662" s="9" t="str">
        <f>HYPERLINK("https://www.lazada.vn/products/hoa-toc-loc-6-lon-nuoc-tang-luc-warrior-nho-lon-330-ml-i2028652985.html", "https://www.lazada.vn/products/hoa-toc-loc-6-lon-nuoc-tang-luc-warrior-nho-lon-330-ml-i2028652985.html")</f>
        <v>https://www.lazada.vn/products/hoa-toc-loc-6-lon-nuoc-tang-luc-warrior-nho-lon-330-ml-i2028652985.html</v>
      </c>
      <c r="C8662" s="10" t="s">
        <v>8662</v>
      </c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>
      <c r="A8663" s="8">
        <v>13517.0</v>
      </c>
      <c r="B8663" s="9" t="str">
        <f>HYPERLINK("https://www.lazada.vn/products/bot-milo-nguyen-chat-1kg-nestle-i1264578506.html", "https://www.lazada.vn/products/bot-milo-nguyen-chat-1kg-nestle-i1264578506.html")</f>
        <v>https://www.lazada.vn/products/bot-milo-nguyen-chat-1kg-nestle-i1264578506.html</v>
      </c>
      <c r="C8663" s="10" t="s">
        <v>8663</v>
      </c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>
      <c r="A8664" s="8">
        <v>13518.0</v>
      </c>
      <c r="B8664" s="9" t="str">
        <f>HYPERLINK("https://www.lazada.vn/products/bia-tiger-crystal-thung-24-lon-330-ml-i2797140341.html", "https://www.lazada.vn/products/bia-tiger-crystal-thung-24-lon-330-ml-i2797140341.html")</f>
        <v>https://www.lazada.vn/products/bia-tiger-crystal-thung-24-lon-330-ml-i2797140341.html</v>
      </c>
      <c r="C8664" s="10" t="s">
        <v>8664</v>
      </c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>
      <c r="A8665" s="8">
        <v>13519.0</v>
      </c>
      <c r="B8665" s="9" t="str">
        <f>HYPERLINK("https://www.lazada.vn/products/tra-sua-chan-chau-nhieu-vi-set-nau-duoc-8-10-coc-thom-ngon-i2621336419.html", "https://www.lazada.vn/products/tra-sua-chan-chau-nhieu-vi-set-nau-duoc-8-10-coc-thom-ngon-i2621336419.html")</f>
        <v>https://www.lazada.vn/products/tra-sua-chan-chau-nhieu-vi-set-nau-duoc-8-10-coc-thom-ngon-i2621336419.html</v>
      </c>
      <c r="C8665" s="10" t="s">
        <v>8665</v>
      </c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>
      <c r="A8666" s="8">
        <v>13520.0</v>
      </c>
      <c r="B8666" s="9" t="str">
        <f>HYPERLINK("https://www.lazada.vn/products/vang-y-t1-i2475921763.html", "https://www.lazada.vn/products/vang-y-t1-i2475921763.html")</f>
        <v>https://www.lazada.vn/products/vang-y-t1-i2475921763.html</v>
      </c>
      <c r="C8666" s="10" t="s">
        <v>8666</v>
      </c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>
      <c r="A8667" s="8">
        <v>13521.0</v>
      </c>
      <c r="B8667" s="9" t="str">
        <f>HYPERLINK("https://www.lazada.vn/products/banh-pia-kim-sa-i2951651960.html", "https://www.lazada.vn/products/banh-pia-kim-sa-i2951651960.html")</f>
        <v>https://www.lazada.vn/products/banh-pia-kim-sa-i2951651960.html</v>
      </c>
      <c r="C8667" s="10" t="s">
        <v>8667</v>
      </c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>
      <c r="A8668" s="8">
        <v>13522.0</v>
      </c>
      <c r="B8668" s="9" t="str">
        <f>HYPERLINK("https://www.lazada.vn/products/5kg-1-thung-thach-zai-zai-mix-nhieu-vi-thach-thanh-dai-hang-cong-ty-duc-hanh-i2040082554.html", "https://www.lazada.vn/products/5kg-1-thung-thach-zai-zai-mix-nhieu-vi-thach-thanh-dai-hang-cong-ty-duc-hanh-i2040082554.html")</f>
        <v>https://www.lazada.vn/products/5kg-1-thung-thach-zai-zai-mix-nhieu-vi-thach-thanh-dai-hang-cong-ty-duc-hanh-i2040082554.html</v>
      </c>
      <c r="C8668" s="10" t="s">
        <v>8668</v>
      </c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>
      <c r="A8669" s="8">
        <v>13523.0</v>
      </c>
      <c r="B8669" s="9" t="str">
        <f>HYPERLINK("https://www.lazada.vn/products/banh-mi-kido-cha-bong-singapore-ga-nuong-takoyaki-pizza-y-pho-mai-3-mui-sieu-mem-hoa-cuc-loc-5-banh-i2532461052.html", "https://www.lazada.vn/products/banh-mi-kido-cha-bong-singapore-ga-nuong-takoyaki-pizza-y-pho-mai-3-mui-sieu-mem-hoa-cuc-loc-5-banh-i2532461052.html")</f>
        <v>https://www.lazada.vn/products/banh-mi-kido-cha-bong-singapore-ga-nuong-takoyaki-pizza-y-pho-mai-3-mui-sieu-mem-hoa-cuc-loc-5-banh-i2532461052.html</v>
      </c>
      <c r="C8669" s="10" t="s">
        <v>8669</v>
      </c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>
      <c r="A8670" s="8">
        <v>13524.0</v>
      </c>
      <c r="B8670" s="9" t="str">
        <f>HYPERLINK("https://www.lazada.vn/products/combo-10-banh-bong-lan-pho-mai-tron-hap-sua-bo-tuoi-b159-an-vat-beegin-i2651365206.html", "https://www.lazada.vn/products/combo-10-banh-bong-lan-pho-mai-tron-hap-sua-bo-tuoi-b159-an-vat-beegin-i2651365206.html")</f>
        <v>https://www.lazada.vn/products/combo-10-banh-bong-lan-pho-mai-tron-hap-sua-bo-tuoi-b159-an-vat-beegin-i2651365206.html</v>
      </c>
      <c r="C8670" s="10" t="s">
        <v>8670</v>
      </c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>
      <c r="A8671" s="8">
        <v>13525.0</v>
      </c>
      <c r="B8671" s="9" t="str">
        <f>HYPERLINK("https://www.lazada.vn/products/combo-banh-trang-phoi-suong-deo-tom-600g-300g-banh-trang-250g-muoi-tep-50g-bo-mamifood-i2237806947.html", "https://www.lazada.vn/products/combo-banh-trang-phoi-suong-deo-tom-600g-300g-banh-trang-250g-muoi-tep-50g-bo-mamifood-i2237806947.html")</f>
        <v>https://www.lazada.vn/products/combo-banh-trang-phoi-suong-deo-tom-600g-300g-banh-trang-250g-muoi-tep-50g-bo-mamifood-i2237806947.html</v>
      </c>
      <c r="C8671" s="10" t="s">
        <v>8671</v>
      </c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>
      <c r="A8672" s="8">
        <v>13526.0</v>
      </c>
      <c r="B8672" s="9" t="str">
        <f>HYPERLINK("https://www.lazada.vn/products/200g-cao-mu-tun-i2628574724.html", "https://www.lazada.vn/products/200g-cao-mu-tun-i2628574724.html")</f>
        <v>https://www.lazada.vn/products/200g-cao-mu-tun-i2628574724.html</v>
      </c>
      <c r="C8672" s="10" t="s">
        <v>8672</v>
      </c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>
      <c r="A8673" s="8">
        <v>13527.0</v>
      </c>
      <c r="B8673" s="9" t="str">
        <f>HYPERLINK("https://www.lazada.vn/products/banh-quy-goody-hop-bieu-tang-kem-tui-xach-rat-sang-i2822659320.html", "https://www.lazada.vn/products/banh-quy-goody-hop-bieu-tang-kem-tui-xach-rat-sang-i2822659320.html")</f>
        <v>https://www.lazada.vn/products/banh-quy-goody-hop-bieu-tang-kem-tui-xach-rat-sang-i2822659320.html</v>
      </c>
      <c r="C8673" s="10" t="s">
        <v>8673</v>
      </c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>
      <c r="A8674" s="8">
        <v>13528.0</v>
      </c>
      <c r="B8674" s="9" t="str">
        <f>HYPERLINK("https://www.lazada.vn/products/hop-giay-380g-dau-lang-y-dong-hop-cirio-lentils-i2939225813.html", "https://www.lazada.vn/products/hop-giay-380g-dau-lang-y-dong-hop-cirio-lentils-i2939225813.html")</f>
        <v>https://www.lazada.vn/products/hop-giay-380g-dau-lang-y-dong-hop-cirio-lentils-i2939225813.html</v>
      </c>
      <c r="C8674" s="10" t="s">
        <v>8674</v>
      </c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>
      <c r="A8675" s="8">
        <v>13529.0</v>
      </c>
      <c r="B8675" s="9" t="str">
        <f>HYPERLINK("https://www.lazada.vn/products/me-lao-xi-muoi-thom-ngon-hu-500g-do-an-vat-an-vat-i1720828456.html", "https://www.lazada.vn/products/me-lao-xi-muoi-thom-ngon-hu-500g-do-an-vat-an-vat-i1720828456.html")</f>
        <v>https://www.lazada.vn/products/me-lao-xi-muoi-thom-ngon-hu-500g-do-an-vat-an-vat-i1720828456.html</v>
      </c>
      <c r="C8675" s="10" t="s">
        <v>8675</v>
      </c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>
      <c r="A8676" s="8">
        <v>13530.0</v>
      </c>
      <c r="B8676" s="9" t="str">
        <f>HYPERLINK("https://www.lazada.vn/products/nui-macaroni-hieu-3-ngoi-sao-size-tu-200gr-den-400gr-i2902173324.html", "https://www.lazada.vn/products/nui-macaroni-hieu-3-ngoi-sao-size-tu-200gr-den-400gr-i2902173324.html")</f>
        <v>https://www.lazada.vn/products/nui-macaroni-hieu-3-ngoi-sao-size-tu-200gr-den-400gr-i2902173324.html</v>
      </c>
      <c r="C8676" s="10" t="s">
        <v>8676</v>
      </c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>
      <c r="A8677" s="8">
        <v>13531.0</v>
      </c>
      <c r="B8677" s="9" t="str">
        <f>HYPERLINK("https://www.lazada.vn/products/nuoc-cot-ga-brands-chinh-hang-gia-tot-i1759554750.html", "https://www.lazada.vn/products/nuoc-cot-ga-brands-chinh-hang-gia-tot-i1759554750.html")</f>
        <v>https://www.lazada.vn/products/nuoc-cot-ga-brands-chinh-hang-gia-tot-i1759554750.html</v>
      </c>
      <c r="C8677" s="10" t="s">
        <v>8677</v>
      </c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>
      <c r="A8678" s="8">
        <v>13532.0</v>
      </c>
      <c r="B8678" s="9" t="str">
        <f>HYPERLINK("https://www.lazada.vn/products/hop-5-vien-keo-vi-sam-xtreme-cai-tien-malaysia-i2658807221.html", "https://www.lazada.vn/products/hop-5-vien-keo-vi-sam-xtreme-cai-tien-malaysia-i2658807221.html")</f>
        <v>https://www.lazada.vn/products/hop-5-vien-keo-vi-sam-xtreme-cai-tien-malaysia-i2658807221.html</v>
      </c>
      <c r="C8678" s="10" t="s">
        <v>8678</v>
      </c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>
      <c r="A8679" s="8">
        <v>13533.0</v>
      </c>
      <c r="B8679" s="9" t="str">
        <f>HYPERLINK("https://www.lazada.vn/products/combo-2-nuoc-nho-do-len-men-3-nam-500ml-vi-ngot-chua-nhe-nguyen-chat-dac-san-ninh-thuan-i2665634592.html", "https://www.lazada.vn/products/combo-2-nuoc-nho-do-len-men-3-nam-500ml-vi-ngot-chua-nhe-nguyen-chat-dac-san-ninh-thuan-i2665634592.html")</f>
        <v>https://www.lazada.vn/products/combo-2-nuoc-nho-do-len-men-3-nam-500ml-vi-ngot-chua-nhe-nguyen-chat-dac-san-ninh-thuan-i2665634592.html</v>
      </c>
      <c r="C8679" s="10" t="s">
        <v>8679</v>
      </c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>
      <c r="A8680" s="8">
        <v>13534.0</v>
      </c>
      <c r="B8680" s="9" t="str">
        <f>HYPERLINK("https://www.lazada.vn/products/loc-10-goi-snack-khoai-tay-gokochi-vi-rong-bien-35g-i2638436005.html", "https://www.lazada.vn/products/loc-10-goi-snack-khoai-tay-gokochi-vi-rong-bien-35g-i2638436005.html")</f>
        <v>https://www.lazada.vn/products/loc-10-goi-snack-khoai-tay-gokochi-vi-rong-bien-35g-i2638436005.html</v>
      </c>
      <c r="C8680" s="10" t="s">
        <v>8680</v>
      </c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>
      <c r="A8681" s="8">
        <v>13535.0</v>
      </c>
      <c r="B8681" s="9" t="str">
        <f>HYPERLINK("https://www.lazada.vn/products/snack-ca-full-fish-vi-cay-bbq-cua-70g-i2637339072.html", "https://www.lazada.vn/products/snack-ca-full-fish-vi-cay-bbq-cua-70g-i2637339072.html")</f>
        <v>https://www.lazada.vn/products/snack-ca-full-fish-vi-cay-bbq-cua-70g-i2637339072.html</v>
      </c>
      <c r="C8681" s="10" t="s">
        <v>8681</v>
      </c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>
      <c r="A8682" s="8">
        <v>13536.0</v>
      </c>
      <c r="B8682" s="9" t="str">
        <f>HYPERLINK("https://www.lazada.vn/products/thung-30-goi-mi-chay-la-da-3-mien-65g-i2736523724.html", "https://www.lazada.vn/products/thung-30-goi-mi-chay-la-da-3-mien-65g-i2736523724.html")</f>
        <v>https://www.lazada.vn/products/thung-30-goi-mi-chay-la-da-3-mien-65g-i2736523724.html</v>
      </c>
      <c r="C8682" s="10" t="s">
        <v>8682</v>
      </c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>
      <c r="A8683" s="8">
        <v>13537.0</v>
      </c>
      <c r="B8683" s="9" t="str">
        <f>HYPERLINK("https://www.lazada.vn/products/coca-mini-nhat-16oml-x-30lon-i2027235516.html", "https://www.lazada.vn/products/coca-mini-nhat-16oml-x-30lon-i2027235516.html")</f>
        <v>https://www.lazada.vn/products/coca-mini-nhat-16oml-x-30lon-i2027235516.html</v>
      </c>
      <c r="C8683" s="10" t="s">
        <v>8683</v>
      </c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>
      <c r="A8684" s="8">
        <v>13538.0</v>
      </c>
      <c r="B8684" s="9" t="str">
        <f>HYPERLINK("https://www.lazada.vn/products/500gr-khoai-lang-gion-say-hanh-dac-san-chinh-da-lat-loai-dac-biet-i2837795534.html", "https://www.lazada.vn/products/500gr-khoai-lang-gion-say-hanh-dac-san-chinh-da-lat-loai-dac-biet-i2837795534.html")</f>
        <v>https://www.lazada.vn/products/500gr-khoai-lang-gion-say-hanh-dac-san-chinh-da-lat-loai-dac-biet-i2837795534.html</v>
      </c>
      <c r="C8684" s="10" t="s">
        <v>8684</v>
      </c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>
      <c r="A8685" s="8">
        <v>13539.0</v>
      </c>
      <c r="B8685" s="9" t="str">
        <f>HYPERLINK("https://www.lazada.vn/products/special-pricenien-1-thung-bia-corny-khoa-khilong-ngat-ket-noi-cho-bia-nha-kieu-cornelius-i2796872517.html", "https://www.lazada.vn/products/special-pricenien-1-thung-bia-corny-khoa-khilong-ngat-ket-noi-cho-bia-nha-kieu-cornelius-i2796872517.html")</f>
        <v>https://www.lazada.vn/products/special-pricenien-1-thung-bia-corny-khoa-khilong-ngat-ket-noi-cho-bia-nha-kieu-cornelius-i2796872517.html</v>
      </c>
      <c r="C8685" s="10" t="s">
        <v>8685</v>
      </c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>
      <c r="A8686" s="8">
        <v>13540.0</v>
      </c>
      <c r="B8686" s="9" t="str">
        <f>HYPERLINK("https://www.lazada.vn/products/bia-400sc-ngua-lem-lep-hat-dao-on-kho-van-chai-250ml-i2796652381.html", "https://www.lazada.vn/products/bia-400sc-ngua-lem-lep-hat-dao-on-kho-van-chai-250ml-i2796652381.html")</f>
        <v>https://www.lazada.vn/products/bia-400sc-ngua-lem-lep-hat-dao-on-kho-van-chai-250ml-i2796652381.html</v>
      </c>
      <c r="C8686" s="10" t="s">
        <v>8686</v>
      </c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>
      <c r="A8687" s="8">
        <v>13541.0</v>
      </c>
      <c r="B8687" s="9" t="str">
        <f>HYPERLINK("https://www.lazada.vn/products/tong-80g-bot-cacao-sua-heyday-khong-cholesterone-combo-4-goi-tien-loi-20g-vi-chan-that-cua-cacao-sua-dam-vi-socola-nguyen-ban-khong-dung-huong-lieu-heyday-cacao-i1256057394.html", "https://www.lazada.vn/products/tong-80g-bot-cacao-sua-heyday-khong-cholesterone-combo-4-goi-tien-loi-20g-vi-chan-that-cua-cacao-sua-dam-vi-socola-nguyen-ban-khong-dung-huong-lieu-heyday-cacao-i1256057394.html")</f>
        <v>https://www.lazada.vn/products/tong-80g-bot-cacao-sua-heyday-khong-cholesterone-combo-4-goi-tien-loi-20g-vi-chan-that-cua-cacao-sua-dam-vi-socola-nguyen-ban-khong-dung-huong-lieu-heyday-cacao-i1256057394.html</v>
      </c>
      <c r="C8687" s="10" t="s">
        <v>8687</v>
      </c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>
      <c r="A8688" s="8">
        <v>13542.0</v>
      </c>
      <c r="B8688" s="9" t="str">
        <f>HYPERLINK("https://www.lazada.vn/products/sua-hat-vegemil-dau-den-oc-cho-hanh-nhan-15-tui-x-200ml-han-quoc-i2621320921.html", "https://www.lazada.vn/products/sua-hat-vegemil-dau-den-oc-cho-hanh-nhan-15-tui-x-200ml-han-quoc-i2621320921.html")</f>
        <v>https://www.lazada.vn/products/sua-hat-vegemil-dau-den-oc-cho-hanh-nhan-15-tui-x-200ml-han-quoc-i2621320921.html</v>
      </c>
      <c r="C8688" s="10" t="s">
        <v>8688</v>
      </c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>
      <c r="A8689" s="8">
        <v>13543.0</v>
      </c>
      <c r="B8689" s="9" t="str">
        <f>HYPERLINK("https://www.lazada.vn/products/to-my-bat-vi-tomyum-thai-lan-i2901393618.html", "https://www.lazada.vn/products/to-my-bat-vi-tomyum-thai-lan-i2901393618.html")</f>
        <v>https://www.lazada.vn/products/to-my-bat-vi-tomyum-thai-lan-i2901393618.html</v>
      </c>
      <c r="C8689" s="10" t="s">
        <v>8689</v>
      </c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>
      <c r="A8690" s="8">
        <v>13544.0</v>
      </c>
      <c r="B8690" s="9" t="str">
        <f>HYPERLINK("https://www.lazada.vn/products/banh-bibi-mon-tan-hue-vien-it-ngot-co-trung-hop-20-banh-360gam-hop-quai-xach-sang-trong-i2950402637.html", "https://www.lazada.vn/products/banh-bibi-mon-tan-hue-vien-it-ngot-co-trung-hop-20-banh-360gam-hop-quai-xach-sang-trong-i2950402637.html")</f>
        <v>https://www.lazada.vn/products/banh-bibi-mon-tan-hue-vien-it-ngot-co-trung-hop-20-banh-360gam-hop-quai-xach-sang-trong-i2950402637.html</v>
      </c>
      <c r="C8690" s="10" t="s">
        <v>8690</v>
      </c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>
      <c r="A8691" s="8">
        <v>13545.0</v>
      </c>
      <c r="B8691" s="9" t="str">
        <f>HYPERLINK("https://www.lazada.vn/products/ruou-vang-phap-louis-frontera-cabernet-sauvignon-135-vol-i2475349136.html", "https://www.lazada.vn/products/ruou-vang-phap-louis-frontera-cabernet-sauvignon-135-vol-i2475349136.html")</f>
        <v>https://www.lazada.vn/products/ruou-vang-phap-louis-frontera-cabernet-sauvignon-135-vol-i2475349136.html</v>
      </c>
      <c r="C8691" s="10" t="s">
        <v>8691</v>
      </c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>
      <c r="A8692" s="8">
        <v>13546.0</v>
      </c>
      <c r="B8692" s="9" t="str">
        <f>HYPERLINK("https://www.lazada.vn/products/date-moi-bot-dinh-duong-select-350g-tuy-chon-4-vi-i2626165145.html", "https://www.lazada.vn/products/date-moi-bot-dinh-duong-select-350g-tuy-chon-4-vi-i2626165145.html")</f>
        <v>https://www.lazada.vn/products/date-moi-bot-dinh-duong-select-350g-tuy-chon-4-vi-i2626165145.html</v>
      </c>
      <c r="C8692" s="10" t="s">
        <v>8692</v>
      </c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>
      <c r="A8693" s="8">
        <v>13547.0</v>
      </c>
      <c r="B8693" s="9" t="str">
        <f>HYPERLINK("https://www.lazada.vn/products/thung-2kg-khoang-32c-banh-bong-lan-pho-mai-tron-hap-sua-bo-tuoi-b159-an-vat-beegin-i2651329203.html", "https://www.lazada.vn/products/thung-2kg-khoang-32c-banh-bong-lan-pho-mai-tron-hap-sua-bo-tuoi-b159-an-vat-beegin-i2651329203.html")</f>
        <v>https://www.lazada.vn/products/thung-2kg-khoang-32c-banh-bong-lan-pho-mai-tron-hap-sua-bo-tuoi-b159-an-vat-beegin-i2651329203.html</v>
      </c>
      <c r="C8693" s="10" t="s">
        <v>8693</v>
      </c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>
      <c r="A8694" s="8">
        <v>13548.0</v>
      </c>
      <c r="B8694" s="9" t="str">
        <f>HYPERLINK("https://www.lazada.vn/products/thach-zai-zai-tui-500g-zai-zai-vi-tu-chon-hang-cong-ty-duc-hanh-i2039938710.html", "https://www.lazada.vn/products/thach-zai-zai-tui-500g-zai-zai-vi-tu-chon-hang-cong-ty-duc-hanh-i2039938710.html")</f>
        <v>https://www.lazada.vn/products/thach-zai-zai-tui-500g-zai-zai-vi-tu-chon-hang-cong-ty-duc-hanh-i2039938710.html</v>
      </c>
      <c r="C8694" s="10" t="s">
        <v>8694</v>
      </c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>
      <c r="A8695" s="8">
        <v>13549.0</v>
      </c>
      <c r="B8695" s="9" t="str">
        <f>HYPERLINK("https://www.lazada.vn/products/banh-25kg-doi-truong-heo-co-cuon-thung-xanh-giao-tphcm-i2531373175.html", "https://www.lazada.vn/products/banh-25kg-doi-truong-heo-co-cuon-thung-xanh-giao-tphcm-i2531373175.html")</f>
        <v>https://www.lazada.vn/products/banh-25kg-doi-truong-heo-co-cuon-thung-xanh-giao-tphcm-i2531373175.html</v>
      </c>
      <c r="C8695" s="10" t="s">
        <v>8695</v>
      </c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>
      <c r="A8696" s="8">
        <v>13550.0</v>
      </c>
      <c r="B8696" s="9" t="str">
        <f>HYPERLINK("https://www.lazada.vn/products/banh-quy-gao-lut-yen-mach-rau-cu-su-dung-duong-an-kieng-sbt-hop-250gr-i2822617802.html", "https://www.lazada.vn/products/banh-quy-gao-lut-yen-mach-rau-cu-su-dung-duong-an-kieng-sbt-hop-250gr-i2822617802.html")</f>
        <v>https://www.lazada.vn/products/banh-quy-gao-lut-yen-mach-rau-cu-su-dung-duong-an-kieng-sbt-hop-250gr-i2822617802.html</v>
      </c>
      <c r="C8696" s="10" t="s">
        <v>8696</v>
      </c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>
      <c r="A8697" s="8">
        <v>13551.0</v>
      </c>
      <c r="B8697" s="9" t="str">
        <f>HYPERLINK("https://www.lazada.vn/products/05kg-banh-trang-phoi-suong-truyen-thong-tay-ninh-i2237197435.html", "https://www.lazada.vn/products/05kg-banh-trang-phoi-suong-truyen-thong-tay-ninh-i2237197435.html")</f>
        <v>https://www.lazada.vn/products/05kg-banh-trang-phoi-suong-truyen-thong-tay-ninh-i2237197435.html</v>
      </c>
      <c r="C8697" s="10" t="s">
        <v>8697</v>
      </c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>
      <c r="A8698" s="8">
        <v>13552.0</v>
      </c>
      <c r="B8698" s="9" t="str">
        <f>HYPERLINK("https://www.lazada.vn/products/hsdexp-24927-narcissus-khau-nhuc-dong-hop-stewed-pork-128g-i2934475736.html", "https://www.lazada.vn/products/hsdexp-24927-narcissus-khau-nhuc-dong-hop-stewed-pork-128g-i2934475736.html")</f>
        <v>https://www.lazada.vn/products/hsdexp-24927-narcissus-khau-nhuc-dong-hop-stewed-pork-128g-i2934475736.html</v>
      </c>
      <c r="C8698" s="10" t="s">
        <v>8698</v>
      </c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>
      <c r="A8699" s="8">
        <v>13553.0</v>
      </c>
      <c r="B8699" s="9" t="str">
        <f>HYPERLINK("https://www.lazada.vn/products/1-kg-me-lao-xi-muoi-thom-ngon-2-hu-500g-do-an-vat-an-vat-i1720755636.html", "https://www.lazada.vn/products/1-kg-me-lao-xi-muoi-thom-ngon-2-hu-500g-do-an-vat-an-vat-i1720755636.html")</f>
        <v>https://www.lazada.vn/products/1-kg-me-lao-xi-muoi-thom-ngon-2-hu-500g-do-an-vat-an-vat-i1720755636.html</v>
      </c>
      <c r="C8699" s="10" t="s">
        <v>8699</v>
      </c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>
      <c r="A8700" s="8">
        <v>13554.0</v>
      </c>
      <c r="B8700" s="9" t="str">
        <f>HYPERLINK("https://www.lazada.vn/products/ruou-vang-trang-uc-deakin-moscato-nong-do-6-alc-750ml-nhap-khau-chinh-hang-i3057091465.html", "https://www.lazada.vn/products/ruou-vang-trang-uc-deakin-moscato-nong-do-6-alc-750ml-nhap-khau-chinh-hang-i3057091465.html")</f>
        <v>https://www.lazada.vn/products/ruou-vang-trang-uc-deakin-moscato-nong-do-6-alc-750ml-nhap-khau-chinh-hang-i3057091465.html</v>
      </c>
      <c r="C8700" s="10" t="s">
        <v>8700</v>
      </c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>
      <c r="A8701" s="8">
        <v>13555.0</v>
      </c>
      <c r="B8701" s="9" t="str">
        <f>HYPERLINK("https://www.lazada.vn/products/nuoc-giai-khat-tang-luc-sting-huong-dau-lon-330ml-i1754986242.html", "https://www.lazada.vn/products/nuoc-giai-khat-tang-luc-sting-huong-dau-lon-330ml-i1754986242.html")</f>
        <v>https://www.lazada.vn/products/nuoc-giai-khat-tang-luc-sting-huong-dau-lon-330ml-i1754986242.html</v>
      </c>
      <c r="C8701" s="10" t="s">
        <v>8701</v>
      </c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>
      <c r="A8702" s="8">
        <v>13556.0</v>
      </c>
      <c r="B8702" s="9" t="str">
        <f>HYPERLINK("https://www.lazada.vn/products/hop-5-vien-keo-vi-sam-spinach-malaysia-i2658804134.html", "https://www.lazada.vn/products/hop-5-vien-keo-vi-sam-spinach-malaysia-i2658804134.html")</f>
        <v>https://www.lazada.vn/products/hop-5-vien-keo-vi-sam-spinach-malaysia-i2658804134.html</v>
      </c>
      <c r="C8702" s="10" t="s">
        <v>8702</v>
      </c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>
      <c r="A8703" s="8">
        <v>13557.0</v>
      </c>
      <c r="B8703" s="9" t="str">
        <f>HYPERLINK("https://www.lazada.vn/products/vang-ngot-heart-of-the-murray-moscato-uc-750ml-i2692624129.html", "https://www.lazada.vn/products/vang-ngot-heart-of-the-murray-moscato-uc-750ml-i2692624129.html")</f>
        <v>https://www.lazada.vn/products/vang-ngot-heart-of-the-murray-moscato-uc-750ml-i2692624129.html</v>
      </c>
      <c r="C8703" s="10" t="s">
        <v>8703</v>
      </c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>
      <c r="A8704" s="8">
        <v>13558.0</v>
      </c>
      <c r="B8704" s="9" t="str">
        <f>HYPERLINK("https://www.lazada.vn/products/combo-2-nuoc-nho-do-len-men-3-nam-330ml-vi-ngot-chua-nhe-nguyen-chat-dac-san-ninh-thuan-i2665622672.html", "https://www.lazada.vn/products/combo-2-nuoc-nho-do-len-men-3-nam-330ml-vi-ngot-chua-nhe-nguyen-chat-dac-san-ninh-thuan-i2665622672.html")</f>
        <v>https://www.lazada.vn/products/combo-2-nuoc-nho-do-len-men-3-nam-330ml-vi-ngot-chua-nhe-nguyen-chat-dac-san-ninh-thuan-i2665622672.html</v>
      </c>
      <c r="C8704" s="10" t="s">
        <v>8704</v>
      </c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>
      <c r="A8705" s="8">
        <v>13559.0</v>
      </c>
      <c r="B8705" s="9" t="str">
        <f>HYPERLINK("https://www.lazada.vn/products/khoai-mo-mix-khoai-lang-hop-500g-giao-tphcm-i2637177144.html", "https://www.lazada.vn/products/khoai-mo-mix-khoai-lang-hop-500g-giao-tphcm-i2637177144.html")</f>
        <v>https://www.lazada.vn/products/khoai-mo-mix-khoai-lang-hop-500g-giao-tphcm-i2637177144.html</v>
      </c>
      <c r="C8705" s="10" t="s">
        <v>8705</v>
      </c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>
      <c r="A8706" s="8">
        <v>13560.0</v>
      </c>
      <c r="B8706" s="9" t="str">
        <f>HYPERLINK("https://www.lazada.vn/products/combo-25-goi-mi-tuoi-tho-mi-tre-em-vifon-20gr-goi-i2736000471.html", "https://www.lazada.vn/products/combo-25-goi-mi-tuoi-tho-mi-tre-em-vifon-20gr-goi-i2736000471.html")</f>
        <v>https://www.lazada.vn/products/combo-25-goi-mi-tuoi-tho-mi-tre-em-vifon-20gr-goi-i2736000471.html</v>
      </c>
      <c r="C8706" s="10" t="s">
        <v>8706</v>
      </c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>
      <c r="A8707" s="8">
        <v>13561.0</v>
      </c>
      <c r="B8707" s="9" t="str">
        <f>HYPERLINK("https://www.lazada.vn/products/nuoc-ngot-7up-my-355mlx12-i2026492560.html", "https://www.lazada.vn/products/nuoc-ngot-7up-my-355mlx12-i2026492560.html")</f>
        <v>https://www.lazada.vn/products/nuoc-ngot-7up-my-355mlx12-i2026492560.html</v>
      </c>
      <c r="C8707" s="10" t="s">
        <v>8707</v>
      </c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>
      <c r="A8708" s="8">
        <v>13562.0</v>
      </c>
      <c r="B8708" s="9" t="str">
        <f>HYPERLINK("https://www.lazada.vn/products/500gr-khoai-lang-vang-say-mat-ong-dac-san-chin-da-lat-i2837698561.html", "https://www.lazada.vn/products/500gr-khoai-lang-vang-say-mat-ong-dac-san-chin-da-lat-i2837698561.html")</f>
        <v>https://www.lazada.vn/products/500gr-khoai-lang-vang-say-mat-ong-dac-san-chin-da-lat-i2837698561.html</v>
      </c>
      <c r="C8708" s="10" t="s">
        <v>8708</v>
      </c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>
      <c r="A8709" s="8">
        <v>13563.0</v>
      </c>
      <c r="B8709" s="9" t="str">
        <f>HYPERLINK("https://www.lazada.vn/products/fried-taro-starch-500g5-bundles-spicy-hot-pot-beef-soup-commercially-used-wide-noodles-from-chaohu-county-qinhuangdao-hebei-china-i2896733672.html", "https://www.lazada.vn/products/fried-taro-starch-500g5-bundles-spicy-hot-pot-beef-soup-commercially-used-wide-noodles-from-chaohu-county-qinhuangdao-hebei-china-i2896733672.html")</f>
        <v>https://www.lazada.vn/products/fried-taro-starch-500g5-bundles-spicy-hot-pot-beef-soup-commercially-used-wide-noodles-from-chaohu-county-qinhuangdao-hebei-china-i2896733672.html</v>
      </c>
      <c r="C8709" s="10" t="s">
        <v>8709</v>
      </c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>
      <c r="A8710" s="8">
        <v>13564.0</v>
      </c>
      <c r="B8710" s="9" t="str">
        <f>HYPERLINK("https://www.lazada.vn/products/goi-20g-bot-cacao-sua-heyday-khong-cholesterone-goi-tien-loi-20g-dam-vi-socola-nguyen-ban-khong-dung-huong-lieu-heyday-cacao-i1255987608.html", "https://www.lazada.vn/products/goi-20g-bot-cacao-sua-heyday-khong-cholesterone-goi-tien-loi-20g-dam-vi-socola-nguyen-ban-khong-dung-huong-lieu-heyday-cacao-i1255987608.html")</f>
        <v>https://www.lazada.vn/products/goi-20g-bot-cacao-sua-heyday-khong-cholesterone-goi-tien-loi-20g-dam-vi-socola-nguyen-ban-khong-dung-huong-lieu-heyday-cacao-i1255987608.html</v>
      </c>
      <c r="C8710" s="10" t="s">
        <v>8710</v>
      </c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>
      <c r="A8711" s="8">
        <v>13565.0</v>
      </c>
      <c r="B8711" s="9" t="str">
        <f>HYPERLINK("https://www.lazada.vn/products/bia-nhe-baltika-cooler-svetloe-470ml-i2792588435.html", "https://www.lazada.vn/products/bia-nhe-baltika-cooler-svetloe-470ml-i2792588435.html")</f>
        <v>https://www.lazada.vn/products/bia-nhe-baltika-cooler-svetloe-470ml-i2792588435.html</v>
      </c>
      <c r="C8711" s="10" t="s">
        <v>8711</v>
      </c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>
      <c r="A8712" s="8">
        <v>13566.0</v>
      </c>
      <c r="B8712" s="9" t="str">
        <f>HYPERLINK("https://www.lazada.vn/products/siro-tra-mat-ong-vi-a-450g-gung-chanh-xa-i2620145927.html", "https://www.lazada.vn/products/siro-tra-mat-ong-vi-a-450g-gung-chanh-xa-i2620145927.html")</f>
        <v>https://www.lazada.vn/products/siro-tra-mat-ong-vi-a-450g-gung-chanh-xa-i2620145927.html</v>
      </c>
      <c r="C8712" s="10" t="s">
        <v>8712</v>
      </c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>
      <c r="A8713" s="8">
        <v>13567.0</v>
      </c>
      <c r="B8713" s="9" t="str">
        <f>HYPERLINK("https://www.lazada.vn/products/bia-la-chouffe-8-nhap-khau-bi-1-thung-24-chai-330ml-i2792215013.html", "https://www.lazada.vn/products/bia-la-chouffe-8-nhap-khau-bi-1-thung-24-chai-330ml-i2792215013.html")</f>
        <v>https://www.lazada.vn/products/bia-la-chouffe-8-nhap-khau-bi-1-thung-24-chai-330ml-i2792215013.html</v>
      </c>
      <c r="C8713" s="10" t="s">
        <v>8713</v>
      </c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>
      <c r="A8714" s="8">
        <v>13568.0</v>
      </c>
      <c r="B8714" s="9" t="str">
        <f>HYPERLINK("https://www.lazada.vn/products/tra-sua-tran-chau-nhieu-vi-tu-chon-set-nau-duoc-8-10-coc-thom-ngon-i2619732244.html", "https://www.lazada.vn/products/tra-sua-tran-chau-nhieu-vi-tu-chon-set-nau-duoc-8-10-coc-thom-ngon-i2619732244.html")</f>
        <v>https://www.lazada.vn/products/tra-sua-tran-chau-nhieu-vi-tu-chon-set-nau-duoc-8-10-coc-thom-ngon-i2619732244.html</v>
      </c>
      <c r="C8714" s="10" t="s">
        <v>8714</v>
      </c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>
      <c r="A8715" s="8">
        <v>13569.0</v>
      </c>
      <c r="B8715" s="9" t="str">
        <f>HYPERLINK("https://www.lazada.vn/products/bia-la-chouffe-8-nhap-khau-bi-1-thung-24-chai-330ml-i2792167237.html", "https://www.lazada.vn/products/bia-la-chouffe-8-nhap-khau-bi-1-thung-24-chai-330ml-i2792167237.html")</f>
        <v>https://www.lazada.vn/products/bia-la-chouffe-8-nhap-khau-bi-1-thung-24-chai-330ml-i2792167237.html</v>
      </c>
      <c r="C8715" s="10" t="s">
        <v>8715</v>
      </c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>
      <c r="A8716" s="8">
        <v>13570.0</v>
      </c>
      <c r="B8716" s="9" t="str">
        <f>HYPERLINK("https://www.lazada.vn/products/banh-trung-hanh-nhan-fucuco-1-goi-khoang-29-30-cai-nho-thom-ngon-an-vat-i2948578627.html", "https://www.lazada.vn/products/banh-trung-hanh-nhan-fucuco-1-goi-khoang-29-30-cai-nho-thom-ngon-an-vat-i2948578627.html")</f>
        <v>https://www.lazada.vn/products/banh-trung-hanh-nhan-fucuco-1-goi-khoang-29-30-cai-nho-thom-ngon-an-vat-i2948578627.html</v>
      </c>
      <c r="C8716" s="10" t="s">
        <v>8716</v>
      </c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>
      <c r="A8717" s="8">
        <v>13571.0</v>
      </c>
      <c r="B8717" s="9" t="str">
        <f>HYPERLINK("https://www.lazada.vn/products/ruou-vang-do-phap-chateau-la-gaffeliere-i2427549537.html", "https://www.lazada.vn/products/ruou-vang-do-phap-chateau-la-gaffeliere-i2427549537.html")</f>
        <v>https://www.lazada.vn/products/ruou-vang-do-phap-chateau-la-gaffeliere-i2427549537.html</v>
      </c>
      <c r="C8717" s="10" t="s">
        <v>8717</v>
      </c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>
      <c r="A8718" s="8">
        <v>13572.0</v>
      </c>
      <c r="B8718" s="9" t="str">
        <f>HYPERLINK("https://www.lazada.vn/products/bot-cu-sen-ngu-coc-tam-an-hop-500gram-i2625218332.html", "https://www.lazada.vn/products/bot-cu-sen-ngu-coc-tam-an-hop-500gram-i2625218332.html")</f>
        <v>https://www.lazada.vn/products/bot-cu-sen-ngu-coc-tam-an-hop-500gram-i2625218332.html</v>
      </c>
      <c r="C8718" s="10" t="s">
        <v>8718</v>
      </c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>
      <c r="A8719" s="8">
        <v>13573.0</v>
      </c>
      <c r="B8719" s="9" t="str">
        <f>HYPERLINK("https://www.lazada.vn/products/combo-10-banh-bong-lan-pho-mai-tron-hap-sua-bo-tuoi-b159-beegin-mart-i2651307295.html", "https://www.lazada.vn/products/combo-10-banh-bong-lan-pho-mai-tron-hap-sua-bo-tuoi-b159-beegin-mart-i2651307295.html")</f>
        <v>https://www.lazada.vn/products/combo-10-banh-bong-lan-pho-mai-tron-hap-sua-bo-tuoi-b159-beegin-mart-i2651307295.html</v>
      </c>
      <c r="C8719" s="10" t="s">
        <v>8719</v>
      </c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>
      <c r="A8720" s="8">
        <v>13574.0</v>
      </c>
      <c r="B8720" s="9" t="str">
        <f>HYPERLINK("https://www.lazada.vn/products/5kg-1-thung-thach-zai-zai-mix-nhieu-vi-thach-thanh-dai-hang-cong-ty-duc-hanh-i2039915779.html", "https://www.lazada.vn/products/5kg-1-thung-thach-zai-zai-mix-nhieu-vi-thach-thanh-dai-hang-cong-ty-duc-hanh-i2039915779.html")</f>
        <v>https://www.lazada.vn/products/5kg-1-thung-thach-zai-zai-mix-nhieu-vi-thach-thanh-dai-hang-cong-ty-duc-hanh-i2039915779.html</v>
      </c>
      <c r="C8720" s="10" t="s">
        <v>8720</v>
      </c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>
      <c r="A8721" s="8">
        <v>13575.0</v>
      </c>
      <c r="B8721" s="9" t="str">
        <f>HYPERLINK("https://www.lazada.vn/products/banh-thuan-kho-uot-quang-ngai-i2528530812.html", "https://www.lazada.vn/products/banh-thuan-kho-uot-quang-ngai-i2528530812.html")</f>
        <v>https://www.lazada.vn/products/banh-thuan-kho-uot-quang-ngai-i2528530812.html</v>
      </c>
      <c r="C8721" s="10" t="s">
        <v>8721</v>
      </c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>
      <c r="A8722" s="8">
        <v>13576.0</v>
      </c>
      <c r="B8722" s="9" t="str">
        <f>HYPERLINK("https://www.lazada.vn/products/thung-1kg-khoang-16cbanh-bong-lan-pho-mai-tron-hap-sua-bo-tuoi-b159-an-vat-beegin-i2651302238.html", "https://www.lazada.vn/products/thung-1kg-khoang-16cbanh-bong-lan-pho-mai-tron-hap-sua-bo-tuoi-b159-an-vat-beegin-i2651302238.html")</f>
        <v>https://www.lazada.vn/products/thung-1kg-khoang-16cbanh-bong-lan-pho-mai-tron-hap-sua-bo-tuoi-b159-an-vat-beegin-i2651302238.html</v>
      </c>
      <c r="C8722" s="10" t="s">
        <v>8722</v>
      </c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>
      <c r="A8723" s="8">
        <v>13577.0</v>
      </c>
      <c r="B8723" s="9" t="str">
        <f>HYPERLINK("https://www.lazada.vn/products/hcm1-thung-thach-zai-zai-mix-nhieu-vi-thach-thanh-daingan-hang-cong-ty-duc-hanh-thung-5kg-theo-hang-cty-duc-hanh-an-vat-i2039896858.html", "https://www.lazada.vn/products/hcm1-thung-thach-zai-zai-mix-nhieu-vi-thach-thanh-daingan-hang-cong-ty-duc-hanh-thung-5kg-theo-hang-cty-duc-hanh-an-vat-i2039896858.html")</f>
        <v>https://www.lazada.vn/products/hcm1-thung-thach-zai-zai-mix-nhieu-vi-thach-thanh-daingan-hang-cong-ty-duc-hanh-thung-5kg-theo-hang-cty-duc-hanh-an-vat-i2039896858.html</v>
      </c>
      <c r="C8723" s="10" t="s">
        <v>8723</v>
      </c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>
      <c r="A8724" s="8">
        <v>13578.0</v>
      </c>
      <c r="B8724" s="9" t="str">
        <f>HYPERLINK("https://www.lazada.vn/products/combo-2-hop-date-moi_banh-quy-xo-400gr-vi-bo-dua-chocochip_nobrand-han-quoc-shop-mint-mint-i2822376843.html", "https://www.lazada.vn/products/combo-2-hop-date-moi_banh-quy-xo-400gr-vi-bo-dua-chocochip_nobrand-han-quoc-shop-mint-mint-i2822376843.html")</f>
        <v>https://www.lazada.vn/products/combo-2-hop-date-moi_banh-quy-xo-400gr-vi-bo-dua-chocochip_nobrand-han-quoc-shop-mint-mint-i2822376843.html</v>
      </c>
      <c r="C8724" s="10" t="s">
        <v>8724</v>
      </c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>
      <c r="A8725" s="8">
        <v>13579.0</v>
      </c>
      <c r="B8725" s="9" t="str">
        <f>HYPERLINK("https://www.lazada.vn/products/ship-cod-1kg-combo-tam-cay-mix-an-vat-ba-beo-an-vat-noi-dia-trung-i2233321998.html", "https://www.lazada.vn/products/ship-cod-1kg-combo-tam-cay-mix-an-vat-ba-beo-an-vat-noi-dia-trung-i2233321998.html")</f>
        <v>https://www.lazada.vn/products/ship-cod-1kg-combo-tam-cay-mix-an-vat-ba-beo-an-vat-noi-dia-trung-i2233321998.html</v>
      </c>
      <c r="C8725" s="10" t="s">
        <v>8725</v>
      </c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>
      <c r="A8726" s="8">
        <v>13580.0</v>
      </c>
      <c r="B8726" s="9" t="str">
        <f>HYPERLINK("https://www.lazada.vn/products/lon-150g-ca-thu-chien-xot-ot-roza-thai-lan-halal-i2930688686.html", "https://www.lazada.vn/products/lon-150g-ca-thu-chien-xot-ot-roza-thai-lan-halal-i2930688686.html")</f>
        <v>https://www.lazada.vn/products/lon-150g-ca-thu-chien-xot-ot-roza-thai-lan-halal-i2930688686.html</v>
      </c>
      <c r="C8726" s="10" t="s">
        <v>8726</v>
      </c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>
      <c r="A8727" s="8">
        <v>13581.0</v>
      </c>
      <c r="B8727" s="9" t="str">
        <f>HYPERLINK("https://www.lazada.vn/products/combo-1-kg-me-lao-lac-muoi-ot-duong-hu-500g-tang-kem-muoi-ot-i1720661649.html", "https://www.lazada.vn/products/combo-1-kg-me-lao-lac-muoi-ot-duong-hu-500g-tang-kem-muoi-ot-i1720661649.html")</f>
        <v>https://www.lazada.vn/products/combo-1-kg-me-lao-lac-muoi-ot-duong-hu-500g-tang-kem-muoi-ot-i1720661649.html</v>
      </c>
      <c r="C8727" s="10" t="s">
        <v>8727</v>
      </c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>
      <c r="A8728" s="8">
        <v>13582.0</v>
      </c>
      <c r="B8728" s="9" t="str">
        <f>HYPERLINK("https://www.lazada.vn/products/nuoc-giai-khat-tang-luc-sting-huong-dau-330ml-i1754950395.html", "https://www.lazada.vn/products/nuoc-giai-khat-tang-luc-sting-huong-dau-330ml-i1754950395.html")</f>
        <v>https://www.lazada.vn/products/nuoc-giai-khat-tang-luc-sting-huong-dau-330ml-i1754950395.html</v>
      </c>
      <c r="C8728" s="10" t="s">
        <v>8728</v>
      </c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>
      <c r="A8729" s="8">
        <v>13583.0</v>
      </c>
      <c r="B8729" s="9" t="str">
        <f>HYPERLINK("https://www.lazada.vn/products/hop-30-vien-keo-vi-sam-spinach-malaysia-i2658770353.html", "https://www.lazada.vn/products/hop-30-vien-keo-vi-sam-spinach-malaysia-i2658770353.html")</f>
        <v>https://www.lazada.vn/products/hop-30-vien-keo-vi-sam-spinach-malaysia-i2658770353.html</v>
      </c>
      <c r="C8729" s="10" t="s">
        <v>8729</v>
      </c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>
      <c r="A8730" s="8">
        <v>13584.0</v>
      </c>
      <c r="B8730" s="9" t="str">
        <f>HYPERLINK("https://www.lazada.vn/products/chuoi-rung-i2374035087.html", "https://www.lazada.vn/products/chuoi-rung-i2374035087.html")</f>
        <v>https://www.lazada.vn/products/chuoi-rung-i2374035087.html</v>
      </c>
      <c r="C8730" s="10" t="s">
        <v>8730</v>
      </c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>
      <c r="A8731" s="8">
        <v>13585.0</v>
      </c>
      <c r="B8731" s="9" t="str">
        <f>HYPERLINK("https://www.lazada.vn/products/nuoc-man-muoi-ngon-lanh-yen-viet-350mlchai-loc-6-chai-combo-2-loc-12-chai-thung-24-chai-i2665508346.html", "https://www.lazada.vn/products/nuoc-man-muoi-ngon-lanh-yen-viet-350mlchai-loc-6-chai-combo-2-loc-12-chai-thung-24-chai-i2665508346.html")</f>
        <v>https://www.lazada.vn/products/nuoc-man-muoi-ngon-lanh-yen-viet-350mlchai-loc-6-chai-combo-2-loc-12-chai-thung-24-chai-i2665508346.html</v>
      </c>
      <c r="C8731" s="10" t="s">
        <v>8731</v>
      </c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>
      <c r="A8732" s="8">
        <v>13586.0</v>
      </c>
      <c r="B8732" s="9" t="str">
        <f>HYPERLINK("https://www.lazada.vn/products/combo-20-cai-nem-chua-nem-chua-cho-huyen-nem-chua-la-oi-nem-thit-dac-san-ong-tre-food-i2733960649.html", "https://www.lazada.vn/products/combo-20-cai-nem-chua-nem-chua-cho-huyen-nem-chua-la-oi-nem-thit-dac-san-ong-tre-food-i2733960649.html")</f>
        <v>https://www.lazada.vn/products/combo-20-cai-nem-chua-nem-chua-cho-huyen-nem-chua-la-oi-nem-thit-dac-san-ong-tre-food-i2733960649.html</v>
      </c>
      <c r="C8732" s="10" t="s">
        <v>8732</v>
      </c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>
      <c r="A8733" s="8">
        <v>13587.0</v>
      </c>
      <c r="B8733" s="9" t="str">
        <f>HYPERLINK("https://www.lazada.vn/products/khoai-tay-an-funwave-bich-1kg-giao-tphcm-i2637136466.html", "https://www.lazada.vn/products/khoai-tay-an-funwave-bich-1kg-giao-tphcm-i2637136466.html")</f>
        <v>https://www.lazada.vn/products/khoai-tay-an-funwave-bich-1kg-giao-tphcm-i2637136466.html</v>
      </c>
      <c r="C8733" s="10" t="s">
        <v>8733</v>
      </c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>
      <c r="A8734" s="8">
        <v>13588.0</v>
      </c>
      <c r="B8734" s="9" t="str">
        <f>HYPERLINK("https://www.lazada.vn/products/thung-24-lon-nuoc-soda-schweppestonic-lon-320ml-i2021680911.html", "https://www.lazada.vn/products/thung-24-lon-nuoc-soda-schweppestonic-lon-320ml-i2021680911.html")</f>
        <v>https://www.lazada.vn/products/thung-24-lon-nuoc-soda-schweppestonic-lon-320ml-i2021680911.html</v>
      </c>
      <c r="C8734" s="10" t="s">
        <v>8734</v>
      </c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>
      <c r="A8735" s="8">
        <v>13589.0</v>
      </c>
      <c r="B8735" s="9" t="str">
        <f>HYPERLINK("https://www.lazada.vn/products/mut-kiwi-say-deo-i2836902613.html", "https://www.lazada.vn/products/mut-kiwi-say-deo-i2836902613.html")</f>
        <v>https://www.lazada.vn/products/mut-kiwi-say-deo-i2836902613.html</v>
      </c>
      <c r="C8735" s="10" t="s">
        <v>8735</v>
      </c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>
      <c r="A8736" s="8">
        <v>13590.0</v>
      </c>
      <c r="B8736" s="9" t="str">
        <f>HYPERLINK("https://www.lazada.vn/products/bot-ca-cao-chocodrink-i1202009357.html", "https://www.lazada.vn/products/bot-ca-cao-chocodrink-i1202009357.html")</f>
        <v>https://www.lazada.vn/products/bot-ca-cao-chocodrink-i1202009357.html</v>
      </c>
      <c r="C8736" s="10" t="s">
        <v>8736</v>
      </c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>
      <c r="A8737" s="8">
        <v>13591.0</v>
      </c>
      <c r="B8737" s="9" t="str">
        <f>HYPERLINK("https://www.lazada.vn/products/mi-to-siukay-tia-chop-huong-vi-hai-san-96g-i2893288466.html", "https://www.lazada.vn/products/mi-to-siukay-tia-chop-huong-vi-hai-san-96g-i2893288466.html")</f>
        <v>https://www.lazada.vn/products/mi-to-siukay-tia-chop-huong-vi-hai-san-96g-i2893288466.html</v>
      </c>
      <c r="C8737" s="10" t="s">
        <v>8737</v>
      </c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>
      <c r="A8738" s="8">
        <v>13592.0</v>
      </c>
      <c r="B8738" s="9" t="str">
        <f>HYPERLINK("https://www.lazada.vn/products/hang-tet-banh-quy-bo-mat-ong-nhap-khau-chau-au-marrin-q-hop-thiec-2-mau-sang-trong-420gr-i2946792605.html", "https://www.lazada.vn/products/hang-tet-banh-quy-bo-mat-ong-nhap-khau-chau-au-marrin-q-hop-thiec-2-mau-sang-trong-420gr-i2946792605.html")</f>
        <v>https://www.lazada.vn/products/hang-tet-banh-quy-bo-mat-ong-nhap-khau-chau-au-marrin-q-hop-thiec-2-mau-sang-trong-420gr-i2946792605.html</v>
      </c>
      <c r="C8738" s="10" t="s">
        <v>8738</v>
      </c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>
      <c r="A8739" s="8">
        <v>13593.0</v>
      </c>
      <c r="B8739" s="9" t="str">
        <f>HYPERLINK("https://www.lazada.vn/products/hcmgiam-can-cacao-can-tay-cq-slim-sieu-pham-hang-moi-i1191788703.html", "https://www.lazada.vn/products/hcmgiam-can-cacao-can-tay-cq-slim-sieu-pham-hang-moi-i1191788703.html")</f>
        <v>https://www.lazada.vn/products/hcmgiam-can-cacao-can-tay-cq-slim-sieu-pham-hang-moi-i1191788703.html</v>
      </c>
      <c r="C8739" s="10" t="s">
        <v>8739</v>
      </c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>
      <c r="A8740" s="8">
        <v>13594.0</v>
      </c>
      <c r="B8740" s="9" t="str">
        <f>HYPERLINK("https://www.lazada.vn/products/tra-sua-tran-chau-nhieu-vi-tu-chon-set-nau-duoc-8-10-coc-i2619688607.html", "https://www.lazada.vn/products/tra-sua-tran-chau-nhieu-vi-tu-chon-set-nau-duoc-8-10-coc-i2619688607.html")</f>
        <v>https://www.lazada.vn/products/tra-sua-tran-chau-nhieu-vi-tu-chon-set-nau-duoc-8-10-coc-i2619688607.html</v>
      </c>
      <c r="C8740" s="10" t="s">
        <v>8740</v>
      </c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>
      <c r="A8741" s="8">
        <v>13595.0</v>
      </c>
      <c r="B8741" s="9" t="str">
        <f>HYPERLINK("https://www.lazada.vn/products/mi-kieu-mach-i2891513032.html", "https://www.lazada.vn/products/mi-kieu-mach-i2891513032.html")</f>
        <v>https://www.lazada.vn/products/mi-kieu-mach-i2891513032.html</v>
      </c>
      <c r="C8741" s="10" t="s">
        <v>8741</v>
      </c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>
      <c r="A8742" s="8">
        <v>13596.0</v>
      </c>
      <c r="B8742" s="9" t="str">
        <f>HYPERLINK("https://www.lazada.vn/products/bia-duvel-85-nhap-khau-bi-1-thung-24-chai-330ml-i2792075677.html", "https://www.lazada.vn/products/bia-duvel-85-nhap-khau-bi-1-thung-24-chai-330ml-i2792075677.html")</f>
        <v>https://www.lazada.vn/products/bia-duvel-85-nhap-khau-bi-1-thung-24-chai-330ml-i2792075677.html</v>
      </c>
      <c r="C8742" s="10" t="s">
        <v>8742</v>
      </c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>
      <c r="A8743" s="8">
        <v>13597.0</v>
      </c>
      <c r="B8743" s="9" t="str">
        <f>HYPERLINK("https://www.lazada.vn/products/thach-zai-zai-tui-1kg-zai-zai-vi-tu-chon-hang-cong-ty-duc-hanh-i2039716162.html", "https://www.lazada.vn/products/thach-zai-zai-tui-1kg-zai-zai-vi-tu-chon-hang-cong-ty-duc-hanh-i2039716162.html")</f>
        <v>https://www.lazada.vn/products/thach-zai-zai-tui-1kg-zai-zai-vi-tu-chon-hang-cong-ty-duc-hanh-i2039716162.html</v>
      </c>
      <c r="C8743" s="10" t="s">
        <v>8743</v>
      </c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>
      <c r="A8744" s="8">
        <v>13598.0</v>
      </c>
      <c r="B8744" s="9" t="str">
        <f>HYPERLINK("https://www.lazada.vn/products/si-toan-quoc-100-banh-mi-tuoi-gia-si-phu-hop-cho-cac-tiem-banh-cafe-thuc-an-nhanh-banh-mi-24h-khach-mua-ve-tru-tu-dong-ban-dan-i2526173010.html", "https://www.lazada.vn/products/si-toan-quoc-100-banh-mi-tuoi-gia-si-phu-hop-cho-cac-tiem-banh-cafe-thuc-an-nhanh-banh-mi-24h-khach-mua-ve-tru-tu-dong-ban-dan-i2526173010.html")</f>
        <v>https://www.lazada.vn/products/si-toan-quoc-100-banh-mi-tuoi-gia-si-phu-hop-cho-cac-tiem-banh-cafe-thuc-an-nhanh-banh-mi-24h-khach-mua-ve-tru-tu-dong-ban-dan-i2526173010.html</v>
      </c>
      <c r="C8744" s="10" t="s">
        <v>8744</v>
      </c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>
      <c r="A8745" s="8">
        <v>13599.0</v>
      </c>
      <c r="B8745" s="9" t="str">
        <f>HYPERLINK("https://www.lazada.vn/products/1-kg-tinh-bot-nghe-vang-nguyen-chat-da-loc-dau-handmade-i2623410408.html", "https://www.lazada.vn/products/1-kg-tinh-bot-nghe-vang-nguyen-chat-da-loc-dau-handmade-i2623410408.html")</f>
        <v>https://www.lazada.vn/products/1-kg-tinh-bot-nghe-vang-nguyen-chat-da-loc-dau-handmade-i2623410408.html</v>
      </c>
      <c r="C8745" s="10" t="s">
        <v>8745</v>
      </c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>
      <c r="A8746" s="8">
        <v>13600.0</v>
      </c>
      <c r="B8746" s="9" t="str">
        <f>HYPERLINK("https://www.lazada.vn/products/thach-zai-zai-tui-500g-zai-zai-loai-thanh-dai-hang-cong-ty-duc-hanh-i2039551633.html", "https://www.lazada.vn/products/thach-zai-zai-tui-500g-zai-zai-loai-thanh-dai-hang-cong-ty-duc-hanh-i2039551633.html")</f>
        <v>https://www.lazada.vn/products/thach-zai-zai-tui-500g-zai-zai-loai-thanh-dai-hang-cong-ty-duc-hanh-i2039551633.html</v>
      </c>
      <c r="C8746" s="10" t="s">
        <v>8746</v>
      </c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>
      <c r="A8747" s="8">
        <v>13601.0</v>
      </c>
      <c r="B8747" s="9" t="str">
        <f>HYPERLINK("https://www.lazada.vn/products/combo-5-banh-bong-lan-pho-mai-tron-hap-sua-bo-tuoi-b159-beegin-food-i2651298029.html", "https://www.lazada.vn/products/combo-5-banh-bong-lan-pho-mai-tron-hap-sua-bo-tuoi-b159-beegin-food-i2651298029.html")</f>
        <v>https://www.lazada.vn/products/combo-5-banh-bong-lan-pho-mai-tron-hap-sua-bo-tuoi-b159-beegin-food-i2651298029.html</v>
      </c>
      <c r="C8747" s="10" t="s">
        <v>8747</v>
      </c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>
      <c r="A8748" s="8">
        <v>13602.0</v>
      </c>
      <c r="B8748" s="9" t="str">
        <f>HYPERLINK("https://www.lazada.vn/products/combo-30-goi-snack-hinh-dui-ga-thom-an-vat-ba-tuyet-i2232125204.html", "https://www.lazada.vn/products/combo-30-goi-snack-hinh-dui-ga-thom-an-vat-ba-tuyet-i2232125204.html")</f>
        <v>https://www.lazada.vn/products/combo-30-goi-snack-hinh-dui-ga-thom-an-vat-ba-tuyet-i2232125204.html</v>
      </c>
      <c r="C8748" s="10" t="s">
        <v>8748</v>
      </c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>
      <c r="A8749" s="8">
        <v>13603.0</v>
      </c>
      <c r="B8749" s="9" t="str">
        <f>HYPERLINK("https://www.lazada.vn/products/banh-quy-ok-thin-biscuit-thai-lan-12-goi-x-25g-i2821323046.html", "https://www.lazada.vn/products/banh-quy-ok-thin-biscuit-thai-lan-12-goi-x-25g-i2821323046.html")</f>
        <v>https://www.lazada.vn/products/banh-quy-ok-thin-biscuit-thai-lan-12-goi-x-25g-i2821323046.html</v>
      </c>
      <c r="C8749" s="10" t="s">
        <v>8749</v>
      </c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>
      <c r="A8750" s="8">
        <v>13604.0</v>
      </c>
      <c r="B8750" s="9" t="str">
        <f>HYPERLINK("https://www.lazada.vn/products/vang-f-negroamaro-nhap-khau-italia-1-chai-750ml-i2426060816.html", "https://www.lazada.vn/products/vang-f-negroamaro-nhap-khau-italia-1-chai-750ml-i2426060816.html")</f>
        <v>https://www.lazada.vn/products/vang-f-negroamaro-nhap-khau-italia-1-chai-750ml-i2426060816.html</v>
      </c>
      <c r="C8750" s="10" t="s">
        <v>8750</v>
      </c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>
      <c r="A8751" s="8">
        <v>13605.0</v>
      </c>
      <c r="B8751" s="9" t="str">
        <f>HYPERLINK("https://www.lazada.vn/products/chao-beo-chao-do-dau-phu-nhu-lo-260g-i2930201566.html", "https://www.lazada.vn/products/chao-beo-chao-do-dau-phu-nhu-lo-260g-i2930201566.html")</f>
        <v>https://www.lazada.vn/products/chao-beo-chao-do-dau-phu-nhu-lo-260g-i2930201566.html</v>
      </c>
      <c r="C8751" s="10" t="s">
        <v>8751</v>
      </c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>
      <c r="A8752" s="8">
        <v>13606.0</v>
      </c>
      <c r="B8752" s="9" t="str">
        <f>HYPERLINK("https://www.lazada.vn/products/me-lao-lac-muoi-ot-duong-hu-500g-tang-kem-muoi-ot-i1720657611.html", "https://www.lazada.vn/products/me-lao-lac-muoi-ot-duong-hu-500g-tang-kem-muoi-ot-i1720657611.html")</f>
        <v>https://www.lazada.vn/products/me-lao-lac-muoi-ot-duong-hu-500g-tang-kem-muoi-ot-i1720657611.html</v>
      </c>
      <c r="C8752" s="10" t="s">
        <v>8752</v>
      </c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>
      <c r="A8753" s="8">
        <v>13607.0</v>
      </c>
      <c r="B8753" s="9" t="str">
        <f>HYPERLINK("https://www.lazada.vn/products/thung-24-chai-nuoc-tang-luc-ho-van-330ml-i1754895687.html", "https://www.lazada.vn/products/thung-24-chai-nuoc-tang-luc-ho-van-330ml-i1754895687.html")</f>
        <v>https://www.lazada.vn/products/thung-24-chai-nuoc-tang-luc-ho-van-330ml-i1754895687.html</v>
      </c>
      <c r="C8753" s="10" t="s">
        <v>8753</v>
      </c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>
      <c r="A8754" s="8">
        <v>13608.0</v>
      </c>
      <c r="B8754" s="9" t="str">
        <f>HYPERLINK("https://www.lazada.vn/products/hop-le-vien-keo-vi-sam-xtreme-cai-tien-malaysia-i2658748635.html", "https://www.lazada.vn/products/hop-le-vien-keo-vi-sam-xtreme-cai-tien-malaysia-i2658748635.html")</f>
        <v>https://www.lazada.vn/products/hop-le-vien-keo-vi-sam-xtreme-cai-tien-malaysia-i2658748635.html</v>
      </c>
      <c r="C8754" s="10" t="s">
        <v>8754</v>
      </c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>
      <c r="A8755" s="8">
        <v>13609.0</v>
      </c>
      <c r="B8755" s="9" t="str">
        <f>HYPERLINK("https://www.lazada.vn/products/33703-kfl-d21-nap-xi-nhan-sau-phai-lenswinker-r-rr-chinh-hang-honda-i2638549658.html", "https://www.lazada.vn/products/33703-kfl-d21-nap-xi-nhan-sau-phai-lenswinker-r-rr-chinh-hang-honda-i2638549658.html")</f>
        <v>https://www.lazada.vn/products/33703-kfl-d21-nap-xi-nhan-sau-phai-lenswinker-r-rr-chinh-hang-honda-i2638549658.html</v>
      </c>
      <c r="C8755" s="10" t="s">
        <v>8755</v>
      </c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>
      <c r="A8756" s="8">
        <v>13610.0</v>
      </c>
      <c r="B8756" s="9" t="str">
        <f>HYPERLINK("https://www.lazada.vn/products/nuoc-ep-trai-cay-nguyen-chat-100-hortex-1l-i2665313056.html", "https://www.lazada.vn/products/nuoc-ep-trai-cay-nguyen-chat-100-hortex-1l-i2665313056.html")</f>
        <v>https://www.lazada.vn/products/nuoc-ep-trai-cay-nguyen-chat-100-hortex-1l-i2665313056.html</v>
      </c>
      <c r="C8756" s="10" t="s">
        <v>8756</v>
      </c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>
      <c r="A8757" s="8">
        <v>13611.0</v>
      </c>
      <c r="B8757" s="9" t="str">
        <f>HYPERLINK("https://www.lazada.vn/products/khoai-tay-an-funwave-bich-1kg-giao-tphcm-i2637028808.html", "https://www.lazada.vn/products/khoai-tay-an-funwave-bich-1kg-giao-tphcm-i2637028808.html")</f>
        <v>https://www.lazada.vn/products/khoai-tay-an-funwave-bich-1kg-giao-tphcm-i2637028808.html</v>
      </c>
      <c r="C8757" s="10" t="s">
        <v>8757</v>
      </c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>
      <c r="A8758" s="8">
        <v>13612.0</v>
      </c>
      <c r="B8758" s="9" t="str">
        <f>HYPERLINK("https://www.lazada.vn/products/nem-chua-cho-huyen-10-caigoi-nem-la-oi-nem-chua-binh-dinh-nem-thit-dac-san-ong-tre-foods-i2733945310.html", "https://www.lazada.vn/products/nem-chua-cho-huyen-10-caigoi-nem-la-oi-nem-chua-binh-dinh-nem-thit-dac-san-ong-tre-foods-i2733945310.html")</f>
        <v>https://www.lazada.vn/products/nem-chua-cho-huyen-10-caigoi-nem-la-oi-nem-chua-binh-dinh-nem-thit-dac-san-ong-tre-foods-i2733945310.html</v>
      </c>
      <c r="C8758" s="10" t="s">
        <v>8758</v>
      </c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>
      <c r="A8759" s="8">
        <v>13613.0</v>
      </c>
      <c r="B8759" s="9" t="str">
        <f>HYPERLINK("https://www.lazada.vn/products/nuoc-co-gas-soda-han-quoc-vi-sua-250ml-lotte-milkis-original-i2021225182.html", "https://www.lazada.vn/products/nuoc-co-gas-soda-han-quoc-vi-sua-250ml-lotte-milkis-original-i2021225182.html")</f>
        <v>https://www.lazada.vn/products/nuoc-co-gas-soda-han-quoc-vi-sua-250ml-lotte-milkis-original-i2021225182.html</v>
      </c>
      <c r="C8759" s="10" t="s">
        <v>8759</v>
      </c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>
      <c r="A8760" s="8">
        <v>13614.0</v>
      </c>
      <c r="B8760" s="9" t="str">
        <f>HYPERLINK("https://www.lazada.vn/products/khoai-sam-dat-thuong-hieu-uy-tin-gia-20k1-kg-i2836187620.html", "https://www.lazada.vn/products/khoai-sam-dat-thuong-hieu-uy-tin-gia-20k1-kg-i2836187620.html")</f>
        <v>https://www.lazada.vn/products/khoai-sam-dat-thuong-hieu-uy-tin-gia-20k1-kg-i2836187620.html</v>
      </c>
      <c r="C8760" s="10" t="s">
        <v>8760</v>
      </c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>
      <c r="A8761" s="8">
        <v>13615.0</v>
      </c>
      <c r="B8761" s="9" t="str">
        <f>HYPERLINK("https://www.lazada.vn/products/banh-quy-nhan-tra-xanh-dasses-90g-i2941907131.html", "https://www.lazada.vn/products/banh-quy-nhan-tra-xanh-dasses-90g-i2941907131.html")</f>
        <v>https://www.lazada.vn/products/banh-quy-nhan-tra-xanh-dasses-90g-i2941907131.html</v>
      </c>
      <c r="C8761" s="10" t="s">
        <v>8761</v>
      </c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>
      <c r="A8762" s="8">
        <v>13616.0</v>
      </c>
      <c r="B8762" s="9" t="str">
        <f>HYPERLINK("https://www.lazada.vn/products/hop-thiec-banh-quy-bo-dan-mach-imperial-danish-style-500gr-i2938344726.html", "https://www.lazada.vn/products/hop-thiec-banh-quy-bo-dan-mach-imperial-danish-style-500gr-i2938344726.html")</f>
        <v>https://www.lazada.vn/products/hop-thiec-banh-quy-bo-dan-mach-imperial-danish-style-500gr-i2938344726.html</v>
      </c>
      <c r="C8762" s="10" t="s">
        <v>8762</v>
      </c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>
      <c r="A8763" s="8">
        <v>13617.0</v>
      </c>
      <c r="B8763" s="9" t="str">
        <f>HYPERLINK("https://www.lazada.vn/products/bot-ovaltine-hop-giay-285g-i1183300416.html", "https://www.lazada.vn/products/bot-ovaltine-hop-giay-285g-i1183300416.html")</f>
        <v>https://www.lazada.vn/products/bot-ovaltine-hop-giay-285g-i1183300416.html</v>
      </c>
      <c r="C8763" s="10" t="s">
        <v>8763</v>
      </c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>
      <c r="A8764" s="8">
        <v>13618.0</v>
      </c>
      <c r="B8764" s="9" t="str">
        <f>HYPERLINK("https://www.lazada.vn/products/loc-6-ly-mi-tom-tre-em-doraemon-thai-lan-noi-dia-hang-moi-i2886425401.html", "https://www.lazada.vn/products/loc-6-ly-mi-tom-tre-em-doraemon-thai-lan-noi-dia-hang-moi-i2886425401.html")</f>
        <v>https://www.lazada.vn/products/loc-6-ly-mi-tom-tre-em-doraemon-thai-lan-noi-dia-hang-moi-i2886425401.html</v>
      </c>
      <c r="C8764" s="10" t="s">
        <v>8764</v>
      </c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>
      <c r="A8765" s="8">
        <v>13619.0</v>
      </c>
      <c r="B8765" s="9" t="str">
        <f>HYPERLINK("https://www.lazada.vn/products/set-nguyen-lieu-tra-sua-tran-chau-tra-sua-thai-xanh-phuc-long-15-20-ly-cong-thuc-chuan-vi-vaobep365-i2619664584.html", "https://www.lazada.vn/products/set-nguyen-lieu-tra-sua-tran-chau-tra-sua-thai-xanh-phuc-long-15-20-ly-cong-thuc-chuan-vi-vaobep365-i2619664584.html")</f>
        <v>https://www.lazada.vn/products/set-nguyen-lieu-tra-sua-tran-chau-tra-sua-thai-xanh-phuc-long-15-20-ly-cong-thuc-chuan-vi-vaobep365-i2619664584.html</v>
      </c>
      <c r="C8765" s="10" t="s">
        <v>8765</v>
      </c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>
      <c r="A8766" s="8">
        <v>13620.0</v>
      </c>
      <c r="B8766" s="9" t="str">
        <f>HYPERLINK("https://www.lazada.vn/products/vang-do-roma-1989-145-750ml-i2424166906.html", "https://www.lazada.vn/products/vang-do-roma-1989-145-750ml-i2424166906.html")</f>
        <v>https://www.lazada.vn/products/vang-do-roma-1989-145-750ml-i2424166906.html</v>
      </c>
      <c r="C8766" s="10" t="s">
        <v>8766</v>
      </c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>
      <c r="A8767" s="8">
        <v>13621.0</v>
      </c>
      <c r="B8767" s="9" t="str">
        <f>HYPERLINK("https://www.lazada.vn/products/special-pricegherd-1-thung-bia-corny-khoa-khilong-ngat-ket-noi-cho-bia-nha-kieu-cornelius-i2792074847.html", "https://www.lazada.vn/products/special-pricegherd-1-thung-bia-corny-khoa-khilong-ngat-ket-noi-cho-bia-nha-kieu-cornelius-i2792074847.html")</f>
        <v>https://www.lazada.vn/products/special-pricegherd-1-thung-bia-corny-khoa-khilong-ngat-ket-noi-cho-bia-nha-kieu-cornelius-i2792074847.html</v>
      </c>
      <c r="C8767" s="10" t="s">
        <v>8767</v>
      </c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>
      <c r="A8768" s="8">
        <v>13622.0</v>
      </c>
      <c r="B8768" s="9" t="str">
        <f>HYPERLINK("https://www.lazada.vn/products/thung-1kg-banh-mi-goi-bo-sua-ngan-lop-mini-nhien-loi-12-banh-b97-beegin-store-i2525235026.html", "https://www.lazada.vn/products/thung-1kg-banh-mi-goi-bo-sua-ngan-lop-mini-nhien-loi-12-banh-b97-beegin-store-i2525235026.html")</f>
        <v>https://www.lazada.vn/products/thung-1kg-banh-mi-goi-bo-sua-ngan-lop-mini-nhien-loi-12-banh-b97-beegin-store-i2525235026.html</v>
      </c>
      <c r="C8768" s="10" t="s">
        <v>8768</v>
      </c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>
      <c r="A8769" s="8">
        <v>13623.0</v>
      </c>
      <c r="B8769" s="9" t="str">
        <f>HYPERLINK("https://www.lazada.vn/products/bia-duvel-85-nhap-khau-bi-1-thung-24-chai-330ml-i2792035877.html", "https://www.lazada.vn/products/bia-duvel-85-nhap-khau-bi-1-thung-24-chai-330ml-i2792035877.html")</f>
        <v>https://www.lazada.vn/products/bia-duvel-85-nhap-khau-bi-1-thung-24-chai-330ml-i2792035877.html</v>
      </c>
      <c r="C8769" s="10" t="s">
        <v>8769</v>
      </c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>
      <c r="A8770" s="8">
        <v>13624.0</v>
      </c>
      <c r="B8770" s="9" t="str">
        <f>HYPERLINK("https://www.lazada.vn/products/combo-3-banh-sandwich-tam-giac-lua-mach-cha-bong-khoai-mo-cha-bong-vi-bo-b103-beegin-store-i2525159247.html", "https://www.lazada.vn/products/combo-3-banh-sandwich-tam-giac-lua-mach-cha-bong-khoai-mo-cha-bong-vi-bo-b103-beegin-store-i2525159247.html")</f>
        <v>https://www.lazada.vn/products/combo-3-banh-sandwich-tam-giac-lua-mach-cha-bong-khoai-mo-cha-bong-vi-bo-b103-beegin-store-i2525159247.html</v>
      </c>
      <c r="C8770" s="10" t="s">
        <v>8770</v>
      </c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>
      <c r="A8771" s="8">
        <v>13625.0</v>
      </c>
      <c r="B8771" s="9" t="str">
        <f>HYPERLINK("https://www.lazada.vn/products/hot-thach-zai-zai-plus-tra-sua-tran-chau-500g-zai-zai-thanh-dai-hang-cong-ty-duc-hanh-i2039531723.html", "https://www.lazada.vn/products/hot-thach-zai-zai-plus-tra-sua-tran-chau-500g-zai-zai-thanh-dai-hang-cong-ty-duc-hanh-i2039531723.html")</f>
        <v>https://www.lazada.vn/products/hot-thach-zai-zai-plus-tra-sua-tran-chau-500g-zai-zai-thanh-dai-hang-cong-ty-duc-hanh-i2039531723.html</v>
      </c>
      <c r="C8771" s="10" t="s">
        <v>8771</v>
      </c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>
      <c r="A8772" s="8">
        <v>13626.0</v>
      </c>
      <c r="B8772" s="9" t="str">
        <f>HYPERLINK("https://www.lazada.vn/products/banh-snack-mix-ta-la-du-vi-500g-i2230340601.html", "https://www.lazada.vn/products/banh-snack-mix-ta-la-du-vi-500g-i2230340601.html")</f>
        <v>https://www.lazada.vn/products/banh-snack-mix-ta-la-du-vi-500g-i2230340601.html</v>
      </c>
      <c r="C8772" s="10" t="s">
        <v>8772</v>
      </c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>
      <c r="A8773" s="8">
        <v>13627.0</v>
      </c>
      <c r="B8773" s="9" t="str">
        <f>HYPERLINK("https://www.lazada.vn/products/thung-2kg-khoang-32cbanh-bong-lan-pho-mai-tron-hap-sua-bo-tuoi-b159-beegin-food-i2651272135.html", "https://www.lazada.vn/products/thung-2kg-khoang-32cbanh-bong-lan-pho-mai-tron-hap-sua-bo-tuoi-b159-beegin-food-i2651272135.html")</f>
        <v>https://www.lazada.vn/products/thung-2kg-khoang-32cbanh-bong-lan-pho-mai-tron-hap-sua-bo-tuoi-b159-beegin-food-i2651272135.html</v>
      </c>
      <c r="C8773" s="10" t="s">
        <v>8773</v>
      </c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>
      <c r="A8774" s="8">
        <v>13628.0</v>
      </c>
      <c r="B8774" s="9" t="str">
        <f>HYPERLINK("https://www.lazada.vn/products/banh-quy-franzzi-cuon-trung-vi-khoai-mon-phomai-dua-hop-100g-b212-i2821277660.html", "https://www.lazada.vn/products/banh-quy-franzzi-cuon-trung-vi-khoai-mon-phomai-dua-hop-100g-b212-i2821277660.html")</f>
        <v>https://www.lazada.vn/products/banh-quy-franzzi-cuon-trung-vi-khoai-mon-phomai-dua-hop-100g-b212-i2821277660.html</v>
      </c>
      <c r="C8774" s="10" t="s">
        <v>8774</v>
      </c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>
      <c r="A8775" s="8">
        <v>13629.0</v>
      </c>
      <c r="B8775" s="9" t="str">
        <f>HYPERLINK("https://www.lazada.vn/products/me-lao-lac-muoi-ot-duong-500ghu-tang-kem-muoi-ot-i1720598677.html", "https://www.lazada.vn/products/me-lao-lac-muoi-ot-duong-500ghu-tang-kem-muoi-ot-i1720598677.html")</f>
        <v>https://www.lazada.vn/products/me-lao-lac-muoi-ot-duong-500ghu-tang-kem-muoi-ot-i1720598677.html</v>
      </c>
      <c r="C8775" s="10" t="s">
        <v>8775</v>
      </c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>
      <c r="A8776" s="8">
        <v>13630.0</v>
      </c>
      <c r="B8776" s="9" t="str">
        <f>HYPERLINK("https://www.lazada.vn/products/lon-guigoz-cua-phap-i1738411471.html", "https://www.lazada.vn/products/lon-guigoz-cua-phap-i1738411471.html")</f>
        <v>https://www.lazada.vn/products/lon-guigoz-cua-phap-i1738411471.html</v>
      </c>
      <c r="C8776" s="10" t="s">
        <v>8776</v>
      </c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>
      <c r="A8777" s="8">
        <v>13631.0</v>
      </c>
      <c r="B8777" s="9" t="str">
        <f>HYPERLINK("https://www.lazada.vn/products/hop-30-vien-keo-vi-sam-xtreme-cai-tien-malaysia-i2658662979.html", "https://www.lazada.vn/products/hop-30-vien-keo-vi-sam-xtreme-cai-tien-malaysia-i2658662979.html")</f>
        <v>https://www.lazada.vn/products/hop-30-vien-keo-vi-sam-xtreme-cai-tien-malaysia-i2658662979.html</v>
      </c>
      <c r="C8777" s="10" t="s">
        <v>8777</v>
      </c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>
      <c r="A8778" s="8">
        <v>13632.0</v>
      </c>
      <c r="B8778" s="9" t="str">
        <f>HYPERLINK("https://www.lazada.vn/products/combo-6-chai-nuoc-lanh-vhs-nuoc-a-vuon-lanh-chua-05-nacl-dien-hoa-diet-khuan-lanh-tinh-15lchai-i2665032273.html", "https://www.lazada.vn/products/combo-6-chai-nuoc-lanh-vhs-nuoc-a-vuon-lanh-chua-05-nacl-dien-hoa-diet-khuan-lanh-tinh-15lchai-i2665032273.html")</f>
        <v>https://www.lazada.vn/products/combo-6-chai-nuoc-lanh-vhs-nuoc-a-vuon-lanh-chua-05-nacl-dien-hoa-diet-khuan-lanh-tinh-15lchai-i2665032273.html</v>
      </c>
      <c r="C8778" s="10" t="s">
        <v>8778</v>
      </c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>
      <c r="A8779" s="8">
        <v>13633.0</v>
      </c>
      <c r="B8779" s="9" t="str">
        <f>HYPERLINK("https://www.lazada.vn/products/mien-chua-cay-an-lien-haidilao-co-gia-vi-thom-ngon-170g-i2733867010.html", "https://www.lazada.vn/products/mien-chua-cay-an-lien-haidilao-co-gia-vi-thom-ngon-170g-i2733867010.html")</f>
        <v>https://www.lazada.vn/products/mien-chua-cay-an-lien-haidilao-co-gia-vi-thom-ngon-170g-i2733867010.html</v>
      </c>
      <c r="C8779" s="10" t="s">
        <v>8779</v>
      </c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>
      <c r="A8780" s="8">
        <v>13634.0</v>
      </c>
      <c r="B8780" s="9" t="str">
        <f>HYPERLINK("https://www.lazada.vn/products/combo-3-lon-snack-lays-stax-vi-kem-chua-va-hanh-tay-lon-100g-i2636638044.html", "https://www.lazada.vn/products/combo-3-lon-snack-lays-stax-vi-kem-chua-va-hanh-tay-lon-100g-i2636638044.html")</f>
        <v>https://www.lazada.vn/products/combo-3-lon-snack-lays-stax-vi-kem-chua-va-hanh-tay-lon-100g-i2636638044.html</v>
      </c>
      <c r="C8780" s="10" t="s">
        <v>8780</v>
      </c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>
      <c r="A8781" s="8">
        <v>13635.0</v>
      </c>
      <c r="B8781" s="9" t="str">
        <f>HYPERLINK("https://www.lazada.vn/products/nuoc-soda-welchs-vi-nho-cua-my-loc-12-lon-i2013564716.html", "https://www.lazada.vn/products/nuoc-soda-welchs-vi-nho-cua-my-loc-12-lon-i2013564716.html")</f>
        <v>https://www.lazada.vn/products/nuoc-soda-welchs-vi-nho-cua-my-loc-12-lon-i2013564716.html</v>
      </c>
      <c r="C8781" s="10" t="s">
        <v>8781</v>
      </c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>
      <c r="A8782" s="8">
        <v>13636.0</v>
      </c>
      <c r="B8782" s="9" t="str">
        <f>HYPERLINK("https://www.lazada.vn/products/dau-ngo-kho-thu-cong-tu-phoi-kho-dau-ngo-kho-thuong-mai-dau-ngo-kho-phoi-nang-thuc-pham-kho-bac-nam-do-an-nhanh-san-pham-chuc-nang-i2834652534.html", "https://www.lazada.vn/products/dau-ngo-kho-thu-cong-tu-phoi-kho-dau-ngo-kho-thuong-mai-dau-ngo-kho-phoi-nang-thuc-pham-kho-bac-nam-do-an-nhanh-san-pham-chuc-nang-i2834652534.html")</f>
        <v>https://www.lazada.vn/products/dau-ngo-kho-thu-cong-tu-phoi-kho-dau-ngo-kho-thuong-mai-dau-ngo-kho-phoi-nang-thuc-pham-kho-bac-nam-do-an-nhanh-san-pham-chuc-nang-i2834652534.html</v>
      </c>
      <c r="C8782" s="10" t="s">
        <v>8782</v>
      </c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>
      <c r="A8783" s="8">
        <v>13637.0</v>
      </c>
      <c r="B8783" s="9" t="str">
        <f>HYPERLINK("https://www.lazada.vn/products/hu-bot-ovaltine-thuy-tinh-400g-i1183298418.html", "https://www.lazada.vn/products/hu-bot-ovaltine-thuy-tinh-400g-i1183298418.html")</f>
        <v>https://www.lazada.vn/products/hu-bot-ovaltine-thuy-tinh-400g-i1183298418.html</v>
      </c>
      <c r="C8783" s="10" t="s">
        <v>8783</v>
      </c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>
      <c r="A8784" s="8">
        <v>13638.0</v>
      </c>
      <c r="B8784" s="9" t="str">
        <f>HYPERLINK("https://www.lazada.vn/products/banh-trung-hanh-nhan-nguyen-hat-1-goi-300g-26-cai-thom-vi-bo-hanh-nhan-hat-gion-rum-i2924238744.html", "https://www.lazada.vn/products/banh-trung-hanh-nhan-nguyen-hat-1-goi-300g-26-cai-thom-vi-bo-hanh-nhan-hat-gion-rum-i2924238744.html")</f>
        <v>https://www.lazada.vn/products/banh-trung-hanh-nhan-nguyen-hat-1-goi-300g-26-cai-thom-vi-bo-hanh-nhan-hat-gion-rum-i2924238744.html</v>
      </c>
      <c r="C8784" s="10" t="s">
        <v>8784</v>
      </c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>
      <c r="A8785" s="8">
        <v>13639.0</v>
      </c>
      <c r="B8785" s="9" t="str">
        <f>HYPERLINK("https://www.lazada.vn/products/set-nguyen-lieu-che-duong-nhan-13-vi-thanh-pham-25-30-chen-vaobep365-i2619610751.html", "https://www.lazada.vn/products/set-nguyen-lieu-che-duong-nhan-13-vi-thanh-pham-25-30-chen-vaobep365-i2619610751.html")</f>
        <v>https://www.lazada.vn/products/set-nguyen-lieu-che-duong-nhan-13-vi-thanh-pham-25-30-chen-vaobep365-i2619610751.html</v>
      </c>
      <c r="C8785" s="10" t="s">
        <v>8785</v>
      </c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>
      <c r="A8786" s="8">
        <v>13640.0</v>
      </c>
      <c r="B8786" s="9" t="str">
        <f>HYPERLINK("https://www.lazada.vn/products/hcmbot-ca-cao-nestle-nesquik-huong-vi-chocolate-1275kg-hang-nhap-khau-usa-i1141750999.html", "https://www.lazada.vn/products/hcmbot-ca-cao-nestle-nesquik-huong-vi-chocolate-1275kg-hang-nhap-khau-usa-i1141750999.html")</f>
        <v>https://www.lazada.vn/products/hcmbot-ca-cao-nestle-nesquik-huong-vi-chocolate-1275kg-hang-nhap-khau-usa-i1141750999.html</v>
      </c>
      <c r="C8786" s="10" t="s">
        <v>8786</v>
      </c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>
      <c r="A8787" s="8">
        <v>13641.0</v>
      </c>
      <c r="B8787" s="9" t="str">
        <f>HYPERLINK("https://www.lazada.vn/products/bo-combo-5-goi-banh-quy-kem-tan-chay-vo-gion-mix-du-vi-nha-tatawa-i2923931148.html", "https://www.lazada.vn/products/bo-combo-5-goi-banh-quy-kem-tan-chay-vo-gion-mix-du-vi-nha-tatawa-i2923931148.html")</f>
        <v>https://www.lazada.vn/products/bo-combo-5-goi-banh-quy-kem-tan-chay-vo-gion-mix-du-vi-nha-tatawa-i2923931148.html</v>
      </c>
      <c r="C8787" s="10" t="s">
        <v>8787</v>
      </c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>
      <c r="A8788" s="8">
        <v>13642.0</v>
      </c>
      <c r="B8788" s="9" t="str">
        <f>HYPERLINK("https://www.lazada.vn/products/loc-6-ly-mi-tom-tre-em-doraemon-thai-lan-noi-dia-hang-moi-i2886379932.html", "https://www.lazada.vn/products/loc-6-ly-mi-tom-tre-em-doraemon-thai-lan-noi-dia-hang-moi-i2886379932.html")</f>
        <v>https://www.lazada.vn/products/loc-6-ly-mi-tom-tre-em-doraemon-thai-lan-noi-dia-hang-moi-i2886379932.html</v>
      </c>
      <c r="C8788" s="10" t="s">
        <v>8788</v>
      </c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>
      <c r="A8789" s="8">
        <v>13643.0</v>
      </c>
      <c r="B8789" s="9" t="str">
        <f>HYPERLINK("https://www.lazada.vn/products/1kg-bot-sodium-persulfate-na2s2o8-sps-natri-persulfat-25-kgbao-nhat-ban-i2621266757.html", "https://www.lazada.vn/products/1kg-bot-sodium-persulfate-na2s2o8-sps-natri-persulfat-25-kgbao-nhat-ban-i2621266757.html")</f>
        <v>https://www.lazada.vn/products/1kg-bot-sodium-persulfate-na2s2o8-sps-natri-persulfat-25-kgbao-nhat-ban-i2621266757.html</v>
      </c>
      <c r="C8789" s="10" t="s">
        <v>8789</v>
      </c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>
      <c r="A8790" s="8">
        <v>13644.0</v>
      </c>
      <c r="B8790" s="9" t="str">
        <f>HYPERLINK("https://www.lazada.vn/products/vang-tay-ban-nha-espartero-135-i2419913174.html", "https://www.lazada.vn/products/vang-tay-ban-nha-espartero-135-i2419913174.html")</f>
        <v>https://www.lazada.vn/products/vang-tay-ban-nha-espartero-135-i2419913174.html</v>
      </c>
      <c r="C8790" s="10" t="s">
        <v>8790</v>
      </c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>
      <c r="A8791" s="8">
        <v>13645.0</v>
      </c>
      <c r="B8791" s="9" t="str">
        <f>HYPERLINK("https://www.lazada.vn/products/bia-duvel-666-nhap-khau-bi-1-thung-12-chai-330ml-i2792034898.html", "https://www.lazada.vn/products/bia-duvel-666-nhap-khau-bi-1-thung-12-chai-330ml-i2792034898.html")</f>
        <v>https://www.lazada.vn/products/bia-duvel-666-nhap-khau-bi-1-thung-12-chai-330ml-i2792034898.html</v>
      </c>
      <c r="C8791" s="10" t="s">
        <v>8791</v>
      </c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>
      <c r="A8792" s="8">
        <v>13646.0</v>
      </c>
      <c r="B8792" s="9" t="str">
        <f>HYPERLINK("https://www.lazada.vn/products/thung-30-banh-bong-lan-ruoc-gau-phu-cha-bong-dai-loan-beegin-store-i2525090740.html", "https://www.lazada.vn/products/thung-30-banh-bong-lan-ruoc-gau-phu-cha-bong-dai-loan-beegin-store-i2525090740.html")</f>
        <v>https://www.lazada.vn/products/thung-30-banh-bong-lan-ruoc-gau-phu-cha-bong-dai-loan-beegin-store-i2525090740.html</v>
      </c>
      <c r="C8792" s="10" t="s">
        <v>8792</v>
      </c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>
      <c r="A8793" s="8">
        <v>13647.0</v>
      </c>
      <c r="B8793" s="9" t="str">
        <f>HYPERLINK("https://www.lazada.vn/products/bot-can-tay-dalat-farm-hop-110gr-i2618439283.html", "https://www.lazada.vn/products/bot-can-tay-dalat-farm-hop-110gr-i2618439283.html")</f>
        <v>https://www.lazada.vn/products/bot-can-tay-dalat-farm-hop-110gr-i2618439283.html</v>
      </c>
      <c r="C8793" s="10" t="s">
        <v>8793</v>
      </c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>
      <c r="A8794" s="8">
        <v>13648.0</v>
      </c>
      <c r="B8794" s="9" t="str">
        <f>HYPERLINK("https://www.lazada.vn/products/vang-y-armonia-mottura-limited-edition-17-i2419903055.html", "https://www.lazada.vn/products/vang-y-armonia-mottura-limited-edition-17-i2419903055.html")</f>
        <v>https://www.lazada.vn/products/vang-y-armonia-mottura-limited-edition-17-i2419903055.html</v>
      </c>
      <c r="C8794" s="10" t="s">
        <v>8794</v>
      </c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>
      <c r="A8795" s="8">
        <v>13649.0</v>
      </c>
      <c r="B8795" s="9" t="str">
        <f>HYPERLINK("https://www.lazada.vn/products/hot-thach-zai-zai-plus-tra-sua-tran-chau-500g-zai-zai-thanh-dai-hang-cong-ty-duc-hanh-i2039517812.html", "https://www.lazada.vn/products/hot-thach-zai-zai-plus-tra-sua-tran-chau-500g-zai-zai-thanh-dai-hang-cong-ty-duc-hanh-i2039517812.html")</f>
        <v>https://www.lazada.vn/products/hot-thach-zai-zai-plus-tra-sua-tran-chau-500g-zai-zai-thanh-dai-hang-cong-ty-duc-hanh-i2039517812.html</v>
      </c>
      <c r="C8795" s="10" t="s">
        <v>8795</v>
      </c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>
      <c r="A8796" s="8">
        <v>13650.0</v>
      </c>
      <c r="B8796" s="9" t="str">
        <f>HYPERLINK("https://www.lazada.vn/products/bia-duvel-666-nhap-khau-bi-1-thung-12-chai-330ml-i2791936700.html", "https://www.lazada.vn/products/bia-duvel-666-nhap-khau-bi-1-thung-12-chai-330ml-i2791936700.html")</f>
        <v>https://www.lazada.vn/products/bia-duvel-666-nhap-khau-bi-1-thung-12-chai-330ml-i2791936700.html</v>
      </c>
      <c r="C8796" s="10" t="s">
        <v>8796</v>
      </c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>
      <c r="A8797" s="8">
        <v>13651.0</v>
      </c>
      <c r="B8797" s="9" t="str">
        <f>HYPERLINK("https://www.lazada.vn/products/com-chay-chien-mam-lac-kho-bo-gion-ngon-dam-vi-hu-300g-do-an-vat-susutoshop-i2229723552.html", "https://www.lazada.vn/products/com-chay-chien-mam-lac-kho-bo-gion-ngon-dam-vi-hu-300g-do-an-vat-susutoshop-i2229723552.html")</f>
        <v>https://www.lazada.vn/products/com-chay-chien-mam-lac-kho-bo-gion-ngon-dam-vi-hu-300g-do-an-vat-susutoshop-i2229723552.html</v>
      </c>
      <c r="C8797" s="10" t="s">
        <v>8797</v>
      </c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>
      <c r="A8798" s="8">
        <v>13652.0</v>
      </c>
      <c r="B8798" s="9" t="str">
        <f>HYPERLINK("https://www.lazada.vn/products/combo-5-banh-bong-lan-pho-mai-tron-hap-sua-bo-tuoi-b159-beegin-food-store-i2651263653.html", "https://www.lazada.vn/products/combo-5-banh-bong-lan-pho-mai-tron-hap-sua-bo-tuoi-b159-beegin-food-store-i2651263653.html")</f>
        <v>https://www.lazada.vn/products/combo-5-banh-bong-lan-pho-mai-tron-hap-sua-bo-tuoi-b159-beegin-food-store-i2651263653.html</v>
      </c>
      <c r="C8798" s="10" t="s">
        <v>8798</v>
      </c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>
      <c r="A8799" s="8">
        <v>13653.0</v>
      </c>
      <c r="B8799" s="9" t="str">
        <f>HYPERLINK("https://www.lazada.vn/products/tricks-banh-khoai-tay-vi-thit-nuong-120g-i2819199809.html", "https://www.lazada.vn/products/tricks-banh-khoai-tay-vi-thit-nuong-120g-i2819199809.html")</f>
        <v>https://www.lazada.vn/products/tricks-banh-khoai-tay-vi-thit-nuong-120g-i2819199809.html</v>
      </c>
      <c r="C8799" s="10" t="s">
        <v>8799</v>
      </c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>
      <c r="A8800" s="8">
        <v>13654.0</v>
      </c>
      <c r="B8800" s="9" t="str">
        <f>HYPERLINK("https://www.lazada.vn/products/270-vien-uong-bo-mat-chong-moi-mat-kowa-qp-nhat-ban-270-vien-i1720268701.html", "https://www.lazada.vn/products/270-vien-uong-bo-mat-chong-moi-mat-kowa-qp-nhat-ban-270-vien-i1720268701.html")</f>
        <v>https://www.lazada.vn/products/270-vien-uong-bo-mat-chong-moi-mat-kowa-qp-nhat-ban-270-vien-i1720268701.html</v>
      </c>
      <c r="C8800" s="10" t="s">
        <v>8800</v>
      </c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>
      <c r="A8801" s="8">
        <v>13655.0</v>
      </c>
      <c r="B8801" s="9" t="str">
        <f>HYPERLINK("https://www.lazada.vn/products/san-pham-tang-cuong-suc-manh-nam-gioi-i1718187632.html", "https://www.lazada.vn/products/san-pham-tang-cuong-suc-manh-nam-gioi-i1718187632.html")</f>
        <v>https://www.lazada.vn/products/san-pham-tang-cuong-suc-manh-nam-gioi-i1718187632.html</v>
      </c>
      <c r="C8801" s="10" t="s">
        <v>8801</v>
      </c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>
      <c r="A8802" s="8">
        <v>13656.0</v>
      </c>
      <c r="B8802" s="9" t="str">
        <f>HYPERLINK("https://www.lazada.vn/products/keo-sieu-chua-sour-candy-keo-chua-nhat-the-gioi-i2658248851.html", "https://www.lazada.vn/products/keo-sieu-chua-sour-candy-keo-chua-nhat-the-gioi-i2658248851.html")</f>
        <v>https://www.lazada.vn/products/keo-sieu-chua-sour-candy-keo-chua-nhat-the-gioi-i2658248851.html</v>
      </c>
      <c r="C8802" s="10" t="s">
        <v>8802</v>
      </c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>
      <c r="A8803" s="8">
        <v>13657.0</v>
      </c>
      <c r="B8803" s="9" t="str">
        <f>HYPERLINK("https://www.lazada.vn/products/ban-si-thach-dua-mien-bac-quang-minh-bich-20-goi-40ml-huong-dua-va-tang-luc-thom-ngon-giai-nhiet-mua-hedo-an-hot-nhat-i2664594553.html", "https://www.lazada.vn/products/ban-si-thach-dua-mien-bac-quang-minh-bich-20-goi-40ml-huong-dua-va-tang-luc-thom-ngon-giai-nhiet-mua-hedo-an-hot-nhat-i2664594553.html")</f>
        <v>https://www.lazada.vn/products/ban-si-thach-dua-mien-bac-quang-minh-bich-20-goi-40ml-huong-dua-va-tang-luc-thom-ngon-giai-nhiet-mua-hedo-an-hot-nhat-i2664594553.html</v>
      </c>
      <c r="C8803" s="10" t="s">
        <v>8803</v>
      </c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>
      <c r="A8804" s="8">
        <v>13658.0</v>
      </c>
      <c r="B8804" s="9" t="str">
        <f>HYPERLINK("https://www.lazada.vn/products/combo-3-lon-snack-khoai-tay-vi-tu-nhien-lays-stax-lon-100g-i2636599469.html", "https://www.lazada.vn/products/combo-3-lon-snack-khoai-tay-vi-tu-nhien-lays-stax-lon-100g-i2636599469.html")</f>
        <v>https://www.lazada.vn/products/combo-3-lon-snack-khoai-tay-vi-tu-nhien-lays-stax-lon-100g-i2636599469.html</v>
      </c>
      <c r="C8804" s="10" t="s">
        <v>8804</v>
      </c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>
      <c r="A8805" s="8">
        <v>13659.0</v>
      </c>
      <c r="B8805" s="9" t="str">
        <f>HYPERLINK("https://www.lazada.vn/products/tre-binh-dinh-chinh-goc-combo-3-cay-tre-rom-tai-heo-nguyen-lieu-tre-tron-dac-san-binh-dinh-ong-tre-food-i2733470526.html", "https://www.lazada.vn/products/tre-binh-dinh-chinh-goc-combo-3-cay-tre-rom-tai-heo-nguyen-lieu-tre-tron-dac-san-binh-dinh-ong-tre-food-i2733470526.html")</f>
        <v>https://www.lazada.vn/products/tre-binh-dinh-chinh-goc-combo-3-cay-tre-rom-tai-heo-nguyen-lieu-tre-tron-dac-san-binh-dinh-ong-tre-food-i2733470526.html</v>
      </c>
      <c r="C8805" s="10" t="s">
        <v>8805</v>
      </c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>
      <c r="A8806" s="8">
        <v>13660.0</v>
      </c>
      <c r="B8806" s="9" t="str">
        <f>HYPERLINK("https://www.lazada.vn/products/nuoc-ngot-welchs-my-vi-nho-loc-12-lon-i2005905487.html", "https://www.lazada.vn/products/nuoc-ngot-welchs-my-vi-nho-loc-12-lon-i2005905487.html")</f>
        <v>https://www.lazada.vn/products/nuoc-ngot-welchs-my-vi-nho-loc-12-lon-i2005905487.html</v>
      </c>
      <c r="C8806" s="10" t="s">
        <v>8806</v>
      </c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>
      <c r="A8807" s="8">
        <v>13661.0</v>
      </c>
      <c r="B8807" s="9" t="str">
        <f>HYPERLINK("https://www.lazada.vn/products/xoai-say-deo-khong-duong-i2832109337.html", "https://www.lazada.vn/products/xoai-say-deo-khong-duong-i2832109337.html")</f>
        <v>https://www.lazada.vn/products/xoai-say-deo-khong-duong-i2832109337.html</v>
      </c>
      <c r="C8807" s="10" t="s">
        <v>8807</v>
      </c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>
      <c r="A8808" s="8">
        <v>13662.0</v>
      </c>
      <c r="B8808" s="9" t="str">
        <f>HYPERLINK("https://www.lazada.vn/products/bot-cacao-sua-swiss-miss-hop-50-goi-195kg-nhap-khau-my-i1135890517.html", "https://www.lazada.vn/products/bot-cacao-sua-swiss-miss-hop-50-goi-195kg-nhap-khau-my-i1135890517.html")</f>
        <v>https://www.lazada.vn/products/bot-cacao-sua-swiss-miss-hop-50-goi-195kg-nhap-khau-my-i1135890517.html</v>
      </c>
      <c r="C8808" s="10" t="s">
        <v>8808</v>
      </c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>
      <c r="A8809" s="8">
        <v>13663.0</v>
      </c>
      <c r="B8809" s="9" t="str">
        <f>HYPERLINK("https://www.lazada.vn/products/combo-2kg-bot-san-day-nguyen-chat-ngon-giup-giam-can-thanh-nhiet-co-chung-nhan-an-toan-thuc-pham-i2619377377.html", "https://www.lazada.vn/products/combo-2kg-bot-san-day-nguyen-chat-ngon-giup-giam-can-thanh-nhiet-co-chung-nhan-an-toan-thuc-pham-i2619377377.html")</f>
        <v>https://www.lazada.vn/products/combo-2kg-bot-san-day-nguyen-chat-ngon-giup-giam-can-thanh-nhiet-co-chung-nhan-an-toan-thuc-pham-i2619377377.html</v>
      </c>
      <c r="C8809" s="10" t="s">
        <v>8809</v>
      </c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>
      <c r="A8810" s="8">
        <v>13664.0</v>
      </c>
      <c r="B8810" s="9" t="str">
        <f>HYPERLINK("https://www.lazada.vn/products/banh-qui-fruily-mix-4-mau-thom-ngon-kho-cuong-i2923582990.html", "https://www.lazada.vn/products/banh-qui-fruily-mix-4-mau-thom-ngon-kho-cuong-i2923582990.html")</f>
        <v>https://www.lazada.vn/products/banh-qui-fruily-mix-4-mau-thom-ngon-kho-cuong-i2923582990.html</v>
      </c>
      <c r="C8810" s="10" t="s">
        <v>8810</v>
      </c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>
      <c r="A8811" s="8">
        <v>13665.0</v>
      </c>
      <c r="B8811" s="9" t="str">
        <f>HYPERLINK("https://www.lazada.vn/products/huda-beer-6-lon-duoc-san-xuat-tren-hai-loai-bao-bi-thung-12-lon-va-thung-24-lon-nham-tang-su-phong-phu-trong-lua-chon-cua-khach-hang-dap-ung-toi-da-nhu-cau-su-dung-cua-nguoi-tieu-dung-voi-dung-tich-la-330ml-lon-do-con-45-do-", "https://www.lazada.vn/products/huda-beer-6-lon-duoc-san-xuat-tren-hai-loai-bao-bi-thung-12-lon-va-thung-24-lon-nham-tang-su-phong-phu-trong-lua-chon-cua-khach-hang-dap-ung-toi-da-nhu-cau-su-dung-cua-nguoi-tieu-dung-voi-dung-tich-la-330ml-lon-do-con-45-do-")</f>
        <v>https://www.lazada.vn/products/huda-beer-6-lon-duoc-san-xuat-tren-hai-loai-bao-bi-thung-12-lon-va-thung-24-lon-nham-tang-su-phong-phu-trong-lua-chon-cua-khach-hang-dap-ung-toi-da-nhu-cau-su-dung-cua-nguoi-tieu-dung-voi-dung-tich-la-330ml-lon-do-con-45-do-</v>
      </c>
      <c r="C8811" s="10" t="s">
        <v>8811</v>
      </c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>
      <c r="A8812" s="8">
        <v>13666.0</v>
      </c>
      <c r="B8812" s="9" t="str">
        <f>HYPERLINK("https://www.lazada.vn/products/ruou-vang-y-m-moscato-cavatina-premium-7-champage-i2419883307.html", "https://www.lazada.vn/products/ruou-vang-y-m-moscato-cavatina-premium-7-champage-i2419883307.html")</f>
        <v>https://www.lazada.vn/products/ruou-vang-y-m-moscato-cavatina-premium-7-champage-i2419883307.html</v>
      </c>
      <c r="C8812" s="10" t="s">
        <v>8812</v>
      </c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>
      <c r="A8813" s="8">
        <v>13667.0</v>
      </c>
      <c r="B8813" s="9" t="str">
        <f>HYPERLINK("https://www.lazada.vn/products/bot-abc-4kgco-kiem-dinh-chat-luong-tot-hat-hien-nay-dung-cho-gia-dinh-co-quan-nha-xuong-i2618076345.html", "https://www.lazada.vn/products/bot-abc-4kgco-kiem-dinh-chat-luong-tot-hat-hien-nay-dung-cho-gia-dinh-co-quan-nha-xuong-i2618076345.html")</f>
        <v>https://www.lazada.vn/products/bot-abc-4kgco-kiem-dinh-chat-luong-tot-hat-hien-nay-dung-cho-gia-dinh-co-quan-nha-xuong-i2618076345.html</v>
      </c>
      <c r="C8813" s="10" t="s">
        <v>8813</v>
      </c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>
      <c r="A8814" s="8">
        <v>13668.0</v>
      </c>
      <c r="B8814" s="9" t="str">
        <f>HYPERLINK("https://www.lazada.vn/products/thung-2kg-banh-mi-goi-bo-sua-ngan-lop-mini-nhien-loi-24-banh-b97-beegin-store-i2525065833.html", "https://www.lazada.vn/products/thung-2kg-banh-mi-goi-bo-sua-ngan-lop-mini-nhien-loi-24-banh-b97-beegin-store-i2525065833.html")</f>
        <v>https://www.lazada.vn/products/thung-2kg-banh-mi-goi-bo-sua-ngan-lop-mini-nhien-loi-24-banh-b97-beegin-store-i2525065833.html</v>
      </c>
      <c r="C8814" s="10" t="s">
        <v>8814</v>
      </c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>
      <c r="A8815" s="8">
        <v>13669.0</v>
      </c>
      <c r="B8815" s="9" t="str">
        <f>HYPERLINK("https://www.lazada.vn/products/combo-5-ly-uniben-mi-ly-3-mien-gold-bo-ham-rau-thom-mi-ly-bo-ham-rau-thom-3-mien-gold-mi-3-mien-gold-ly-65gly-i2881599913.html", "https://www.lazada.vn/products/combo-5-ly-uniben-mi-ly-3-mien-gold-bo-ham-rau-thom-mi-ly-bo-ham-rau-thom-3-mien-gold-mi-3-mien-gold-ly-65gly-i2881599913.html")</f>
        <v>https://www.lazada.vn/products/combo-5-ly-uniben-mi-ly-3-mien-gold-bo-ham-rau-thom-mi-ly-bo-ham-rau-thom-3-mien-gold-mi-3-mien-gold-ly-65gly-i2881599913.html</v>
      </c>
      <c r="C8815" s="10" t="s">
        <v>8815</v>
      </c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>
      <c r="A8816" s="8">
        <v>13670.0</v>
      </c>
      <c r="B8816" s="9" t="str">
        <f>HYPERLINK("https://www.lazada.vn/products/thach-zai-zai-tui-1kg-zai-zai-vi-tu-chon-hang-cong-ty-duc-hanh-i2039406743.html", "https://www.lazada.vn/products/thach-zai-zai-tui-1kg-zai-zai-vi-tu-chon-hang-cong-ty-duc-hanh-i2039406743.html")</f>
        <v>https://www.lazada.vn/products/thach-zai-zai-tui-1kg-zai-zai-vi-tu-chon-hang-cong-ty-duc-hanh-i2039406743.html</v>
      </c>
      <c r="C8816" s="10" t="s">
        <v>8816</v>
      </c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>
      <c r="A8817" s="8">
        <v>13671.0</v>
      </c>
      <c r="B8817" s="9" t="str">
        <f>HYPERLINK("https://www.lazada.vn/products/500gr-banh-chop-non-banh-tam-giac-gion-ngon-la-mieng-an-vat-i2225507400.html", "https://www.lazada.vn/products/500gr-banh-chop-non-banh-tam-giac-gion-ngon-la-mieng-an-vat-i2225507400.html")</f>
        <v>https://www.lazada.vn/products/500gr-banh-chop-non-banh-tam-giac-gion-ngon-la-mieng-an-vat-i2225507400.html</v>
      </c>
      <c r="C8817" s="10" t="s">
        <v>8817</v>
      </c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>
      <c r="A8818" s="8">
        <v>13672.0</v>
      </c>
      <c r="B8818" s="9" t="str">
        <f>HYPERLINK("https://www.lazada.vn/products/tricks-banh-khoai-tay-vi-tu-nhien-120g-i2818894601.html", "https://www.lazada.vn/products/tricks-banh-khoai-tay-vi-tu-nhien-120g-i2818894601.html")</f>
        <v>https://www.lazada.vn/products/tricks-banh-khoai-tay-vi-tu-nhien-120g-i2818894601.html</v>
      </c>
      <c r="C8818" s="10" t="s">
        <v>8818</v>
      </c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>
      <c r="A8819" s="8">
        <v>13673.0</v>
      </c>
      <c r="B8819" s="9" t="str">
        <f>HYPERLINK("https://www.lazada.vn/products/05kg-cha-ram-tom-dat-30-cuon-hoa-toc-tphcm-i1718872084.html", "https://www.lazada.vn/products/05kg-cha-ram-tom-dat-30-cuon-hoa-toc-tphcm-i1718872084.html")</f>
        <v>https://www.lazada.vn/products/05kg-cha-ram-tom-dat-30-cuon-hoa-toc-tphcm-i1718872084.html</v>
      </c>
      <c r="C8819" s="10" t="s">
        <v>8819</v>
      </c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>
      <c r="A8820" s="8">
        <v>13674.0</v>
      </c>
      <c r="B8820" s="9" t="str">
        <f>HYPERLINK("https://www.lazada.vn/products/nuoc-tang-luc-co-ga-monster-energy-mango-loco-xoai-lon-355ml-i1717989018.html", "https://www.lazada.vn/products/nuoc-tang-luc-co-ga-monster-energy-mango-loco-xoai-lon-355ml-i1717989018.html")</f>
        <v>https://www.lazada.vn/products/nuoc-tang-luc-co-ga-monster-energy-mango-loco-xoai-lon-355ml-i1717989018.html</v>
      </c>
      <c r="C8820" s="10" t="s">
        <v>8820</v>
      </c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>
      <c r="A8821" s="8">
        <v>13675.0</v>
      </c>
      <c r="B8821" s="9" t="str">
        <f>HYPERLINK("https://www.lazada.vn/products/hop-10-vien-keo-vi-chanh-a7-anpha-my-i2658062732.html", "https://www.lazada.vn/products/hop-10-vien-keo-vi-chanh-a7-anpha-my-i2658062732.html")</f>
        <v>https://www.lazada.vn/products/hop-10-vien-keo-vi-chanh-a7-anpha-my-i2658062732.html</v>
      </c>
      <c r="C8821" s="10" t="s">
        <v>8821</v>
      </c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>
      <c r="A8822" s="8">
        <v>13676.0</v>
      </c>
      <c r="B8822" s="9" t="str">
        <f>HYPERLINK("https://www.lazada.vn/products/unimante-chanh-gung-nua-hop-15-goi-i2663666944.html", "https://www.lazada.vn/products/unimante-chanh-gung-nua-hop-15-goi-i2663666944.html")</f>
        <v>https://www.lazada.vn/products/unimante-chanh-gung-nua-hop-15-goi-i2663666944.html</v>
      </c>
      <c r="C8822" s="10" t="s">
        <v>8822</v>
      </c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>
      <c r="A8823" s="8">
        <v>13677.0</v>
      </c>
      <c r="B8823" s="9" t="str">
        <f>HYPERLINK("https://www.lazada.vn/products/trung-vit-bien-muoi-tuom-dau-noi-dia-trung-dac-san-quang-tay-i2733379306.html", "https://www.lazada.vn/products/trung-vit-bien-muoi-tuom-dau-noi-dia-trung-dac-san-quang-tay-i2733379306.html")</f>
        <v>https://www.lazada.vn/products/trung-vit-bien-muoi-tuom-dau-noi-dia-trung-dac-san-quang-tay-i2733379306.html</v>
      </c>
      <c r="C8823" s="10" t="s">
        <v>8823</v>
      </c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>
      <c r="A8824" s="8">
        <v>13678.0</v>
      </c>
      <c r="B8824" s="9" t="str">
        <f>HYPERLINK("https://www.lazada.vn/products/bim-bim-khoai-tay-pho-mai-cong-gion-xop-beo-ngay-cay-nhe-la-mieng-dac-san-thao-da-lat-i2636551950.html", "https://www.lazada.vn/products/bim-bim-khoai-tay-pho-mai-cong-gion-xop-beo-ngay-cay-nhe-la-mieng-dac-san-thao-da-lat-i2636551950.html")</f>
        <v>https://www.lazada.vn/products/bim-bim-khoai-tay-pho-mai-cong-gion-xop-beo-ngay-cay-nhe-la-mieng-dac-san-thao-da-lat-i2636551950.html</v>
      </c>
      <c r="C8824" s="10" t="s">
        <v>8824</v>
      </c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>
      <c r="A8825" s="8">
        <v>13679.0</v>
      </c>
      <c r="B8825" s="9" t="str">
        <f>HYPERLINK("https://www.lazada.vn/products/kiwi-say-gion-thang-hoa-1kg-khong-tam-duong-giu-nguyen-huong-vi-dung-an-vat-lam-banh-pha-tra-i2831981413.html", "https://www.lazada.vn/products/kiwi-say-gion-thang-hoa-1kg-khong-tam-duong-giu-nguyen-huong-vi-dung-an-vat-lam-banh-pha-tra-i2831981413.html")</f>
        <v>https://www.lazada.vn/products/kiwi-say-gion-thang-hoa-1kg-khong-tam-duong-giu-nguyen-huong-vi-dung-an-vat-lam-banh-pha-tra-i2831981413.html</v>
      </c>
      <c r="C8825" s="10" t="s">
        <v>8825</v>
      </c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>
      <c r="A8826" s="8">
        <v>13680.0</v>
      </c>
      <c r="B8826" s="9" t="str">
        <f>HYPERLINK("https://www.lazada.vn/products/coca-mini-nhat-ban-i2001806433.html", "https://www.lazada.vn/products/coca-mini-nhat-ban-i2001806433.html")</f>
        <v>https://www.lazada.vn/products/coca-mini-nhat-ban-i2001806433.html</v>
      </c>
      <c r="C8826" s="10" t="s">
        <v>8826</v>
      </c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>
      <c r="A8827" s="8">
        <v>13681.0</v>
      </c>
      <c r="B8827" s="9" t="str">
        <f>HYPERLINK("https://www.lazada.vn/products/nuoc-sam-thao-moc-vuong-lo-cat-310ml-hang-noi-dia-hongkong-i2619158108.html", "https://www.lazada.vn/products/nuoc-sam-thao-moc-vuong-lo-cat-310ml-hang-noi-dia-hongkong-i2619158108.html")</f>
        <v>https://www.lazada.vn/products/nuoc-sam-thao-moc-vuong-lo-cat-310ml-hang-noi-dia-hongkong-i2619158108.html</v>
      </c>
      <c r="C8827" s="10" t="s">
        <v>8827</v>
      </c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>
      <c r="A8828" s="8">
        <v>13682.0</v>
      </c>
      <c r="B8828" s="9" t="str">
        <f>HYPERLINK("https://www.lazada.vn/products/bot-cacao-nguyen-chat-dung-duong-da-nguyen-lieu-pha-che-lam-banh-nau-an-i1112592453.html", "https://www.lazada.vn/products/bot-cacao-nguyen-chat-dung-duong-da-nguyen-lieu-pha-che-lam-banh-nau-an-i1112592453.html")</f>
        <v>https://www.lazada.vn/products/bot-cacao-nguyen-chat-dung-duong-da-nguyen-lieu-pha-che-lam-banh-nau-an-i1112592453.html</v>
      </c>
      <c r="C8828" s="10" t="s">
        <v>8828</v>
      </c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>
      <c r="A8829" s="8">
        <v>13683.0</v>
      </c>
      <c r="B8829" s="9" t="str">
        <f>HYPERLINK("https://www.lazada.vn/products/bot-dau-nanh-500g-1kg-i2616771032.html", "https://www.lazada.vn/products/bot-dau-nanh-500g-1kg-i2616771032.html")</f>
        <v>https://www.lazada.vn/products/bot-dau-nanh-500g-1kg-i2616771032.html</v>
      </c>
      <c r="C8829" s="10" t="s">
        <v>8829</v>
      </c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>
      <c r="A8830" s="8">
        <v>13684.0</v>
      </c>
      <c r="B8830" s="9" t="str">
        <f>HYPERLINK("https://www.lazada.vn/products/banh-ruoc-ga-jambon-man-fucuco-1-goi-320g-thom-vi-cha-bong-nhan-day-banh-an-vat-ngon-bach-hoa-loc-phat-i2921225416.html", "https://www.lazada.vn/products/banh-ruoc-ga-jambon-man-fucuco-1-goi-320g-thom-vi-cha-bong-nhan-day-banh-an-vat-ngon-bach-hoa-loc-phat-i2921225416.html")</f>
        <v>https://www.lazada.vn/products/banh-ruoc-ga-jambon-man-fucuco-1-goi-320g-thom-vi-cha-bong-nhan-day-banh-an-vat-ngon-bach-hoa-loc-phat-i2921225416.html</v>
      </c>
      <c r="C8830" s="10" t="s">
        <v>8830</v>
      </c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>
      <c r="A8831" s="8">
        <v>13685.0</v>
      </c>
      <c r="B8831" s="9" t="str">
        <f>HYPERLINK("https://www.lazada.vn/products/vang-y-alba-15-i2419882470.html", "https://www.lazada.vn/products/vang-y-alba-15-i2419882470.html")</f>
        <v>https://www.lazada.vn/products/vang-y-alba-15-i2419882470.html</v>
      </c>
      <c r="C8831" s="10" t="s">
        <v>8831</v>
      </c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>
      <c r="A8832" s="8">
        <v>13686.0</v>
      </c>
      <c r="B8832" s="9" t="str">
        <f>HYPERLINK("https://www.lazada.vn/products/banh-trung-hanh-nhan-nguyen-hat-1-goi-300g-26-cai-thom-vi-bo-hanh-nhan-hat-gion-rum-bach-hoa-loc-phat-i2921209409.html", "https://www.lazada.vn/products/banh-trung-hanh-nhan-nguyen-hat-1-goi-300g-26-cai-thom-vi-bo-hanh-nhan-hat-gion-rum-bach-hoa-loc-phat-i2921209409.html")</f>
        <v>https://www.lazada.vn/products/banh-trung-hanh-nhan-nguyen-hat-1-goi-300g-26-cai-thom-vi-bo-hanh-nhan-hat-gion-rum-bach-hoa-loc-phat-i2921209409.html</v>
      </c>
      <c r="C8832" s="10" t="s">
        <v>8832</v>
      </c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>
      <c r="A8833" s="8">
        <v>13687.0</v>
      </c>
      <c r="B8833" s="9" t="str">
        <f>HYPERLINK("https://www.lazada.vn/products/thung-24-lon-bia-333-plisner-extra-smooth-330ml-i2786992689.html", "https://www.lazada.vn/products/thung-24-lon-bia-333-plisner-extra-smooth-330ml-i2786992689.html")</f>
        <v>https://www.lazada.vn/products/thung-24-lon-bia-333-plisner-extra-smooth-330ml-i2786992689.html</v>
      </c>
      <c r="C8833" s="10" t="s">
        <v>8833</v>
      </c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>
      <c r="A8834" s="8">
        <v>13688.0</v>
      </c>
      <c r="B8834" s="9" t="str">
        <f>HYPERLINK("https://www.lazada.vn/products/bich-20-goi-snack-mi-vien-do-thai-lan-an-vat-492-i2225501308.html", "https://www.lazada.vn/products/bich-20-goi-snack-mi-vien-do-thai-lan-an-vat-492-i2225501308.html")</f>
        <v>https://www.lazada.vn/products/bich-20-goi-snack-mi-vien-do-thai-lan-an-vat-492-i2225501308.html</v>
      </c>
      <c r="C8834" s="10" t="s">
        <v>8834</v>
      </c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>
      <c r="A8835" s="8">
        <v>13689.0</v>
      </c>
      <c r="B8835" s="9" t="str">
        <f>HYPERLINK("https://www.lazada.vn/products/mi-ly-kokomi-dai-90gr-co-kem-cay-xuc-xich-i2880749255.html", "https://www.lazada.vn/products/mi-ly-kokomi-dai-90gr-co-kem-cay-xuc-xich-i2880749255.html")</f>
        <v>https://www.lazada.vn/products/mi-ly-kokomi-dai-90gr-co-kem-cay-xuc-xich-i2880749255.html</v>
      </c>
      <c r="C8835" s="10" t="s">
        <v>8835</v>
      </c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>
      <c r="A8836" s="8">
        <v>13690.0</v>
      </c>
      <c r="B8836" s="9" t="str">
        <f>HYPERLINK("https://www.lazada.vn/products/thach-zai-zai-tui-500g-zai-zai-loai-thanh-dai-hang-cong-ty-duc-hanh-i2039369900.html", "https://www.lazada.vn/products/thach-zai-zai-tui-500g-zai-zai-loai-thanh-dai-hang-cong-ty-duc-hanh-i2039369900.html")</f>
        <v>https://www.lazada.vn/products/thach-zai-zai-tui-500g-zai-zai-loai-thanh-dai-hang-cong-ty-duc-hanh-i2039369900.html</v>
      </c>
      <c r="C8836" s="10" t="s">
        <v>8836</v>
      </c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>
      <c r="A8837" s="8">
        <v>13691.0</v>
      </c>
      <c r="B8837" s="9" t="str">
        <f>HYPERLINK("https://www.lazada.vn/products/lap-xuong-tom-trung-muoi-thuong-hang-cao-cap-vua-kho-tu-suong-thuc-pham-kho-cao-cap-phan-loai-1kg-500gram-i1718082879.html", "https://www.lazada.vn/products/lap-xuong-tom-trung-muoi-thuong-hang-cao-cap-vua-kho-tu-suong-thuc-pham-kho-cao-cap-phan-loai-1kg-500gram-i1718082879.html")</f>
        <v>https://www.lazada.vn/products/lap-xuong-tom-trung-muoi-thuong-hang-cao-cap-vua-kho-tu-suong-thuc-pham-kho-cao-cap-phan-loai-1kg-500gram-i1718082879.html</v>
      </c>
      <c r="C8837" s="10" t="s">
        <v>8837</v>
      </c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>
      <c r="A8838" s="8">
        <v>13692.0</v>
      </c>
      <c r="B8838" s="9" t="str">
        <f>HYPERLINK("https://www.lazada.vn/products/combo-5-hop-banh-kho-me-ba-lieu-cam-le-hop-cao-cap-250g-dac-san-da-nang-lam-qua-i2817951209.html", "https://www.lazada.vn/products/combo-5-hop-banh-kho-me-ba-lieu-cam-le-hop-cao-cap-250g-dac-san-da-nang-lam-qua-i2817951209.html")</f>
        <v>https://www.lazada.vn/products/combo-5-hop-banh-kho-me-ba-lieu-cam-le-hop-cao-cap-250g-dac-san-da-nang-lam-qua-i2817951209.html</v>
      </c>
      <c r="C8838" s="10" t="s">
        <v>8838</v>
      </c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>
      <c r="A8839" s="8">
        <v>13693.0</v>
      </c>
      <c r="B8839" s="9" t="str">
        <f>HYPERLINK("https://www.lazada.vn/products/nuoc-tang-luc-co-ga-monster-den-energy-lon-355ml-i1717878546.html", "https://www.lazada.vn/products/nuoc-tang-luc-co-ga-monster-den-energy-lon-355ml-i1717878546.html")</f>
        <v>https://www.lazada.vn/products/nuoc-tang-luc-co-ga-monster-den-energy-lon-355ml-i1717878546.html</v>
      </c>
      <c r="C8839" s="10" t="s">
        <v>8839</v>
      </c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>
      <c r="A8840" s="8">
        <v>13694.0</v>
      </c>
      <c r="B8840" s="9" t="str">
        <f>HYPERLINK("https://www.lazada.vn/products/keo-sua-bo-non-nen-goi-250g-keo-sua-nguyen-kem-an-vat-luna-food-i2657129771.html", "https://www.lazada.vn/products/keo-sua-bo-non-nen-goi-250g-keo-sua-nguyen-kem-an-vat-luna-food-i2657129771.html")</f>
        <v>https://www.lazada.vn/products/keo-sua-bo-non-nen-goi-250g-keo-sua-nguyen-kem-an-vat-luna-food-i2657129771.html</v>
      </c>
      <c r="C8840" s="10" t="s">
        <v>8840</v>
      </c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>
      <c r="A8841" s="8">
        <v>13695.0</v>
      </c>
      <c r="B8841" s="9" t="str">
        <f>HYPERLINK("https://www.lazada.vn/products/bot-chanh-knorr-100gr-i2663304746.html", "https://www.lazada.vn/products/bot-chanh-knorr-100gr-i2663304746.html")</f>
        <v>https://www.lazada.vn/products/bot-chanh-knorr-100gr-i2663304746.html</v>
      </c>
      <c r="C8841" s="10" t="s">
        <v>8841</v>
      </c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>
      <c r="A8842" s="8">
        <v>13696.0</v>
      </c>
      <c r="B8842" s="9" t="str">
        <f>HYPERLINK("https://www.lazada.vn/products/1kg-khoai-tay-trung-muoi-ngon-i2636467319.html", "https://www.lazada.vn/products/1kg-khoai-tay-trung-muoi-ngon-i2636467319.html")</f>
        <v>https://www.lazada.vn/products/1kg-khoai-tay-trung-muoi-ngon-i2636467319.html</v>
      </c>
      <c r="C8842" s="10" t="s">
        <v>8842</v>
      </c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>
      <c r="A8843" s="8">
        <v>13697.0</v>
      </c>
      <c r="B8843" s="9" t="str">
        <f>HYPERLINK("https://www.lazada.vn/products/tre-binh-dinh-chinh-goc-tre-rom-binh-dinh-tre-tai-heo-dac-san-gia-truyen-thom-ngon-ong-tre-food-i2732719682.html", "https://www.lazada.vn/products/tre-binh-dinh-chinh-goc-tre-rom-binh-dinh-tre-tai-heo-dac-san-gia-truyen-thom-ngon-ong-tre-food-i2732719682.html")</f>
        <v>https://www.lazada.vn/products/tre-binh-dinh-chinh-goc-tre-rom-binh-dinh-tre-tai-heo-dac-san-gia-truyen-thom-ngon-ong-tre-food-i2732719682.html</v>
      </c>
      <c r="C8843" s="10" t="s">
        <v>8843</v>
      </c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>
      <c r="A8844" s="8">
        <v>13698.0</v>
      </c>
      <c r="B8844" s="9" t="str">
        <f>HYPERLINK("https://www.lazada.vn/products/trai-cay-say-vinamit-100g-i2831747075.html", "https://www.lazada.vn/products/trai-cay-say-vinamit-100g-i2831747075.html")</f>
        <v>https://www.lazada.vn/products/trai-cay-say-vinamit-100g-i2831747075.html</v>
      </c>
      <c r="C8844" s="10" t="s">
        <v>8844</v>
      </c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>
      <c r="A8845" s="8">
        <v>13699.0</v>
      </c>
      <c r="B8845" s="9" t="str">
        <f>HYPERLINK("https://www.lazada.vn/products/nuoc-ngot-fanta-nhat-ban-lon-160ml-i1967694521.html", "https://www.lazada.vn/products/nuoc-ngot-fanta-nhat-ban-lon-160ml-i1967694521.html")</f>
        <v>https://www.lazada.vn/products/nuoc-ngot-fanta-nhat-ban-lon-160ml-i1967694521.html</v>
      </c>
      <c r="C8845" s="10" t="s">
        <v>8845</v>
      </c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>
      <c r="A8846" s="8">
        <v>13700.0</v>
      </c>
      <c r="B8846" s="9" t="str">
        <f>HYPERLINK("https://www.lazada.vn/products/bot-cacao-nguyen-chat-an-toan-thuc-pham-i1108802899.html", "https://www.lazada.vn/products/bot-cacao-nguyen-chat-an-toan-thuc-pham-i1108802899.html")</f>
        <v>https://www.lazada.vn/products/bot-cacao-nguyen-chat-an-toan-thuc-pham-i1108802899.html</v>
      </c>
      <c r="C8846" s="10" t="s">
        <v>8846</v>
      </c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>
      <c r="A8847" s="8">
        <v>13701.0</v>
      </c>
      <c r="B8847" s="9" t="str">
        <f>HYPERLINK("https://www.lazada.vn/products/mien-ship-2kg-bot-san-day-ngon-nguyen-chat-co-chung-nhan-an-toan-thuc-pham-i2619113898.html", "https://www.lazada.vn/products/mien-ship-2kg-bot-san-day-ngon-nguyen-chat-co-chung-nhan-an-toan-thuc-pham-i2619113898.html")</f>
        <v>https://www.lazada.vn/products/mien-ship-2kg-bot-san-day-ngon-nguyen-chat-co-chung-nhan-an-toan-thuc-pham-i2619113898.html</v>
      </c>
      <c r="C8847" s="10" t="s">
        <v>8847</v>
      </c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>
      <c r="A8848" s="8">
        <v>13702.0</v>
      </c>
      <c r="B8848" s="9" t="str">
        <f>HYPERLINK("https://www.lazada.vn/products/bot-dau-nanh-500g-1kg-i2616650855.html", "https://www.lazada.vn/products/bot-dau-nanh-500g-1kg-i2616650855.html")</f>
        <v>https://www.lazada.vn/products/bot-dau-nanh-500g-1kg-i2616650855.html</v>
      </c>
      <c r="C8848" s="10" t="s">
        <v>8848</v>
      </c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>
      <c r="A8849" s="8">
        <v>13703.0</v>
      </c>
      <c r="B8849" s="9" t="str">
        <f>HYPERLINK("https://www.lazada.vn/products/khuyen-mai-thung-da-giu-nhiet-58l-combo-2-thung-blanc-1664-330ml-date-29102024-i2786890868.html", "https://www.lazada.vn/products/khuyen-mai-thung-da-giu-nhiet-58l-combo-2-thung-blanc-1664-330ml-date-29102024-i2786890868.html")</f>
        <v>https://www.lazada.vn/products/khuyen-mai-thung-da-giu-nhiet-58l-combo-2-thung-blanc-1664-330ml-date-29102024-i2786890868.html</v>
      </c>
      <c r="C8849" s="10" t="s">
        <v>8849</v>
      </c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>
      <c r="A8850" s="8">
        <v>13704.0</v>
      </c>
      <c r="B8850" s="9" t="str">
        <f>HYPERLINK("https://www.lazada.vn/products/tran-chau-dou-xian-hoang-kim-tui-1kg-topping-lam-tra-sua-tran-chau-ngon-hat-to-dai-deo-i2037512486.html", "https://www.lazada.vn/products/tran-chau-dou-xian-hoang-kim-tui-1kg-topping-lam-tra-sua-tran-chau-ngon-hat-to-dai-deo-i2037512486.html")</f>
        <v>https://www.lazada.vn/products/tran-chau-dou-xian-hoang-kim-tui-1kg-topping-lam-tra-sua-tran-chau-ngon-hat-to-dai-deo-i2037512486.html</v>
      </c>
      <c r="C8850" s="10" t="s">
        <v>8850</v>
      </c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>
      <c r="A8851" s="8">
        <v>13705.0</v>
      </c>
      <c r="B8851" s="9" t="str">
        <f>HYPERLINK("https://www.lazada.vn/products/tron-goi-6-mam-qua-cuoi-hoi-xip-hcm-i2901690320.html", "https://www.lazada.vn/products/tron-goi-6-mam-qua-cuoi-hoi-xip-hcm-i2901690320.html")</f>
        <v>https://www.lazada.vn/products/tron-goi-6-mam-qua-cuoi-hoi-xip-hcm-i2901690320.html</v>
      </c>
      <c r="C8851" s="10" t="s">
        <v>8851</v>
      </c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>
      <c r="A8852" s="8">
        <v>13706.0</v>
      </c>
      <c r="B8852" s="9" t="str">
        <f>HYPERLINK("https://www.lazada.vn/products/banh-quy-macca-dilin-macadamia-giau-dinh-duong-tu-hat-macca-tay-nguyen-va-duong-an-kieng-hop-200g-i2815125780.html", "https://www.lazada.vn/products/banh-quy-macca-dilin-macadamia-giau-dinh-duong-tu-hat-macca-tay-nguyen-va-duong-an-kieng-hop-200g-i2815125780.html")</f>
        <v>https://www.lazada.vn/products/banh-quy-macca-dilin-macadamia-giau-dinh-duong-tu-hat-macca-tay-nguyen-va-duong-an-kieng-hop-200g-i2815125780.html</v>
      </c>
      <c r="C8852" s="10" t="s">
        <v>8852</v>
      </c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>
      <c r="A8853" s="8">
        <v>13707.0</v>
      </c>
      <c r="B8853" s="9" t="str">
        <f>HYPERLINK("https://www.lazada.vn/products/vang-italia-esarca-17-i2419836828.html", "https://www.lazada.vn/products/vang-italia-esarca-17-i2419836828.html")</f>
        <v>https://www.lazada.vn/products/vang-italia-esarca-17-i2419836828.html</v>
      </c>
      <c r="C8853" s="10" t="s">
        <v>8853</v>
      </c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>
      <c r="A8854" s="8">
        <v>13708.0</v>
      </c>
      <c r="B8854" s="9" t="str">
        <f>HYPERLINK("https://www.lazada.vn/products/banh-snack-so-hanh-tam-gia-vi-500g-an-vat-tuoi-tho-sieu-ngon-i2215073528.html", "https://www.lazada.vn/products/banh-snack-so-hanh-tam-gia-vi-500g-an-vat-tuoi-tho-sieu-ngon-i2215073528.html")</f>
        <v>https://www.lazada.vn/products/banh-snack-so-hanh-tam-gia-vi-500g-an-vat-tuoi-tho-sieu-ngon-i2215073528.html</v>
      </c>
      <c r="C8854" s="10" t="s">
        <v>8854</v>
      </c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>
      <c r="A8855" s="8">
        <v>13709.0</v>
      </c>
      <c r="B8855" s="9" t="str">
        <f>HYPERLINK("https://www.lazada.vn/products/combo-10-goi-mi-tron-an-lien-sedaap-vi-ga-cay-pho-mai-han-quoc-86g-vi-cay-dam-da-ket-hop-pho-mai-beo-ngay-dam-chat-han-quoc-tien-loi-nhap-khau-chinh-hang-indonesia-phan-phoi-boi-kido-group-i2880019447.html", "https://www.lazada.vn/products/combo-10-goi-mi-tron-an-lien-sedaap-vi-ga-cay-pho-mai-han-quoc-86g-vi-cay-dam-da-ket-hop-pho-mai-beo-ngay-dam-chat-han-quoc-tien-loi-nhap-khau-chinh-hang-indonesia-phan-phoi-boi-kido-group-i2880019447.html")</f>
        <v>https://www.lazada.vn/products/combo-10-goi-mi-tron-an-lien-sedaap-vi-ga-cay-pho-mai-han-quoc-86g-vi-cay-dam-da-ket-hop-pho-mai-beo-ngay-dam-chat-han-quoc-tien-loi-nhap-khau-chinh-hang-indonesia-phan-phoi-boi-kido-group-i2880019447.html</v>
      </c>
      <c r="C8855" s="10" t="s">
        <v>8855</v>
      </c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>
      <c r="A8856" s="8">
        <v>13710.0</v>
      </c>
      <c r="B8856" s="9" t="str">
        <f>HYPERLINK("https://www.lazada.vn/products/mat-ong-chanh-i1717094928.html", "https://www.lazada.vn/products/mat-ong-chanh-i1717094928.html")</f>
        <v>https://www.lazada.vn/products/mat-ong-chanh-i1717094928.html</v>
      </c>
      <c r="C8856" s="10" t="s">
        <v>8856</v>
      </c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>
      <c r="A8857" s="8">
        <v>13711.0</v>
      </c>
      <c r="B8857" s="9" t="str">
        <f>HYPERLINK("https://www.lazada.vn/products/set-6-mam-qua-truyen-thong-hien-dai-i2491378224.html", "https://www.lazada.vn/products/set-6-mam-qua-truyen-thong-hien-dai-i2491378224.html")</f>
        <v>https://www.lazada.vn/products/set-6-mam-qua-truyen-thong-hien-dai-i2491378224.html</v>
      </c>
      <c r="C8857" s="10" t="s">
        <v>8857</v>
      </c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>
      <c r="A8858" s="8">
        <v>13712.0</v>
      </c>
      <c r="B8858" s="9" t="str">
        <f>HYPERLINK("https://www.lazada.vn/products/nuoc-uong-van-dong-aquarius-isotonic-drinks-chai-390ml-i1717863140.html", "https://www.lazada.vn/products/nuoc-uong-van-dong-aquarius-isotonic-drinks-chai-390ml-i1717863140.html")</f>
        <v>https://www.lazada.vn/products/nuoc-uong-van-dong-aquarius-isotonic-drinks-chai-390ml-i1717863140.html</v>
      </c>
      <c r="C8858" s="10" t="s">
        <v>8858</v>
      </c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>
      <c r="A8859" s="8">
        <v>13713.0</v>
      </c>
      <c r="B8859" s="9" t="str">
        <f>HYPERLINK("https://www.lazada.vn/products/black-label-12-nam-blended-scotch-whisky-i2662457655.html", "https://www.lazada.vn/products/black-label-12-nam-blended-scotch-whisky-i2662457655.html")</f>
        <v>https://www.lazada.vn/products/black-label-12-nam-blended-scotch-whisky-i2662457655.html</v>
      </c>
      <c r="C8859" s="10" t="s">
        <v>8859</v>
      </c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>
      <c r="A8860" s="8">
        <v>13714.0</v>
      </c>
      <c r="B8860" s="9" t="str">
        <f>HYPERLINK("https://www.lazada.vn/products/si-10-hu-bim-bim-dau-ha-lan-i2636426529.html", "https://www.lazada.vn/products/si-10-hu-bim-bim-dau-ha-lan-i2636426529.html")</f>
        <v>https://www.lazada.vn/products/si-10-hu-bim-bim-dau-ha-lan-i2636426529.html</v>
      </c>
      <c r="C8860" s="10" t="s">
        <v>8860</v>
      </c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>
      <c r="A8861" s="8">
        <v>13715.0</v>
      </c>
      <c r="B8861" s="9" t="str">
        <f>HYPERLINK("https://www.lazada.vn/products/mi-chay-wai-wai-60g-thai-lan-thom-ngon-huong-vi-dam-da-gia-tot-hinohouse-i2732664190.html", "https://www.lazada.vn/products/mi-chay-wai-wai-60g-thai-lan-thom-ngon-huong-vi-dam-da-gia-tot-hinohouse-i2732664190.html")</f>
        <v>https://www.lazada.vn/products/mi-chay-wai-wai-60g-thai-lan-thom-ngon-huong-vi-dam-da-gia-tot-hinohouse-i2732664190.html</v>
      </c>
      <c r="C8861" s="10" t="s">
        <v>8861</v>
      </c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>
      <c r="A8862" s="8">
        <v>13716.0</v>
      </c>
      <c r="B8862" s="9" t="str">
        <f>HYPERLINK("https://www.lazada.vn/products/1lit-ruou-gao-nha-nau-45-de-ngam-i2425933538.html", "https://www.lazada.vn/products/1lit-ruou-gao-nha-nau-45-de-ngam-i2425933538.html")</f>
        <v>https://www.lazada.vn/products/1lit-ruou-gao-nha-nau-45-de-ngam-i2425933538.html</v>
      </c>
      <c r="C8862" s="10" t="s">
        <v>8862</v>
      </c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>
      <c r="A8863" s="8">
        <v>13717.0</v>
      </c>
      <c r="B8863" s="9" t="str">
        <f>HYPERLINK("https://www.lazada.vn/products/khoai-lang-say-vinamit-250g-i2831594521.html", "https://www.lazada.vn/products/khoai-lang-say-vinamit-250g-i2831594521.html")</f>
        <v>https://www.lazada.vn/products/khoai-lang-say-vinamit-250g-i2831594521.html</v>
      </c>
      <c r="C8863" s="10" t="s">
        <v>8863</v>
      </c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>
      <c r="A8864" s="8">
        <v>13718.0</v>
      </c>
      <c r="B8864" s="9" t="str">
        <f>HYPERLINK("https://www.lazada.vn/products/nuoc-ngot-co-ga-pepsi-khong-calo-chai-390ml-i1949572688.html", "https://www.lazada.vn/products/nuoc-ngot-co-ga-pepsi-khong-calo-chai-390ml-i1949572688.html")</f>
        <v>https://www.lazada.vn/products/nuoc-ngot-co-ga-pepsi-khong-calo-chai-390ml-i1949572688.html</v>
      </c>
      <c r="C8864" s="10" t="s">
        <v>8864</v>
      </c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>
      <c r="A8865" s="8">
        <v>13719.0</v>
      </c>
      <c r="B8865" s="9" t="str">
        <f>HYPERLINK("https://www.lazada.vn/products/thach-rau-cau-3d-douxian-hop-25kg-i2425805483.html", "https://www.lazada.vn/products/thach-rau-cau-3d-douxian-hop-25kg-i2425805483.html")</f>
        <v>https://www.lazada.vn/products/thach-rau-cau-3d-douxian-hop-25kg-i2425805483.html</v>
      </c>
      <c r="C8865" s="10" t="s">
        <v>8865</v>
      </c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>
      <c r="A8866" s="8">
        <v>13720.0</v>
      </c>
      <c r="B8866" s="9" t="str">
        <f>HYPERLINK("https://www.lazada.vn/products/combo-2-hop-500g-1kg-bot-san-day-nguyen-chat-ngon-thanh-nhiet-giam-can-co-chung-nhan-an-toan-thuc-pham-i2619110932.html", "https://www.lazada.vn/products/combo-2-hop-500g-1kg-bot-san-day-nguyen-chat-ngon-thanh-nhiet-giam-can-co-chung-nhan-an-toan-thuc-pham-i2619110932.html")</f>
        <v>https://www.lazada.vn/products/combo-2-hop-500g-1kg-bot-san-day-nguyen-chat-ngon-thanh-nhiet-giam-can-co-chung-nhan-an-toan-thuc-pham-i2619110932.html</v>
      </c>
      <c r="C8866" s="10" t="s">
        <v>8866</v>
      </c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>
      <c r="A8867" s="8">
        <v>13721.0</v>
      </c>
      <c r="B8867" s="9" t="str">
        <f>HYPERLINK("https://www.lazada.vn/products/milo-cube-125kgoi-100v-i1091110135.html", "https://www.lazada.vn/products/milo-cube-125kgoi-100v-i1091110135.html")</f>
        <v>https://www.lazada.vn/products/milo-cube-125kgoi-100v-i1091110135.html</v>
      </c>
      <c r="C8867" s="10" t="s">
        <v>8867</v>
      </c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>
      <c r="A8868" s="8">
        <v>13722.0</v>
      </c>
      <c r="B8868" s="9" t="str">
        <f>HYPERLINK("https://www.lazada.vn/products/bot-ha-thu-o-do-100g-200g-300g-i2616488904.html", "https://www.lazada.vn/products/bot-ha-thu-o-do-100g-200g-300g-i2616488904.html")</f>
        <v>https://www.lazada.vn/products/bot-ha-thu-o-do-100g-200g-300g-i2616488904.html</v>
      </c>
      <c r="C8868" s="10" t="s">
        <v>8868</v>
      </c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>
      <c r="A8869" s="8">
        <v>13723.0</v>
      </c>
      <c r="B8869" s="9" t="str">
        <f>HYPERLINK("https://www.lazada.vn/products/vang-italia-pietra-sasso-16-primitivo-i2419027220.html", "https://www.lazada.vn/products/vang-italia-pietra-sasso-16-primitivo-i2419027220.html")</f>
        <v>https://www.lazada.vn/products/vang-italia-pietra-sasso-16-primitivo-i2419027220.html</v>
      </c>
      <c r="C8869" s="10" t="s">
        <v>8869</v>
      </c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>
      <c r="A8870" s="8">
        <v>13724.0</v>
      </c>
      <c r="B8870" s="9" t="str">
        <f>HYPERLINK("https://www.lazada.vn/products/3kg-thach-san-day-nau-che-tra-sua-i2037398613.html", "https://www.lazada.vn/products/3kg-thach-san-day-nau-che-tra-sua-i2037398613.html")</f>
        <v>https://www.lazada.vn/products/3kg-thach-san-day-nau-che-tra-sua-i2037398613.html</v>
      </c>
      <c r="C8870" s="10" t="s">
        <v>8870</v>
      </c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>
      <c r="A8871" s="8">
        <v>13725.0</v>
      </c>
      <c r="B8871" s="9" t="str">
        <f>HYPERLINK("https://www.lazada.vn/products/banh-quy-bo-cookies-original-assort-nhat-ban-mr-ito-hop-thiec-450g-b214-sieu-thi-beegin-i2813224781.html", "https://www.lazada.vn/products/banh-quy-bo-cookies-original-assort-nhat-ban-mr-ito-hop-thiec-450g-b214-sieu-thi-beegin-i2813224781.html")</f>
        <v>https://www.lazada.vn/products/banh-quy-bo-cookies-original-assort-nhat-ban-mr-ito-hop-thiec-450g-b214-sieu-thi-beegin-i2813224781.html</v>
      </c>
      <c r="C8871" s="10" t="s">
        <v>8871</v>
      </c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>
      <c r="A8872" s="8">
        <v>13726.0</v>
      </c>
      <c r="B8872" s="9" t="str">
        <f>HYPERLINK("https://www.lazada.vn/products/san-pham-dai-rizing-sieu-tam-xua-i2647603701.html", "https://www.lazada.vn/products/san-pham-dai-rizing-sieu-tam-xua-i2647603701.html")</f>
        <v>https://www.lazada.vn/products/san-pham-dai-rizing-sieu-tam-xua-i2647603701.html</v>
      </c>
      <c r="C8872" s="10" t="s">
        <v>8872</v>
      </c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>
      <c r="A8873" s="8">
        <v>13727.0</v>
      </c>
      <c r="B8873" s="9" t="str">
        <f>HYPERLINK("https://www.lazada.vn/products/combo-10-goi-mi-tron-an-lien-sedaap-vi-ga-cay-han-quoc-87g-thuong-thuc-huong-vi-ga-cay-dam-da-chuan-vi-han-quoc-ngay-tai-nha-tien-loi-nhap-khau-chinh-hang-indonesia-phan-phoi-boi-kido-group-i2880008487.html", "https://www.lazada.vn/products/combo-10-goi-mi-tron-an-lien-sedaap-vi-ga-cay-han-quoc-87g-thuong-thuc-huong-vi-ga-cay-dam-da-chuan-vi-han-quoc-ngay-tai-nha-tien-loi-nhap-khau-chinh-hang-indonesia-phan-phoi-boi-kido-group-i2880008487.html")</f>
        <v>https://www.lazada.vn/products/combo-10-goi-mi-tron-an-lien-sedaap-vi-ga-cay-han-quoc-87g-thuong-thuc-huong-vi-ga-cay-dam-da-chuan-vi-han-quoc-ngay-tai-nha-tien-loi-nhap-khau-chinh-hang-indonesia-phan-phoi-boi-kido-group-i2880008487.html</v>
      </c>
      <c r="C8873" s="10" t="s">
        <v>8873</v>
      </c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>
      <c r="A8874" s="8">
        <v>13728.0</v>
      </c>
      <c r="B8874" s="9" t="str">
        <f>HYPERLINK("https://www.lazada.vn/products/nuoc-uong-van-dong-aquarius-khong-calo-zero-calorie-chai-390ml-i1717838248.html", "https://www.lazada.vn/products/nuoc-uong-van-dong-aquarius-khong-calo-zero-calorie-chai-390ml-i1717838248.html")</f>
        <v>https://www.lazada.vn/products/nuoc-uong-van-dong-aquarius-khong-calo-zero-calorie-chai-390ml-i1717838248.html</v>
      </c>
      <c r="C8874" s="10" t="s">
        <v>8874</v>
      </c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>
      <c r="A8875" s="8">
        <v>13729.0</v>
      </c>
      <c r="B8875" s="9" t="str">
        <f>HYPERLINK("https://www.lazada.vn/products/6-mam-qua-cuoi-hoi-tphcm-gia-re-mam-qua-tuyet-cuong-sip-hcm-i2418237692.html", "https://www.lazada.vn/products/6-mam-qua-cuoi-hoi-tphcm-gia-re-mam-qua-tuyet-cuong-sip-hcm-i2418237692.html")</f>
        <v>https://www.lazada.vn/products/6-mam-qua-cuoi-hoi-tphcm-gia-re-mam-qua-tuyet-cuong-sip-hcm-i2418237692.html</v>
      </c>
      <c r="C8875" s="10" t="s">
        <v>8875</v>
      </c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>
      <c r="A8876" s="8">
        <v>13730.0</v>
      </c>
      <c r="B8876" s="9" t="str">
        <f>HYPERLINK("https://www.lazada.vn/products/sexton-whisky-thanh-lich-tu-ireland-i2662423741.html", "https://www.lazada.vn/products/sexton-whisky-thanh-lich-tu-ireland-i2662423741.html")</f>
        <v>https://www.lazada.vn/products/sexton-whisky-thanh-lich-tu-ireland-i2662423741.html</v>
      </c>
      <c r="C8876" s="10" t="s">
        <v>8876</v>
      </c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>
      <c r="A8877" s="8">
        <v>13731.0</v>
      </c>
      <c r="B8877" s="9" t="str">
        <f>HYPERLINK("https://www.lazada.vn/products/500gbim-bim-que-dau-ha-lan-i2636396618.html", "https://www.lazada.vn/products/500gbim-bim-que-dau-ha-lan-i2636396618.html")</f>
        <v>https://www.lazada.vn/products/500gbim-bim-que-dau-ha-lan-i2636396618.html</v>
      </c>
      <c r="C8877" s="10" t="s">
        <v>8877</v>
      </c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>
      <c r="A8878" s="8">
        <v>13732.0</v>
      </c>
      <c r="B8878" s="9" t="str">
        <f>HYPERLINK("https://www.lazada.vn/products/mi-an-lien-pho-ga-thung-30-goi-x68g-shop-thu-quan-i2732466580.html", "https://www.lazada.vn/products/mi-an-lien-pho-ga-thung-30-goi-x68g-shop-thu-quan-i2732466580.html")</f>
        <v>https://www.lazada.vn/products/mi-an-lien-pho-ga-thung-30-goi-x68g-shop-thu-quan-i2732466580.html</v>
      </c>
      <c r="C8878" s="10" t="s">
        <v>8878</v>
      </c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>
      <c r="A8879" s="8">
        <v>13733.0</v>
      </c>
      <c r="B8879" s="9" t="str">
        <f>HYPERLINK("https://www.lazada.vn/products/siro-dingfong-chai-760ml-i2425763279.html", "https://www.lazada.vn/products/siro-dingfong-chai-760ml-i2425763279.html")</f>
        <v>https://www.lazada.vn/products/siro-dingfong-chai-760ml-i2425763279.html</v>
      </c>
      <c r="C8879" s="10" t="s">
        <v>8879</v>
      </c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>
      <c r="A8880" s="8">
        <v>13734.0</v>
      </c>
      <c r="B8880" s="9" t="str">
        <f>HYPERLINK("https://www.lazada.vn/products/trai-cay-say-vinamit-250g-i2831557604.html", "https://www.lazada.vn/products/trai-cay-say-vinamit-250g-i2831557604.html")</f>
        <v>https://www.lazada.vn/products/trai-cay-say-vinamit-250g-i2831557604.html</v>
      </c>
      <c r="C8880" s="10" t="s">
        <v>8880</v>
      </c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>
      <c r="A8881" s="8">
        <v>13735.0</v>
      </c>
      <c r="B8881" s="9" t="str">
        <f>HYPERLINK("https://www.lazada.vn/products/nuoc-ngot-co-ga-pepsi-khong-calo-vi-chanh-chai-390ml-i1949570725.html", "https://www.lazada.vn/products/nuoc-ngot-co-ga-pepsi-khong-calo-vi-chanh-chai-390ml-i1949570725.html")</f>
        <v>https://www.lazada.vn/products/nuoc-ngot-co-ga-pepsi-khong-calo-vi-chanh-chai-390ml-i1949570725.html</v>
      </c>
      <c r="C8881" s="10" t="s">
        <v>8881</v>
      </c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>
      <c r="A8882" s="8">
        <v>13736.0</v>
      </c>
      <c r="B8882" s="9" t="str">
        <f>HYPERLINK("https://www.lazada.vn/products/ca-phe-sua-trung-nguyen-legend-capuchino-hazenut-12-goi-x-18gr-22129-i2983950638.html", "https://www.lazada.vn/products/ca-phe-sua-trung-nguyen-legend-capuchino-hazenut-12-goi-x-18gr-22129-i2983950638.html")</f>
        <v>https://www.lazada.vn/products/ca-phe-sua-trung-nguyen-legend-capuchino-hazenut-12-goi-x-18gr-22129-i2983950638.html</v>
      </c>
      <c r="C8882" s="10" t="s">
        <v>8882</v>
      </c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>
      <c r="A8883" s="8">
        <v>13737.0</v>
      </c>
      <c r="B8883" s="9" t="str">
        <f>HYPERLINK("https://www.lazada.vn/products/set-nuoc-sam-bong-cuc-bep-cua-me-onici-set-nguyen-lieu-nau-4-5-lit-kem-cong-thuc-nau-va-qua-tang-i2618805266.html", "https://www.lazada.vn/products/set-nuoc-sam-bong-cuc-bep-cua-me-onici-set-nguyen-lieu-nau-4-5-lit-kem-cong-thuc-nau-va-qua-tang-i2618805266.html")</f>
        <v>https://www.lazada.vn/products/set-nuoc-sam-bong-cuc-bep-cua-me-onici-set-nguyen-lieu-nau-4-5-lit-kem-cong-thuc-nau-va-qua-tang-i2618805266.html</v>
      </c>
      <c r="C8883" s="10" t="s">
        <v>8883</v>
      </c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>
      <c r="A8884" s="8">
        <v>13738.0</v>
      </c>
      <c r="B8884" s="9" t="str">
        <f>HYPERLINK("https://www.lazada.vn/products/socola-sua-hoa-tan-miss-ede-240-g-15-goi-x-16-g-ngan-ngua-lao-hoa-socola-i1080288186.html", "https://www.lazada.vn/products/socola-sua-hoa-tan-miss-ede-240-g-15-goi-x-16-g-ngan-ngua-lao-hoa-socola-i1080288186.html")</f>
        <v>https://www.lazada.vn/products/socola-sua-hoa-tan-miss-ede-240-g-15-goi-x-16-g-ngan-ngua-lao-hoa-socola-i1080288186.html</v>
      </c>
      <c r="C8884" s="10" t="s">
        <v>8884</v>
      </c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>
      <c r="A8885" s="8">
        <v>13739.0</v>
      </c>
      <c r="B8885" s="9" t="str">
        <f>HYPERLINK("https://www.lazada.vn/products/2kg-4-goi-4-loai-ca-phe-chon-khac-nhau-ve-tron-ban-me-thuong-hang-hoa-viet-sang-tao-i2859548462.html", "https://www.lazada.vn/products/2kg-4-goi-4-loai-ca-phe-chon-khac-nhau-ve-tron-ban-me-thuong-hang-hoa-viet-sang-tao-i2859548462.html")</f>
        <v>https://www.lazada.vn/products/2kg-4-goi-4-loai-ca-phe-chon-khac-nhau-ve-tron-ban-me-thuong-hang-hoa-viet-sang-tao-i2859548462.html</v>
      </c>
      <c r="C8885" s="10" t="s">
        <v>8885</v>
      </c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>
      <c r="A8886" s="8">
        <v>13740.0</v>
      </c>
      <c r="B8886" s="9" t="str">
        <f>HYPERLINK("https://www.lazada.vn/products/hcm-bot-ca-phe-hoa-tan-caffe-dvita-mocha-cappuccino-18kg-my-i2825741181.html", "https://www.lazada.vn/products/hcm-bot-ca-phe-hoa-tan-caffe-dvita-mocha-cappuccino-18kg-my-i2825741181.html")</f>
        <v>https://www.lazada.vn/products/hcm-bot-ca-phe-hoa-tan-caffe-dvita-mocha-cappuccino-18kg-my-i2825741181.html</v>
      </c>
      <c r="C8886" s="10" t="s">
        <v>8886</v>
      </c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>
      <c r="A8887" s="8">
        <v>13741.0</v>
      </c>
      <c r="B8887" s="9" t="str">
        <f>HYPERLINK("https://www.lazada.vn/products/ruou-chuoi-500ml-i2417538287.html", "https://www.lazada.vn/products/ruou-chuoi-500ml-i2417538287.html")</f>
        <v>https://www.lazada.vn/products/ruou-chuoi-500ml-i2417538287.html</v>
      </c>
      <c r="C8887" s="10" t="s">
        <v>8887</v>
      </c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>
      <c r="A8888" s="8">
        <v>13742.0</v>
      </c>
      <c r="B8888" s="9" t="str">
        <f>HYPERLINK("https://www.lazada.vn/products/banh-gao-ichi-mini-vi-mat-ong-goi-120g-banh-gao-chien-vien-nho-an-vat-gion-tan-vua-mieng-i2812687750.html", "https://www.lazada.vn/products/banh-gao-ichi-mini-vi-mat-ong-goi-120g-banh-gao-chien-vien-nho-an-vat-gion-tan-vua-mieng-i2812687750.html")</f>
        <v>https://www.lazada.vn/products/banh-gao-ichi-mini-vi-mat-ong-goi-120g-banh-gao-chien-vien-nho-an-vat-gion-tan-vua-mieng-i2812687750.html</v>
      </c>
      <c r="C8888" s="10" t="s">
        <v>8888</v>
      </c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>
      <c r="A8889" s="8">
        <v>13743.0</v>
      </c>
      <c r="B8889" s="9" t="str">
        <f>HYPERLINK("https://www.lazada.vn/products/smartfood-white-cheddar-popcorn-bap-rang-bo-my-trong-luong-1559g-i2030020950.html", "https://www.lazada.vn/products/smartfood-white-cheddar-popcorn-bap-rang-bo-my-trong-luong-1559g-i2030020950.html")</f>
        <v>https://www.lazada.vn/products/smartfood-white-cheddar-popcorn-bap-rang-bo-my-trong-luong-1559g-i2030020950.html</v>
      </c>
      <c r="C8889" s="10" t="s">
        <v>8889</v>
      </c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>
      <c r="A8890" s="8">
        <v>13744.0</v>
      </c>
      <c r="B8890" s="9" t="str">
        <f>HYPERLINK("https://www.lazada.vn/products/combo-10-goi-mi-tron-an-lien-sedaap-vi-mi-xao-90g-dam-da-vi-mi-xao-huong-vi-ngon-tuyet-tien-loi-nhap-khau-chinh-hang-indonesia-phan-phoi-boi-kido-group-i2879922605.html", "https://www.lazada.vn/products/combo-10-goi-mi-tron-an-lien-sedaap-vi-mi-xao-90g-dam-da-vi-mi-xao-huong-vi-ngon-tuyet-tien-loi-nhap-khau-chinh-hang-indonesia-phan-phoi-boi-kido-group-i2879922605.html")</f>
        <v>https://www.lazada.vn/products/combo-10-goi-mi-tron-an-lien-sedaap-vi-mi-xao-90g-dam-da-vi-mi-xao-huong-vi-ngon-tuyet-tien-loi-nhap-khau-chinh-hang-indonesia-phan-phoi-boi-kido-group-i2879922605.html</v>
      </c>
      <c r="C8890" s="10" t="s">
        <v>8890</v>
      </c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>
      <c r="A8891" s="8">
        <v>13745.0</v>
      </c>
      <c r="B8891" s="9" t="str">
        <f>HYPERLINK("https://www.lazada.vn/products/bap-rang-tam-mat-ong-han-quoc-255g-i2008837074.html", "https://www.lazada.vn/products/bap-rang-tam-mat-ong-han-quoc-255g-i2008837074.html")</f>
        <v>https://www.lazada.vn/products/bap-rang-tam-mat-ong-han-quoc-255g-i2008837074.html</v>
      </c>
      <c r="C8891" s="10" t="s">
        <v>8891</v>
      </c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>
      <c r="A8892" s="8">
        <v>13746.0</v>
      </c>
      <c r="B8892" s="9" t="str">
        <f>HYPERLINK("https://www.lazada.vn/products/cap-tra-dam-cuoi-lon-tra-mam-qua-i2412229989.html", "https://www.lazada.vn/products/cap-tra-dam-cuoi-lon-tra-mam-qua-i2412229989.html")</f>
        <v>https://www.lazada.vn/products/cap-tra-dam-cuoi-lon-tra-mam-qua-i2412229989.html</v>
      </c>
      <c r="C8892" s="10" t="s">
        <v>8892</v>
      </c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>
      <c r="A8893" s="8">
        <v>13747.0</v>
      </c>
      <c r="B8893" s="9" t="str">
        <f>HYPERLINK("https://www.lazada.vn/products/gin-tanqueray-dry-gin-750ml-lam-nguyen-lieu-pha-che-i2661604664.html", "https://www.lazada.vn/products/gin-tanqueray-dry-gin-750ml-lam-nguyen-lieu-pha-che-i2661604664.html")</f>
        <v>https://www.lazada.vn/products/gin-tanqueray-dry-gin-750ml-lam-nguyen-lieu-pha-che-i2661604664.html</v>
      </c>
      <c r="C8893" s="10" t="s">
        <v>8893</v>
      </c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>
      <c r="A8894" s="8">
        <v>13748.0</v>
      </c>
      <c r="B8894" s="9" t="str">
        <f>HYPERLINK("https://www.lazada.vn/products/khoai-tay-lac-trung-muoi-hu-pet-200g-i2636303726.html", "https://www.lazada.vn/products/khoai-tay-lac-trung-muoi-hu-pet-200g-i2636303726.html")</f>
        <v>https://www.lazada.vn/products/khoai-tay-lac-trung-muoi-hu-pet-200g-i2636303726.html</v>
      </c>
      <c r="C8894" s="10" t="s">
        <v>8894</v>
      </c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>
      <c r="A8895" s="8">
        <v>13749.0</v>
      </c>
      <c r="B8895" s="9" t="str">
        <f>HYPERLINK("https://www.lazada.vn/products/my-tom-chanh-omni-bat-vuong-ngon-nhat-thung-24-bat-date-moi-nhat-thi-truong-i2732372221.html", "https://www.lazada.vn/products/my-tom-chanh-omni-bat-vuong-ngon-nhat-thung-24-bat-date-moi-nhat-thi-truong-i2732372221.html")</f>
        <v>https://www.lazada.vn/products/my-tom-chanh-omni-bat-vuong-ngon-nhat-thung-24-bat-date-moi-nhat-thi-truong-i2732372221.html</v>
      </c>
      <c r="C8895" s="10" t="s">
        <v>8895</v>
      </c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>
      <c r="A8896" s="8">
        <v>13750.0</v>
      </c>
      <c r="B8896" s="9" t="str">
        <f>HYPERLINK("https://www.lazada.vn/products/siro-douxian-hoang-kim-chai-25kg-i2425660729.html", "https://www.lazada.vn/products/siro-douxian-hoang-kim-chai-25kg-i2425660729.html")</f>
        <v>https://www.lazada.vn/products/siro-douxian-hoang-kim-chai-25kg-i2425660729.html</v>
      </c>
      <c r="C8896" s="10" t="s">
        <v>8896</v>
      </c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>
      <c r="A8897" s="8">
        <v>13751.0</v>
      </c>
      <c r="B8897" s="9" t="str">
        <f>HYPERLINK("https://www.lazada.vn/products/set-sam-bi-dao-bep-cua-me-onici-set-nguyen-lieu-lon-nau-duoc-4-5-lit-kem-cong-thuc-nau-tien-loi-nguyen-lieu-nau-nuoc-sam-giai-nhiet-i2618731696.html", "https://www.lazada.vn/products/set-sam-bi-dao-bep-cua-me-onici-set-nguyen-lieu-lon-nau-duoc-4-5-lit-kem-cong-thuc-nau-tien-loi-nguyen-lieu-nau-nuoc-sam-giai-nhiet-i2618731696.html")</f>
        <v>https://www.lazada.vn/products/set-sam-bi-dao-bep-cua-me-onici-set-nguyen-lieu-lon-nau-duoc-4-5-lit-kem-cong-thuc-nau-tien-loi-nguyen-lieu-nau-nuoc-sam-giai-nhiet-i2618731696.html</v>
      </c>
      <c r="C8897" s="10" t="s">
        <v>8897</v>
      </c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>
      <c r="A8898" s="8">
        <v>13752.0</v>
      </c>
      <c r="B8898" s="9" t="str">
        <f>HYPERLINK("https://www.lazada.vn/products/ca-phe-sua-dac-hoa-tan-archcafe-hop-216g-18g-x-12-goi-71114-i2770505167.html", "https://www.lazada.vn/products/ca-phe-sua-dac-hoa-tan-archcafe-hop-216g-18g-x-12-goi-71114-i2770505167.html")</f>
        <v>https://www.lazada.vn/products/ca-phe-sua-dac-hoa-tan-archcafe-hop-216g-18g-x-12-goi-71114-i2770505167.html</v>
      </c>
      <c r="C8898" s="10" t="s">
        <v>8898</v>
      </c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>
      <c r="A8899" s="8">
        <v>13753.0</v>
      </c>
      <c r="B8899" s="9" t="str">
        <f>HYPERLINK("https://www.lazada.vn/products/ruou-vang-da-lat-export-xuat-khau-i2417453333.html", "https://www.lazada.vn/products/ruou-vang-da-lat-export-xuat-khau-i2417453333.html")</f>
        <v>https://www.lazada.vn/products/ruou-vang-da-lat-export-xuat-khau-i2417453333.html</v>
      </c>
      <c r="C8899" s="10" t="s">
        <v>8899</v>
      </c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>
      <c r="A8900" s="8">
        <v>13754.0</v>
      </c>
      <c r="B8900" s="9" t="str">
        <f>HYPERLINK("https://www.lazada.vn/products/xa-date-1405thung-1kg-banh-mochi-sua-nhan-kem-khoai-mon-dau-nanh-sau-rieng-dao-xoai-tknk-beegin-i2646911616.html", "https://www.lazada.vn/products/xa-date-1405thung-1kg-banh-mochi-sua-nhan-kem-khoai-mon-dau-nanh-sau-rieng-dao-xoai-tknk-beegin-i2646911616.html")</f>
        <v>https://www.lazada.vn/products/xa-date-1405thung-1kg-banh-mochi-sua-nhan-kem-khoai-mon-dau-nanh-sau-rieng-dao-xoai-tknk-beegin-i2646911616.html</v>
      </c>
      <c r="C8900" s="10" t="s">
        <v>8900</v>
      </c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>
      <c r="A8901" s="8">
        <v>13755.0</v>
      </c>
      <c r="B8901" s="9" t="str">
        <f>HYPERLINK("https://www.lazada.vn/products/combo-5-mi-ly-kokomi-tom-chua-cay-x-65gr-new-i2872426940.html", "https://www.lazada.vn/products/combo-5-mi-ly-kokomi-tom-chua-cay-x-65gr-new-i2872426940.html")</f>
        <v>https://www.lazada.vn/products/combo-5-mi-ly-kokomi-tom-chua-cay-x-65gr-new-i2872426940.html</v>
      </c>
      <c r="C8901" s="10" t="s">
        <v>8901</v>
      </c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>
      <c r="A8902" s="8">
        <v>13756.0</v>
      </c>
      <c r="B8902" s="9" t="str">
        <f>HYPERLINK("https://www.lazada.vn/products/bong-ngo-no-lo-vi-song-khong-bien-doi-gene-jolly-time-non-gmo-yellow-popping-corn-kernels-goi-907g-32-oz-i1990522902.html", "https://www.lazada.vn/products/bong-ngo-no-lo-vi-song-khong-bien-doi-gene-jolly-time-non-gmo-yellow-popping-corn-kernels-goi-907g-32-oz-i1990522902.html")</f>
        <v>https://www.lazada.vn/products/bong-ngo-no-lo-vi-song-khong-bien-doi-gene-jolly-time-non-gmo-yellow-popping-corn-kernels-goi-907g-32-oz-i1990522902.html</v>
      </c>
      <c r="C8902" s="10" t="s">
        <v>8902</v>
      </c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>
      <c r="A8903" s="8">
        <v>13757.0</v>
      </c>
      <c r="B8903" s="9" t="str">
        <f>HYPERLINK("https://www.lazada.vn/products/mam-qua-cuoi-mien-nam-i2207319131.html", "https://www.lazada.vn/products/mam-qua-cuoi-mien-nam-i2207319131.html")</f>
        <v>https://www.lazada.vn/products/mam-qua-cuoi-mien-nam-i2207319131.html</v>
      </c>
      <c r="C8903" s="10" t="s">
        <v>8903</v>
      </c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>
      <c r="A8904" s="8">
        <v>13758.0</v>
      </c>
      <c r="B8904" s="9" t="str">
        <f>HYPERLINK("https://www.lazada.vn/products/snack-tom-hanami-thai-lan-lon-110-gram-sn04-chuyen-si-tpnk-i2635551873.html", "https://www.lazada.vn/products/snack-tom-hanami-thai-lan-lon-110-gram-sn04-chuyen-si-tpnk-i2635551873.html")</f>
        <v>https://www.lazada.vn/products/snack-tom-hanami-thai-lan-lon-110-gram-sn04-chuyen-si-tpnk-i2635551873.html</v>
      </c>
      <c r="C8904" s="10" t="s">
        <v>8904</v>
      </c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>
      <c r="A8905" s="8">
        <v>13759.0</v>
      </c>
      <c r="B8905" s="9" t="str">
        <f>HYPERLINK("https://www.lazada.vn/products/tamnavulin-double-cask-whisky-scotch-i2661539916.html", "https://www.lazada.vn/products/tamnavulin-double-cask-whisky-scotch-i2661539916.html")</f>
        <v>https://www.lazada.vn/products/tamnavulin-double-cask-whisky-scotch-i2661539916.html</v>
      </c>
      <c r="C8905" s="10" t="s">
        <v>8905</v>
      </c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>
      <c r="A8906" s="8">
        <v>13760.0</v>
      </c>
      <c r="B8906" s="9" t="str">
        <f>HYPERLINK("https://www.lazada.vn/products/thung-30-goi-mi-tom-kokomi-chua-cay-65g-shop-thu-quan-i2732227640.html", "https://www.lazada.vn/products/thung-30-goi-mi-tom-kokomi-chua-cay-65g-shop-thu-quan-i2732227640.html")</f>
        <v>https://www.lazada.vn/products/thung-30-goi-mi-tom-kokomi-chua-cay-65g-shop-thu-quan-i2732227640.html</v>
      </c>
      <c r="C8906" s="10" t="s">
        <v>8906</v>
      </c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>
      <c r="A8907" s="8">
        <v>13761.0</v>
      </c>
      <c r="B8907" s="9" t="str">
        <f>HYPERLINK("https://www.lazada.vn/products/siro-douxian-binh-tron-25kg-i2425573708.html", "https://www.lazada.vn/products/siro-douxian-binh-tron-25kg-i2425573708.html")</f>
        <v>https://www.lazada.vn/products/siro-douxian-binh-tron-25kg-i2425573708.html</v>
      </c>
      <c r="C8907" s="10" t="s">
        <v>8907</v>
      </c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>
      <c r="A8908" s="8">
        <v>13762.0</v>
      </c>
      <c r="B8908" s="9" t="str">
        <f>HYPERLINK("https://www.lazada.vn/products/set-sam-bi-dao-bep-cua-me-onici-set-nguyen-lieu-lon-nau-duoc-4-5-lit-kem-cong-thuc-nau-tien-loi-nguyen-lieu-nau-nuoc-sam-giai-nhiet-i2618720578.html", "https://www.lazada.vn/products/set-sam-bi-dao-bep-cua-me-onici-set-nguyen-lieu-lon-nau-duoc-4-5-lit-kem-cong-thuc-nau-tien-loi-nguyen-lieu-nau-nuoc-sam-giai-nhiet-i2618720578.html")</f>
        <v>https://www.lazada.vn/products/set-sam-bi-dao-bep-cua-me-onici-set-nguyen-lieu-lon-nau-duoc-4-5-lit-kem-cong-thuc-nau-tien-loi-nguyen-lieu-nau-nuoc-sam-giai-nhiet-i2618720578.html</v>
      </c>
      <c r="C8908" s="10" t="s">
        <v>8908</v>
      </c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>
      <c r="A8909" s="8">
        <v>13763.0</v>
      </c>
      <c r="B8909" s="9" t="str">
        <f>HYPERLINK("https://www.lazada.vn/products/ca-phe-hat-arabica-specialty-ethiopia-bensa-sidama-della-natural-grade-1-stupiducks-specialty-coffee-i2665938006.html", "https://www.lazada.vn/products/ca-phe-hat-arabica-specialty-ethiopia-bensa-sidama-della-natural-grade-1-stupiducks-specialty-coffee-i2665938006.html")</f>
        <v>https://www.lazada.vn/products/ca-phe-hat-arabica-specialty-ethiopia-bensa-sidama-della-natural-grade-1-stupiducks-specialty-coffee-i2665938006.html</v>
      </c>
      <c r="C8909" s="10" t="s">
        <v>8909</v>
      </c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>
      <c r="A8910" s="8">
        <v>13764.0</v>
      </c>
      <c r="B8910" s="9" t="str">
        <f>HYPERLINK("https://www.lazada.vn/products/ruou-vang-do-passion-shiraz-135-chai-750ml-1ruou-vang-do-passion-shiraz-135-chai-750ml-2ruou-vang-do-passion-shiraz-135-chai-750ml-3ruou-vang-do-passion-shiraz-135-chai-750ml-4ruou-vang-do-passion-shiraz-135-chai-750ml-5ruou", "https://www.lazada.vn/products/ruou-vang-do-passion-shiraz-135-chai-750ml-1ruou-vang-do-passion-shiraz-135-chai-750ml-2ruou-vang-do-passion-shiraz-135-chai-750ml-3ruou-vang-do-passion-shiraz-135-chai-750ml-4ruou-vang-do-passion-shiraz-135-chai-750ml-5ruou")</f>
        <v>https://www.lazada.vn/products/ruou-vang-do-passion-shiraz-135-chai-750ml-1ruou-vang-do-passion-shiraz-135-chai-750ml-2ruou-vang-do-passion-shiraz-135-chai-750ml-3ruou-vang-do-passion-shiraz-135-chai-750ml-4ruou-vang-do-passion-shiraz-135-chai-750ml-5ruou</v>
      </c>
      <c r="C8910" s="10" t="s">
        <v>8910</v>
      </c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>
      <c r="A8911" s="8">
        <v>13765.0</v>
      </c>
      <c r="B8911" s="9" t="str">
        <f>HYPERLINK("https://www.lazada.vn/products/pho-kho-vi-huong-500gbich-i2865972184.html", "https://www.lazada.vn/products/pho-kho-vi-huong-500gbich-i2865972184.html")</f>
        <v>https://www.lazada.vn/products/pho-kho-vi-huong-500gbich-i2865972184.html</v>
      </c>
      <c r="C8911" s="10" t="s">
        <v>8911</v>
      </c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>
      <c r="A8912" s="8">
        <v>13766.0</v>
      </c>
      <c r="B8912" s="9" t="str">
        <f>HYPERLINK("https://www.lazada.vn/products/set-bap-rang-bo-pho-mai-sieu-ngon-i1910228726.html", "https://www.lazada.vn/products/set-bap-rang-bo-pho-mai-sieu-ngon-i1910228726.html")</f>
        <v>https://www.lazada.vn/products/set-bap-rang-bo-pho-mai-sieu-ngon-i1910228726.html</v>
      </c>
      <c r="C8912" s="10" t="s">
        <v>8912</v>
      </c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>
      <c r="A8913" s="8">
        <v>13767.0</v>
      </c>
      <c r="B8913" s="9" t="str">
        <f>HYPERLINK("https://www.lazada.vn/products/cap-tra-cuoi-truyen-thong-giao-tan-nha-tphcm-dat-hang-qua-so-za-lo-tren-hinh-i2120083428.html", "https://www.lazada.vn/products/cap-tra-cuoi-truyen-thong-giao-tan-nha-tphcm-dat-hang-qua-so-za-lo-tren-hinh-i2120083428.html")</f>
        <v>https://www.lazada.vn/products/cap-tra-cuoi-truyen-thong-giao-tan-nha-tphcm-dat-hang-qua-so-za-lo-tren-hinh-i2120083428.html</v>
      </c>
      <c r="C8913" s="10" t="s">
        <v>8913</v>
      </c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>
      <c r="A8914" s="8">
        <v>13768.0</v>
      </c>
      <c r="B8914" s="9" t="str">
        <f>HYPERLINK("https://www.lazada.vn/products/vodka-absolut-raspberri-1000ml-i2660838841.html", "https://www.lazada.vn/products/vodka-absolut-raspberri-1000ml-i2660838841.html")</f>
        <v>https://www.lazada.vn/products/vodka-absolut-raspberri-1000ml-i2660838841.html</v>
      </c>
      <c r="C8914" s="10" t="s">
        <v>8914</v>
      </c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>
      <c r="A8915" s="8">
        <v>13769.0</v>
      </c>
      <c r="B8915" s="9" t="str">
        <f>HYPERLINK("https://www.lazada.vn/products/siro-duong-den-han-quoc-tcp-1kg2kg-i2425559574.html", "https://www.lazada.vn/products/siro-duong-den-han-quoc-tcp-1kg2kg-i2425559574.html")</f>
        <v>https://www.lazada.vn/products/siro-duong-den-han-quoc-tcp-1kg2kg-i2425559574.html</v>
      </c>
      <c r="C8915" s="10" t="s">
        <v>8915</v>
      </c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>
      <c r="A8916" s="8">
        <v>13770.0</v>
      </c>
      <c r="B8916" s="9" t="str">
        <f>HYPERLINK("https://www.lazada.vn/products/thung-30-goi-mi-gau-do-chay-rau-nam-63g-i2732222311.html", "https://www.lazada.vn/products/thung-30-goi-mi-gau-do-chay-rau-nam-63g-i2732222311.html")</f>
        <v>https://www.lazada.vn/products/thung-30-goi-mi-gau-do-chay-rau-nam-63g-i2732222311.html</v>
      </c>
      <c r="C8916" s="10" t="s">
        <v>8916</v>
      </c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>
      <c r="A8917" s="8">
        <v>13771.0</v>
      </c>
      <c r="B8917" s="9" t="str">
        <f>HYPERLINK("https://www.lazada.vn/products/nuoc-cot-atiso-do-loai-dac-biet-thanh-mat-chua-chua-ngot-dam-ong-uong-ba-khen-dac-san-thao-da-lat-i2617354584.html", "https://www.lazada.vn/products/nuoc-cot-atiso-do-loai-dac-biet-thanh-mat-chua-chua-ngot-dam-ong-uong-ba-khen-dac-san-thao-da-lat-i2617354584.html")</f>
        <v>https://www.lazada.vn/products/nuoc-cot-atiso-do-loai-dac-biet-thanh-mat-chua-chua-ngot-dam-ong-uong-ba-khen-dac-san-thao-da-lat-i2617354584.html</v>
      </c>
      <c r="C8917" s="10" t="s">
        <v>8917</v>
      </c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>
      <c r="A8918" s="8">
        <v>13772.0</v>
      </c>
      <c r="B8918" s="9" t="str">
        <f>HYPERLINK("https://www.lazada.vn/products/ca-phe-sua-hoa-tan-arabica-tran-quang-nuan-3-in-1-uong-lien-bich-12kg-x-60-goi-ong-x-20g-i2653001561.html", "https://www.lazada.vn/products/ca-phe-sua-hoa-tan-arabica-tran-quang-nuan-3-in-1-uong-lien-bich-12kg-x-60-goi-ong-x-20g-i2653001561.html")</f>
        <v>https://www.lazada.vn/products/ca-phe-sua-hoa-tan-arabica-tran-quang-nuan-3-in-1-uong-lien-bich-12kg-x-60-goi-ong-x-20g-i2653001561.html</v>
      </c>
      <c r="C8918" s="10" t="s">
        <v>8918</v>
      </c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>
      <c r="A8919" s="8">
        <v>13773.0</v>
      </c>
      <c r="B8919" s="9" t="str">
        <f>HYPERLINK("https://www.lazada.vn/products/vang-y-rocca-hop-qua-i2414639351.html", "https://www.lazada.vn/products/vang-y-rocca-hop-qua-i2414639351.html")</f>
        <v>https://www.lazada.vn/products/vang-y-rocca-hop-qua-i2414639351.html</v>
      </c>
      <c r="C8919" s="10" t="s">
        <v>8919</v>
      </c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>
      <c r="A8920" s="8">
        <v>13774.0</v>
      </c>
      <c r="B8920" s="9" t="str">
        <f>HYPERLINK("https://www.lazada.vn/products/combo-20-goi-mi-cay-enaak-28g-nha-kidos-i2865728609.html", "https://www.lazada.vn/products/combo-20-goi-mi-cay-enaak-28g-nha-kidos-i2865728609.html")</f>
        <v>https://www.lazada.vn/products/combo-20-goi-mi-cay-enaak-28g-nha-kidos-i2865728609.html</v>
      </c>
      <c r="C8920" s="10" t="s">
        <v>8920</v>
      </c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>
      <c r="A8921" s="8">
        <v>13775.0</v>
      </c>
      <c r="B8921" s="9" t="str">
        <f>HYPERLINK("https://www.lazada.vn/products/bap-rang-toi-ot-goi-500gram-bong-ngo-i1853612750.html", "https://www.lazada.vn/products/bap-rang-toi-ot-goi-500gram-bong-ngo-i1853612750.html")</f>
        <v>https://www.lazada.vn/products/bap-rang-toi-ot-goi-500gram-bong-ngo-i1853612750.html</v>
      </c>
      <c r="C8921" s="10" t="s">
        <v>8921</v>
      </c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>
      <c r="A8922" s="8">
        <v>13776.0</v>
      </c>
      <c r="B8922" s="9" t="str">
        <f>HYPERLINK("https://www.lazada.vn/products/cap-tra-gu-ra-mat-nha-gai-i2029244467.html", "https://www.lazada.vn/products/cap-tra-gu-ra-mat-nha-gai-i2029244467.html")</f>
        <v>https://www.lazada.vn/products/cap-tra-gu-ra-mat-nha-gai-i2029244467.html</v>
      </c>
      <c r="C8922" s="10" t="s">
        <v>8922</v>
      </c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>
      <c r="A8923" s="8">
        <v>13777.0</v>
      </c>
      <c r="B8923" s="9" t="str">
        <f>HYPERLINK("https://www.lazada.vn/products/thung-24-hop-nuoc-dua-dong-hop-dua-dua-non-cocoxim-dung-tich-330mlhop-i2660826468.html", "https://www.lazada.vn/products/thung-24-hop-nuoc-dua-dong-hop-dua-dua-non-cocoxim-dung-tich-330mlhop-i2660826468.html")</f>
        <v>https://www.lazada.vn/products/thung-24-hop-nuoc-dua-dong-hop-dua-dua-non-cocoxim-dung-tich-330mlhop-i2660826468.html</v>
      </c>
      <c r="C8923" s="10" t="s">
        <v>8923</v>
      </c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>
      <c r="A8924" s="8">
        <v>13778.0</v>
      </c>
      <c r="B8924" s="9" t="str">
        <f>HYPERLINK("https://www.lazada.vn/products/thung-pho-cung-dinh-bo-ga-30-goi-x-68g-shop-thu-quan-i2732101941.html", "https://www.lazada.vn/products/thung-pho-cung-dinh-bo-ga-30-goi-x-68g-shop-thu-quan-i2732101941.html")</f>
        <v>https://www.lazada.vn/products/thung-pho-cung-dinh-bo-ga-30-goi-x-68g-shop-thu-quan-i2732101941.html</v>
      </c>
      <c r="C8924" s="10" t="s">
        <v>8924</v>
      </c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>
      <c r="A8925" s="8">
        <v>13779.0</v>
      </c>
      <c r="B8925" s="9" t="str">
        <f>HYPERLINK("https://www.lazada.vn/products/siro-mama-rosa-chai-700ml-i2425400597.html", "https://www.lazada.vn/products/siro-mama-rosa-chai-700ml-i2425400597.html")</f>
        <v>https://www.lazada.vn/products/siro-mama-rosa-chai-700ml-i2425400597.html</v>
      </c>
      <c r="C8925" s="10" t="s">
        <v>8925</v>
      </c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>
      <c r="A8926" s="8">
        <v>13780.0</v>
      </c>
      <c r="B8926" s="9" t="str">
        <f>HYPERLINK("https://www.lazada.vn/products/day-10-goi-ca-phe-pho-sua-da-3-in-1-i2643925406.html", "https://www.lazada.vn/products/day-10-goi-ca-phe-pho-sua-da-3-in-1-i2643925406.html")</f>
        <v>https://www.lazada.vn/products/day-10-goi-ca-phe-pho-sua-da-3-in-1-i2643925406.html</v>
      </c>
      <c r="C8926" s="10" t="s">
        <v>8926</v>
      </c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>
      <c r="A8927" s="8">
        <v>13781.0</v>
      </c>
      <c r="B8927" s="9" t="str">
        <f>HYPERLINK("https://www.lazada.vn/products/vang-y-roggio-hop-qua-i2414631378.html", "https://www.lazada.vn/products/vang-y-roggio-hop-qua-i2414631378.html")</f>
        <v>https://www.lazada.vn/products/vang-y-roggio-hop-qua-i2414631378.html</v>
      </c>
      <c r="C8927" s="10" t="s">
        <v>8927</v>
      </c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>
      <c r="A8928" s="8">
        <v>13782.0</v>
      </c>
      <c r="B8928" s="9" t="str">
        <f>HYPERLINK("https://www.lazada.vn/products/mi-modern-lau-thai-tom-ly-65g-i2865465681.html", "https://www.lazada.vn/products/mi-modern-lau-thai-tom-ly-65g-i2865465681.html")</f>
        <v>https://www.lazada.vn/products/mi-modern-lau-thai-tom-ly-65g-i2865465681.html</v>
      </c>
      <c r="C8928" s="10" t="s">
        <v>8928</v>
      </c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>
      <c r="A8929" s="8">
        <v>13783.0</v>
      </c>
      <c r="B8929" s="9" t="str">
        <f>HYPERLINK("https://www.lazada.vn/products/combo-bap-rang-yeu-thuong-gion-tan-i1847034778.html", "https://www.lazada.vn/products/combo-bap-rang-yeu-thuong-gion-tan-i1847034778.html")</f>
        <v>https://www.lazada.vn/products/combo-bap-rang-yeu-thuong-gion-tan-i1847034778.html</v>
      </c>
      <c r="C8929" s="10" t="s">
        <v>8929</v>
      </c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>
      <c r="A8930" s="8">
        <v>13784.0</v>
      </c>
      <c r="B8930" s="9" t="str">
        <f>HYPERLINK("https://www.lazada.vn/products/thung-1224-hop-nuoc-dua-dong-hop-cocoxim-330mlhop-azago-i2660780882.html", "https://www.lazada.vn/products/thung-1224-hop-nuoc-dua-dong-hop-cocoxim-330mlhop-azago-i2660780882.html")</f>
        <v>https://www.lazada.vn/products/thung-1224-hop-nuoc-dua-dong-hop-cocoxim-330mlhop-azago-i2660780882.html</v>
      </c>
      <c r="C8930" s="10" t="s">
        <v>8930</v>
      </c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>
      <c r="A8931" s="8">
        <v>13785.0</v>
      </c>
      <c r="B8931" s="9" t="str">
        <f>HYPERLINK("https://www.lazada.vn/products/thung-50-goi-chao-gau-do-vi-ga-va-vi-thit-bam-shop-thu-quan-i2732099952.html", "https://www.lazada.vn/products/thung-50-goi-chao-gau-do-vi-ga-va-vi-thit-bam-shop-thu-quan-i2732099952.html")</f>
        <v>https://www.lazada.vn/products/thung-50-goi-chao-gau-do-vi-ga-va-vi-thit-bam-shop-thu-quan-i2732099952.html</v>
      </c>
      <c r="C8931" s="10" t="s">
        <v>8931</v>
      </c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>
      <c r="A8932" s="8">
        <v>13786.0</v>
      </c>
      <c r="B8932" s="9" t="str">
        <f>HYPERLINK("https://www.lazada.vn/products/siro-golden-farm-chai-520ml-i2425360711.html", "https://www.lazada.vn/products/siro-golden-farm-chai-520ml-i2425360711.html")</f>
        <v>https://www.lazada.vn/products/siro-golden-farm-chai-520ml-i2425360711.html</v>
      </c>
      <c r="C8932" s="10" t="s">
        <v>8932</v>
      </c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>
      <c r="A8933" s="8">
        <v>13787.0</v>
      </c>
      <c r="B8933" s="9" t="str">
        <f>HYPERLINK("https://www.lazada.vn/products/hop-ca-phe-hoa-tan-nescafe-3in1-288g-18-goi-x-16g-bao-bi-moi-i2641996099.html", "https://www.lazada.vn/products/hop-ca-phe-hoa-tan-nescafe-3in1-288g-18-goi-x-16g-bao-bi-moi-i2641996099.html")</f>
        <v>https://www.lazada.vn/products/hop-ca-phe-hoa-tan-nescafe-3in1-288g-18-goi-x-16g-bao-bi-moi-i2641996099.html</v>
      </c>
      <c r="C8933" s="10" t="s">
        <v>8933</v>
      </c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>
      <c r="A8934" s="8">
        <v>13788.0</v>
      </c>
      <c r="B8934" s="9" t="str">
        <f>HYPERLINK("https://www.lazada.vn/products/ruou-vang-y-colosseum-14-do-vang-do-nhap-khau-i2414221118.html", "https://www.lazada.vn/products/ruou-vang-y-colosseum-14-do-vang-do-nhap-khau-i2414221118.html")</f>
        <v>https://www.lazada.vn/products/ruou-vang-y-colosseum-14-do-vang-do-nhap-khau-i2414221118.html</v>
      </c>
      <c r="C8934" s="10" t="s">
        <v>8934</v>
      </c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>
      <c r="A8935" s="8">
        <v>13789.0</v>
      </c>
      <c r="B8935" s="9" t="str">
        <f>HYPERLINK("https://www.lazada.vn/products/nui-ong-lon-safoco-goi-400g-nui-dai-goi-lon-i2865350888.html", "https://www.lazada.vn/products/nui-ong-lon-safoco-goi-400g-nui-dai-goi-lon-i2865350888.html")</f>
        <v>https://www.lazada.vn/products/nui-ong-lon-safoco-goi-400g-nui-dai-goi-lon-i2865350888.html</v>
      </c>
      <c r="C8935" s="10" t="s">
        <v>8935</v>
      </c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>
      <c r="A8936" s="8">
        <v>13790.0</v>
      </c>
      <c r="B8936" s="9" t="str">
        <f>HYPERLINK("https://www.lazada.vn/products/bap-rang-bap-no-bong-ngo-khong-duong-an-vat-tuoi-tho-250g-i1846925615.html", "https://www.lazada.vn/products/bap-rang-bap-no-bong-ngo-khong-duong-an-vat-tuoi-tho-250g-i1846925615.html")</f>
        <v>https://www.lazada.vn/products/bap-rang-bap-no-bong-ngo-khong-duong-an-vat-tuoi-tho-250g-i1846925615.html</v>
      </c>
      <c r="C8936" s="10" t="s">
        <v>8936</v>
      </c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>
      <c r="A8937" s="8">
        <v>13791.0</v>
      </c>
      <c r="B8937" s="9" t="str">
        <f>HYPERLINK("https://www.lazada.vn/products/tac-muoi-nha-lam-hu-gan-900gr-luon-nuoc-i2660415064.html", "https://www.lazada.vn/products/tac-muoi-nha-lam-hu-gan-900gr-luon-nuoc-i2660415064.html")</f>
        <v>https://www.lazada.vn/products/tac-muoi-nha-lam-hu-gan-900gr-luon-nuoc-i2660415064.html</v>
      </c>
      <c r="C8937" s="10" t="s">
        <v>8937</v>
      </c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>
      <c r="A8938" s="8">
        <v>13792.0</v>
      </c>
      <c r="B8938" s="9" t="str">
        <f>HYPERLINK("https://www.lazada.vn/products/siro-vina-chai-750ml-nhieu-huong-i2423513586.html", "https://www.lazada.vn/products/siro-vina-chai-750ml-nhieu-huong-i2423513586.html")</f>
        <v>https://www.lazada.vn/products/siro-vina-chai-750ml-nhieu-huong-i2423513586.html</v>
      </c>
      <c r="C8938" s="10" t="s">
        <v>8938</v>
      </c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>
      <c r="A8939" s="8">
        <v>13793.0</v>
      </c>
      <c r="B8939" s="9" t="str">
        <f>HYPERLINK("https://www.lazada.vn/products/ca-phe-sua-wake-up-3-trong-1-huong-chon-hop-18-goi-306g-i2641940415.html", "https://www.lazada.vn/products/ca-phe-sua-wake-up-3-trong-1-huong-chon-hop-18-goi-306g-i2641940415.html")</f>
        <v>https://www.lazada.vn/products/ca-phe-sua-wake-up-3-trong-1-huong-chon-hop-18-goi-306g-i2641940415.html</v>
      </c>
      <c r="C8939" s="10" t="s">
        <v>8939</v>
      </c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>
      <c r="A8940" s="8">
        <v>13794.0</v>
      </c>
      <c r="B8940" s="9" t="str">
        <f>HYPERLINK("https://www.lazada.vn/products/ruou-vang-do-vina-maipo-classic-series-syrah-2020-12-750ml-ruou-vang-vina-maipo-khong-hop-vi-ngot-mat-tu-trai-cay-i2413995951.html", "https://www.lazada.vn/products/ruou-vang-do-vina-maipo-classic-series-syrah-2020-12-750ml-ruou-vang-vina-maipo-khong-hop-vi-ngot-mat-tu-trai-cay-i2413995951.html")</f>
        <v>https://www.lazada.vn/products/ruou-vang-do-vina-maipo-classic-series-syrah-2020-12-750ml-ruou-vang-vina-maipo-khong-hop-vi-ngot-mat-tu-trai-cay-i2413995951.html</v>
      </c>
      <c r="C8940" s="10" t="s">
        <v>8940</v>
      </c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>
      <c r="A8941" s="8">
        <v>13795.0</v>
      </c>
      <c r="B8941" s="9" t="str">
        <f>HYPERLINK("https://www.lazada.vn/products/unimart-riken-mi-somen-tach-muoi-bo-sung-canxi-loi-khuan100g-cho-be-7m-i2862039006.html", "https://www.lazada.vn/products/unimart-riken-mi-somen-tach-muoi-bo-sung-canxi-loi-khuan100g-cho-be-7m-i2862039006.html")</f>
        <v>https://www.lazada.vn/products/unimart-riken-mi-somen-tach-muoi-bo-sung-canxi-loi-khuan100g-cho-be-7m-i2862039006.html</v>
      </c>
      <c r="C8941" s="10" t="s">
        <v>8941</v>
      </c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>
      <c r="A8942" s="8">
        <v>13796.0</v>
      </c>
      <c r="B8942" s="9" t="str">
        <f>HYPERLINK("https://www.lazada.vn/products/10-dac-bap-chuoi-38k-i1790495340.html", "https://www.lazada.vn/products/10-dac-bap-chuoi-38k-i1790495340.html")</f>
        <v>https://www.lazada.vn/products/10-dac-bap-chuoi-38k-i1790495340.html</v>
      </c>
      <c r="C8942" s="10" t="s">
        <v>8942</v>
      </c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>
      <c r="A8943" s="8">
        <v>13797.0</v>
      </c>
      <c r="B8943" s="9" t="str">
        <f>HYPERLINK("https://www.lazada.vn/products/chanh-muoi-ngam-duong-phen-hu-12-15-trai-khoan-1kg-i2660236648.html", "https://www.lazada.vn/products/chanh-muoi-ngam-duong-phen-hu-12-15-trai-khoan-1kg-i2660236648.html")</f>
        <v>https://www.lazada.vn/products/chanh-muoi-ngam-duong-phen-hu-12-15-trai-khoan-1kg-i2660236648.html</v>
      </c>
      <c r="C8943" s="10" t="s">
        <v>8943</v>
      </c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>
      <c r="A8944" s="8">
        <v>13798.0</v>
      </c>
      <c r="B8944" s="9" t="str">
        <f>HYPERLINK("https://www.lazada.vn/products/1-goi-bot-rau-cau-hanh-nhan-lobo-130g-mau-moi-date-2024-i2422599881.html", "https://www.lazada.vn/products/1-goi-bot-rau-cau-hanh-nhan-lobo-130g-mau-moi-date-2024-i2422599881.html")</f>
        <v>https://www.lazada.vn/products/1-goi-bot-rau-cau-hanh-nhan-lobo-130g-mau-moi-date-2024-i2422599881.html</v>
      </c>
      <c r="C8944" s="10" t="s">
        <v>8944</v>
      </c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>
      <c r="A8945" s="8">
        <v>13799.0</v>
      </c>
      <c r="B8945" s="9" t="str">
        <f>HYPERLINK("https://www.lazada.vn/products/ca-phe-hoa-tan-trung-nguyen-g7-50-goi-800g-i2641897526.html", "https://www.lazada.vn/products/ca-phe-hoa-tan-trung-nguyen-g7-50-goi-800g-i2641897526.html")</f>
        <v>https://www.lazada.vn/products/ca-phe-hoa-tan-trung-nguyen-g7-50-goi-800g-i2641897526.html</v>
      </c>
      <c r="C8945" s="10" t="s">
        <v>8945</v>
      </c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>
      <c r="A8946" s="8">
        <v>13800.0</v>
      </c>
      <c r="B8946" s="9" t="str">
        <f>HYPERLINK("https://www.lazada.vn/products/vang-y-f-negroamaro-15-chai-i2413650989.html", "https://www.lazada.vn/products/vang-y-f-negroamaro-15-chai-i2413650989.html")</f>
        <v>https://www.lazada.vn/products/vang-y-f-negroamaro-15-chai-i2413650989.html</v>
      </c>
      <c r="C8946" s="10" t="s">
        <v>8946</v>
      </c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>
      <c r="A8947" s="8">
        <v>13801.0</v>
      </c>
      <c r="B8947" s="9" t="str">
        <f>HYPERLINK("https://www.lazada.vn/products/mi-somen-unimart-riken-bo-sung-dha-cho-be-7m-i2861864575.html", "https://www.lazada.vn/products/mi-somen-unimart-riken-bo-sung-dha-cho-be-7m-i2861864575.html")</f>
        <v>https://www.lazada.vn/products/mi-somen-unimart-riken-bo-sung-dha-cho-be-7m-i2861864575.html</v>
      </c>
      <c r="C8947" s="10" t="s">
        <v>8947</v>
      </c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>
      <c r="A8948" s="8">
        <v>13802.0</v>
      </c>
      <c r="B8948" s="9" t="str">
        <f>HYPERLINK("https://www.lazada.vn/products/10-dac-bap-chuoi-38k-i1756598878.html", "https://www.lazada.vn/products/10-dac-bap-chuoi-38k-i1756598878.html")</f>
        <v>https://www.lazada.vn/products/10-dac-bap-chuoi-38k-i1756598878.html</v>
      </c>
      <c r="C8948" s="10" t="s">
        <v>8948</v>
      </c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>
      <c r="A8949" s="8">
        <v>13803.0</v>
      </c>
      <c r="B8949" s="9" t="str">
        <f>HYPERLINK("https://www.lazada.vn/products/tac-muoi-nha-lam-hu-gan-900gr-luon-nuoc-i2660172876.html", "https://www.lazada.vn/products/tac-muoi-nha-lam-hu-gan-900gr-luon-nuoc-i2660172876.html")</f>
        <v>https://www.lazada.vn/products/tac-muoi-nha-lam-hu-gan-900gr-luon-nuoc-i2660172876.html</v>
      </c>
      <c r="C8949" s="10" t="s">
        <v>8949</v>
      </c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>
      <c r="A8950" s="8">
        <v>13804.0</v>
      </c>
      <c r="B8950" s="9" t="str">
        <f>HYPERLINK("https://www.lazada.vn/products/siro-thanh-huong-chai-500ml-dao-i2422245349.html", "https://www.lazada.vn/products/siro-thanh-huong-chai-500ml-dao-i2422245349.html")</f>
        <v>https://www.lazada.vn/products/siro-thanh-huong-chai-500ml-dao-i2422245349.html</v>
      </c>
      <c r="C8950" s="10" t="s">
        <v>8950</v>
      </c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>
      <c r="A8951" s="8">
        <v>13805.0</v>
      </c>
      <c r="B8951" s="9" t="str">
        <f>HYPERLINK("https://www.lazada.vn/products/ca-phe-muoi-dung-loi-coffee-279-bich-45-goi-720g-i2641879601.html", "https://www.lazada.vn/products/ca-phe-muoi-dung-loi-coffee-279-bich-45-goi-720g-i2641879601.html")</f>
        <v>https://www.lazada.vn/products/ca-phe-muoi-dung-loi-coffee-279-bich-45-goi-720g-i2641879601.html</v>
      </c>
      <c r="C8951" s="10" t="s">
        <v>8951</v>
      </c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>
      <c r="A8952" s="8">
        <v>13806.0</v>
      </c>
      <c r="B8952" s="9" t="str">
        <f>HYPERLINK("https://www.lazada.vn/products/ruou-vang-y-nhap-khau-todino-14-do-i2413639971.html", "https://www.lazada.vn/products/ruou-vang-y-nhap-khau-todino-14-do-i2413639971.html")</f>
        <v>https://www.lazada.vn/products/ruou-vang-y-nhap-khau-todino-14-do-i2413639971.html</v>
      </c>
      <c r="C8952" s="10" t="s">
        <v>8952</v>
      </c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>
      <c r="A8953" s="8">
        <v>13807.0</v>
      </c>
      <c r="B8953" s="9" t="str">
        <f>HYPERLINK("https://www.lazada.vn/products/combo-5-coc-mi-ly-an-lien-hao-hao-tom-chua-cay-67g-i2861727217.html", "https://www.lazada.vn/products/combo-5-coc-mi-ly-an-lien-hao-hao-tom-chua-cay-67g-i2861727217.html")</f>
        <v>https://www.lazada.vn/products/combo-5-coc-mi-ly-an-lien-hao-hao-tom-chua-cay-67g-i2861727217.html</v>
      </c>
      <c r="C8953" s="10" t="s">
        <v>8953</v>
      </c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>
      <c r="A8954" s="8">
        <v>13808.0</v>
      </c>
      <c r="B8954" s="9" t="str">
        <f>HYPERLINK("https://www.lazada.vn/products/set-no-popcorn-tien-loi-proper-diy-all-in-one-combo-3in1-tu-no-bap-rang-bo-tai-nha-i1725104406.html", "https://www.lazada.vn/products/set-no-popcorn-tien-loi-proper-diy-all-in-one-combo-3in1-tu-no-bap-rang-bo-tai-nha-i1725104406.html")</f>
        <v>https://www.lazada.vn/products/set-no-popcorn-tien-loi-proper-diy-all-in-one-combo-3in1-tu-no-bap-rang-bo-tai-nha-i1725104406.html</v>
      </c>
      <c r="C8954" s="10" t="s">
        <v>8954</v>
      </c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>
      <c r="A8955" s="8">
        <v>13809.0</v>
      </c>
      <c r="B8955" s="9" t="str">
        <f>HYPERLINK("https://www.lazada.vn/products/chanh-muoi-ngam-duong-phen-hu-12-15-trai-khoan-1kg-i2660152965.html", "https://www.lazada.vn/products/chanh-muoi-ngam-duong-phen-hu-12-15-trai-khoan-1kg-i2660152965.html")</f>
        <v>https://www.lazada.vn/products/chanh-muoi-ngam-duong-phen-hu-12-15-trai-khoan-1kg-i2660152965.html</v>
      </c>
      <c r="C8955" s="10" t="s">
        <v>8955</v>
      </c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>
      <c r="A8956" s="8">
        <v>13810.0</v>
      </c>
      <c r="B8956" s="9" t="str">
        <f>HYPERLINK("https://www.lazada.vn/products/chinh-hang-bill-tha-syrup-starbucks-vanilla-hazelnut-caramel-flavor-375ml-i2421785281.html", "https://www.lazada.vn/products/chinh-hang-bill-tha-syrup-starbucks-vanilla-hazelnut-caramel-flavor-375ml-i2421785281.html")</f>
        <v>https://www.lazada.vn/products/chinh-hang-bill-tha-syrup-starbucks-vanilla-hazelnut-caramel-flavor-375ml-i2421785281.html</v>
      </c>
      <c r="C8956" s="10" t="s">
        <v>8956</v>
      </c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>
      <c r="A8957" s="8">
        <v>13811.0</v>
      </c>
      <c r="B8957" s="9" t="str">
        <f>HYPERLINK("https://www.lazada.vn/products/ca-phe-dac-san-arabica-son-la-8195-diem-ca-phe-rang-xay-nguyen-chat-pha-pour-over-coldbrew-i2641354056.html", "https://www.lazada.vn/products/ca-phe-dac-san-arabica-son-la-8195-diem-ca-phe-rang-xay-nguyen-chat-pha-pour-over-coldbrew-i2641354056.html")</f>
        <v>https://www.lazada.vn/products/ca-phe-dac-san-arabica-son-la-8195-diem-ca-phe-rang-xay-nguyen-chat-pha-pour-over-coldbrew-i2641354056.html</v>
      </c>
      <c r="C8957" s="10" t="s">
        <v>8957</v>
      </c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>
      <c r="A8958" s="8">
        <v>13812.0</v>
      </c>
      <c r="B8958" s="9" t="str">
        <f>HYPERLINK("https://www.lazada.vn/products/ruou-vang-do-vina-maipo-classic-series-cabernet-sauvignon-syrah-2020-12-750ml-khong-hop-ruou-vang-do-vi-chat-tinh-te-i2413435515.html", "https://www.lazada.vn/products/ruou-vang-do-vina-maipo-classic-series-cabernet-sauvignon-syrah-2020-12-750ml-khong-hop-ruou-vang-do-vi-chat-tinh-te-i2413435515.html")</f>
        <v>https://www.lazada.vn/products/ruou-vang-do-vina-maipo-classic-series-cabernet-sauvignon-syrah-2020-12-750ml-khong-hop-ruou-vang-do-vi-chat-tinh-te-i2413435515.html</v>
      </c>
      <c r="C8958" s="10" t="s">
        <v>8958</v>
      </c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>
      <c r="A8959" s="8">
        <v>13813.0</v>
      </c>
      <c r="B8959" s="9" t="str">
        <f>HYPERLINK("https://www.lazada.vn/products/set-lam-bap-rang-bo-thom-ngon-tu-lam-tai-nha-gom-1kg-ngo-300g-bo-i1715818032.html", "https://www.lazada.vn/products/set-lam-bap-rang-bo-thom-ngon-tu-lam-tai-nha-gom-1kg-ngo-300g-bo-i1715818032.html")</f>
        <v>https://www.lazada.vn/products/set-lam-bap-rang-bo-thom-ngon-tu-lam-tai-nha-gom-1kg-ngo-300g-bo-i1715818032.html</v>
      </c>
      <c r="C8959" s="10" t="s">
        <v>8959</v>
      </c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>
      <c r="A8960" s="8">
        <v>13814.0</v>
      </c>
      <c r="B8960" s="9" t="str">
        <f>HYPERLINK("https://www.lazada.vn/products/combo-5-coc-mi-ly-kokomi-dai-90gr-co-kem-cay-xuc-xich-dai-ngon-i2861705227.html", "https://www.lazada.vn/products/combo-5-coc-mi-ly-kokomi-dai-90gr-co-kem-cay-xuc-xich-dai-ngon-i2861705227.html")</f>
        <v>https://www.lazada.vn/products/combo-5-coc-mi-ly-kokomi-dai-90gr-co-kem-cay-xuc-xich-dai-ngon-i2861705227.html</v>
      </c>
      <c r="C8960" s="10" t="s">
        <v>8960</v>
      </c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>
      <c r="A8961" s="8">
        <v>13815.0</v>
      </c>
      <c r="B8961" s="9" t="str">
        <f>HYPERLINK("https://www.lazada.vn/products/nuoc-nho-do-len-men-ninh-thuan-de-3-nam-cao-cap-i2659676701.html", "https://www.lazada.vn/products/nuoc-nho-do-len-men-ninh-thuan-de-3-nam-cao-cap-i2659676701.html")</f>
        <v>https://www.lazada.vn/products/nuoc-nho-do-len-men-ninh-thuan-de-3-nam-cao-cap-i2659676701.html</v>
      </c>
      <c r="C8961" s="10" t="s">
        <v>8961</v>
      </c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>
      <c r="A8962" s="8">
        <v>13816.0</v>
      </c>
      <c r="B8962" s="9" t="str">
        <f>HYPERLINK("https://www.lazada.vn/products/nhap-khau-1kg-bap-my-kho-no-bap-rang-bo-meanche-ty-le-no-cao-popcorn-hang-nhap-khau-my-dung-lam-bap-rang-bo-nhu-rap-phim-cgv-sieu-ngon-sieu-de-cuc-thom-ngon-i1667699669.html", "https://www.lazada.vn/products/nhap-khau-1kg-bap-my-kho-no-bap-rang-bo-meanche-ty-le-no-cao-popcorn-hang-nhap-khau-my-dung-lam-bap-rang-bo-nhu-rap-phim-cgv-sieu-ngon-sieu-de-cuc-thom-ngon-i1667699669.html")</f>
        <v>https://www.lazada.vn/products/nhap-khau-1kg-bap-my-kho-no-bap-rang-bo-meanche-ty-le-no-cao-popcorn-hang-nhap-khau-my-dung-lam-bap-rang-bo-nhu-rap-phim-cgv-sieu-ngon-sieu-de-cuc-thom-ngon-i1667699669.html</v>
      </c>
      <c r="C8962" s="10" t="s">
        <v>8962</v>
      </c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>
      <c r="A8963" s="8">
        <v>13817.0</v>
      </c>
      <c r="B8963" s="9" t="str">
        <f>HYPERLINK("https://www.lazada.vn/products/rockcafe-cappuccino-trung-5-goi-x-30-gram-i2640835066.html", "https://www.lazada.vn/products/rockcafe-cappuccino-trung-5-goi-x-30-gram-i2640835066.html")</f>
        <v>https://www.lazada.vn/products/rockcafe-cappuccino-trung-5-goi-x-30-gram-i2640835066.html</v>
      </c>
      <c r="C8963" s="10" t="s">
        <v>8963</v>
      </c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>
      <c r="A8964" s="8">
        <v>13818.0</v>
      </c>
      <c r="B8964" s="9" t="str">
        <f>HYPERLINK("https://www.lazada.vn/products/ruou-vang-trang-vina-maipo-classic-series-sauvignon-blanc-chardonnay-2019-125-750ml-khong-hop-dam-trai-cay-nhiet-doi-i2412817844.html", "https://www.lazada.vn/products/ruou-vang-trang-vina-maipo-classic-series-sauvignon-blanc-chardonnay-2019-125-750ml-khong-hop-dam-trai-cay-nhiet-doi-i2412817844.html")</f>
        <v>https://www.lazada.vn/products/ruou-vang-trang-vina-maipo-classic-series-sauvignon-blanc-chardonnay-2019-125-750ml-khong-hop-dam-trai-cay-nhiet-doi-i2412817844.html</v>
      </c>
      <c r="C8964" s="10" t="s">
        <v>8964</v>
      </c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>
      <c r="A8965" s="8">
        <v>13819.0</v>
      </c>
      <c r="B8965" s="9" t="str">
        <f>HYPERLINK("https://www.lazada.vn/products/rockcafe-cappuccino-muoi-5-goi-x-30-gram-i2640790043.html", "https://www.lazada.vn/products/rockcafe-cappuccino-muoi-5-goi-x-30-gram-i2640790043.html")</f>
        <v>https://www.lazada.vn/products/rockcafe-cappuccino-muoi-5-goi-x-30-gram-i2640790043.html</v>
      </c>
      <c r="C8965" s="10" t="s">
        <v>8965</v>
      </c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>
      <c r="A8966" s="8">
        <v>13820.0</v>
      </c>
      <c r="B8966" s="9" t="str">
        <f>HYPERLINK("https://www.lazada.vn/products/vang-vina-albali-reserva-tempranillo-i2409319507.html", "https://www.lazada.vn/products/vang-vina-albali-reserva-tempranillo-i2409319507.html")</f>
        <v>https://www.lazada.vn/products/vang-vina-albali-reserva-tempranillo-i2409319507.html</v>
      </c>
      <c r="C8966" s="10" t="s">
        <v>8966</v>
      </c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>
      <c r="A8967" s="8">
        <v>13821.0</v>
      </c>
      <c r="B8967" s="9" t="str">
        <f>HYPERLINK("https://www.lazada.vn/products/rockcafe-cappuccino-dua-5-goi-x-30-gram-i2640770389.html", "https://www.lazada.vn/products/rockcafe-cappuccino-dua-5-goi-x-30-gram-i2640770389.html")</f>
        <v>https://www.lazada.vn/products/rockcafe-cappuccino-dua-5-goi-x-30-gram-i2640770389.html</v>
      </c>
      <c r="C8967" s="10" t="s">
        <v>8967</v>
      </c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>
      <c r="A8968" s="8">
        <v>13822.0</v>
      </c>
      <c r="B8968" s="9" t="str">
        <f>HYPERLINK("https://www.lazada.vn/products/ruou-vang-do-uc-mcguigan-single-batch-project-cabernet-sauvignon-i2401674780.html", "https://www.lazada.vn/products/ruou-vang-do-uc-mcguigan-single-batch-project-cabernet-sauvignon-i2401674780.html")</f>
        <v>https://www.lazada.vn/products/ruou-vang-do-uc-mcguigan-single-batch-project-cabernet-sauvignon-i2401674780.html</v>
      </c>
      <c r="C8968" s="10" t="s">
        <v>8968</v>
      </c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>
      <c r="A8969" s="8">
        <v>13823.0</v>
      </c>
      <c r="B8969" s="9" t="str">
        <f>HYPERLINK("https://www.lazada.vn/products/rockcafe-cappuccino-sau-rieng-5-goi-x-30-gram-i2640670973.html", "https://www.lazada.vn/products/rockcafe-cappuccino-sau-rieng-5-goi-x-30-gram-i2640670973.html")</f>
        <v>https://www.lazada.vn/products/rockcafe-cappuccino-sau-rieng-5-goi-x-30-gram-i2640670973.html</v>
      </c>
      <c r="C8969" s="10" t="s">
        <v>8969</v>
      </c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>
      <c r="A8970" s="8">
        <v>13824.0</v>
      </c>
      <c r="B8970" s="9" t="str">
        <f>HYPERLINK("https://www.lazada.vn/products/ruou-vang-do-anniversary-nativ-irpinia-aglianico-doc-750ml-i2400879002.html", "https://www.lazada.vn/products/ruou-vang-do-anniversary-nativ-irpinia-aglianico-doc-750ml-i2400879002.html")</f>
        <v>https://www.lazada.vn/products/ruou-vang-do-anniversary-nativ-irpinia-aglianico-doc-750ml-i2400879002.html</v>
      </c>
      <c r="C8970" s="10" t="s">
        <v>8970</v>
      </c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>
      <c r="A8971" s="8">
        <v>13825.0</v>
      </c>
      <c r="B8971" s="9" t="str">
        <f>HYPERLINK("https://www.lazada.vn/products/banh-cafe-giam-can-cq-slim-banh-giam-can-vi-ca-phe-i2638567827.html", "https://www.lazada.vn/products/banh-cafe-giam-can-cq-slim-banh-giam-can-vi-ca-phe-i2638567827.html")</f>
        <v>https://www.lazada.vn/products/banh-cafe-giam-can-cq-slim-banh-giam-can-vi-ca-phe-i2638567827.html</v>
      </c>
      <c r="C8971" s="10" t="s">
        <v>8971</v>
      </c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>
      <c r="A8972" s="8">
        <v>13826.0</v>
      </c>
      <c r="B8972" s="9" t="str">
        <f>HYPERLINK("https://www.lazada.vn/products/ruou-vang-do-organic-vinuva-nero-davola-sicilia-doc-750ml-i2400874024.html", "https://www.lazada.vn/products/ruou-vang-do-organic-vinuva-nero-davola-sicilia-doc-750ml-i2400874024.html")</f>
        <v>https://www.lazada.vn/products/ruou-vang-do-organic-vinuva-nero-davola-sicilia-doc-750ml-i2400874024.html</v>
      </c>
      <c r="C8972" s="10" t="s">
        <v>8972</v>
      </c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>
      <c r="A8973" s="8">
        <v>13827.0</v>
      </c>
      <c r="B8973" s="9" t="str">
        <f>HYPERLINK("https://www.lazada.vn/products/king-coffee-3in1-tui-448-g-28-goi-x-16-g-i2638482414.html", "https://www.lazada.vn/products/king-coffee-3in1-tui-448-g-28-goi-x-16-g-i2638482414.html")</f>
        <v>https://www.lazada.vn/products/king-coffee-3in1-tui-448-g-28-goi-x-16-g-i2638482414.html</v>
      </c>
      <c r="C8973" s="10" t="s">
        <v>8973</v>
      </c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>
      <c r="A8974" s="8">
        <v>13828.0</v>
      </c>
      <c r="B8974" s="9" t="str">
        <f>HYPERLINK("https://www.lazada.vn/products/ruou-vang-do-campi-rudi-rosso-puglia-750ml-i2400855076.html", "https://www.lazada.vn/products/ruou-vang-do-campi-rudi-rosso-puglia-750ml-i2400855076.html")</f>
        <v>https://www.lazada.vn/products/ruou-vang-do-campi-rudi-rosso-puglia-750ml-i2400855076.html</v>
      </c>
      <c r="C8974" s="10" t="s">
        <v>8974</v>
      </c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>
      <c r="A8975" s="8">
        <v>13829.0</v>
      </c>
      <c r="B8975" s="9" t="str">
        <f>HYPERLINK("https://www.lazada.vn/products/1kg-tui-ca-phe-nguyen-chat-cofpride-tu-hao-1-100-robusta-ca-phe-hat-yoosoo-i2636324392.html", "https://www.lazada.vn/products/1kg-tui-ca-phe-nguyen-chat-cofpride-tu-hao-1-100-robusta-ca-phe-hat-yoosoo-i2636324392.html")</f>
        <v>https://www.lazada.vn/products/1kg-tui-ca-phe-nguyen-chat-cofpride-tu-hao-1-100-robusta-ca-phe-hat-yoosoo-i2636324392.html</v>
      </c>
      <c r="C8975" s="10" t="s">
        <v>8975</v>
      </c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>
      <c r="A8976" s="8">
        <v>13830.0</v>
      </c>
      <c r="B8976" s="9" t="str">
        <f>HYPERLINK("https://www.lazada.vn/products/ruou-vang-pirovano-montepulciano-dabruzzo-i2400851049.html", "https://www.lazada.vn/products/ruou-vang-pirovano-montepulciano-dabruzzo-i2400851049.html")</f>
        <v>https://www.lazada.vn/products/ruou-vang-pirovano-montepulciano-dabruzzo-i2400851049.html</v>
      </c>
      <c r="C8976" s="10" t="s">
        <v>8976</v>
      </c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>
      <c r="A8977" s="8">
        <v>13831.0</v>
      </c>
      <c r="B8977" s="9" t="str">
        <f>HYPERLINK("https://www.lazada.vn/products/vang-do-italia-blu-onice-irpinia-aglianico-doc-750ml-i2400842140.html", "https://www.lazada.vn/products/vang-do-italia-blu-onice-irpinia-aglianico-doc-750ml-i2400842140.html")</f>
        <v>https://www.lazada.vn/products/vang-do-italia-blu-onice-irpinia-aglianico-doc-750ml-i2400842140.html</v>
      </c>
      <c r="C8977" s="10" t="s">
        <v>8977</v>
      </c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>
      <c r="A8978" s="8">
        <v>13832.0</v>
      </c>
      <c r="B8978" s="9" t="str">
        <f>HYPERLINK("https://www.lazada.vn/products/ca-phe-pho-sua-da-30goi-x-24g-i2636298695.html", "https://www.lazada.vn/products/ca-phe-pho-sua-da-30goi-x-24g-i2636298695.html")</f>
        <v>https://www.lazada.vn/products/ca-phe-pho-sua-da-30goi-x-24g-i2636298695.html</v>
      </c>
      <c r="C8978" s="10" t="s">
        <v>8978</v>
      </c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>
      <c r="A8979" s="8">
        <v>13833.0</v>
      </c>
      <c r="B8979" s="9" t="str">
        <f>HYPERLINK("https://www.lazada.vn/products/100gsiro-monin-syrup-moninchai-chiet-100g-dung-de-thu-vi-lam-mon-moi-i2421527113.html", "https://www.lazada.vn/products/100gsiro-monin-syrup-moninchai-chiet-100g-dung-de-thu-vi-lam-mon-moi-i2421527113.html")</f>
        <v>https://www.lazada.vn/products/100gsiro-monin-syrup-moninchai-chiet-100g-dung-de-thu-vi-lam-mon-moi-i2421527113.html</v>
      </c>
      <c r="C8979" s="10" t="s">
        <v>8979</v>
      </c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>
      <c r="A8980" s="8">
        <v>13834.0</v>
      </c>
      <c r="B8980" s="9" t="str">
        <f>HYPERLINK("https://www.lazada.vn/products/ruou-vang-y-saverio-faro-nero-davola-doc-i2400830133.html", "https://www.lazada.vn/products/ruou-vang-y-saverio-faro-nero-davola-doc-i2400830133.html")</f>
        <v>https://www.lazada.vn/products/ruou-vang-y-saverio-faro-nero-davola-doc-i2400830133.html</v>
      </c>
      <c r="C8980" s="10" t="s">
        <v>8980</v>
      </c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>
      <c r="A8981" s="8">
        <v>13835.0</v>
      </c>
      <c r="B8981" s="9" t="str">
        <f>HYPERLINK("https://www.lazada.vn/products/ca-phe-hat-rang-house-blend-office-espresso-robusta-arabica-stupiducks-specialty-coffee-i2634422156.html", "https://www.lazada.vn/products/ca-phe-hat-rang-house-blend-office-espresso-robusta-arabica-stupiducks-specialty-coffee-i2634422156.html")</f>
        <v>https://www.lazada.vn/products/ca-phe-hat-rang-house-blend-office-espresso-robusta-arabica-stupiducks-specialty-coffee-i2634422156.html</v>
      </c>
      <c r="C8981" s="10" t="s">
        <v>8981</v>
      </c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>
      <c r="A8982" s="8">
        <v>13836.0</v>
      </c>
      <c r="B8982" s="9" t="str">
        <f>HYPERLINK("https://www.lazada.vn/products/ruou-vang-y-pirovano-nero-davola-i2400825199.html", "https://www.lazada.vn/products/ruou-vang-y-pirovano-nero-davola-i2400825199.html")</f>
        <v>https://www.lazada.vn/products/ruou-vang-y-pirovano-nero-davola-i2400825199.html</v>
      </c>
      <c r="C8982" s="10" t="s">
        <v>8982</v>
      </c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>
      <c r="A8983" s="8">
        <v>13837.0</v>
      </c>
      <c r="B8983" s="9" t="str">
        <f>HYPERLINK("https://www.lazada.vn/products/combo-2-tui-40-goi-ca-phe-sua-kopiko-macchiato-3-in-1-thai-lan-i2634368397.html", "https://www.lazada.vn/products/combo-2-tui-40-goi-ca-phe-sua-kopiko-macchiato-3-in-1-thai-lan-i2634368397.html")</f>
        <v>https://www.lazada.vn/products/combo-2-tui-40-goi-ca-phe-sua-kopiko-macchiato-3-in-1-thai-lan-i2634368397.html</v>
      </c>
      <c r="C8983" s="10" t="s">
        <v>8983</v>
      </c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>
      <c r="A8984" s="8">
        <v>13838.0</v>
      </c>
      <c r="B8984" s="9" t="str">
        <f>HYPERLINK("https://www.lazada.vn/products/ruou-vang-do-organic-vinuva-primitivo-salento-igt-750ml-i2400782723.html", "https://www.lazada.vn/products/ruou-vang-do-organic-vinuva-primitivo-salento-igt-750ml-i2400782723.html")</f>
        <v>https://www.lazada.vn/products/ruou-vang-do-organic-vinuva-primitivo-salento-igt-750ml-i2400782723.html</v>
      </c>
      <c r="C8984" s="10" t="s">
        <v>8984</v>
      </c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>
      <c r="A8985" s="8">
        <v>13839.0</v>
      </c>
      <c r="B8985" s="9" t="str">
        <f>HYPERLINK("https://www.lazada.vn/products/hop-ca-phe-pho-sua-da-hop-maccoffee-hop-10-goi-x-24g-combo-2-hop-ly-kim-cuong-i2634327581.html", "https://www.lazada.vn/products/hop-ca-phe-pho-sua-da-hop-maccoffee-hop-10-goi-x-24g-combo-2-hop-ly-kim-cuong-i2634327581.html")</f>
        <v>https://www.lazada.vn/products/hop-ca-phe-pho-sua-da-hop-maccoffee-hop-10-goi-x-24g-combo-2-hop-ly-kim-cuong-i2634327581.html</v>
      </c>
      <c r="C8985" s="10" t="s">
        <v>8985</v>
      </c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>
      <c r="A8986" s="8">
        <v>13840.0</v>
      </c>
      <c r="B8986" s="9" t="str">
        <f>HYPERLINK("https://www.lazada.vn/products/mua-3-hop-lon-tang-1h-nho-7-goi-cafe-giam-can-mam-xoi-raspberry-coffee-cafe-mam-xoi-den-blackberry-coffee-hop-15-goi-cam-ket-chinh-hang-tem-check-qr-code-mau-moi-co-logo-in-chim-tren-vo-hop-i2629919515.html", "https://www.lazada.vn/products/mua-3-hop-lon-tang-1h-nho-7-goi-cafe-giam-can-mam-xoi-raspberry-coffee-cafe-mam-xoi-den-blackberry-coffee-hop-15-goi-cam-ket-chinh-hang-tem-check-qr-code-mau-moi-co-logo-in-chim-tren-vo-hop-i2629919515.html")</f>
        <v>https://www.lazada.vn/products/mua-3-hop-lon-tang-1h-nho-7-goi-cafe-giam-can-mam-xoi-raspberry-coffee-cafe-mam-xoi-den-blackberry-coffee-hop-15-goi-cam-ket-chinh-hang-tem-check-qr-code-mau-moi-co-logo-in-chim-tren-vo-hop-i2629919515.html</v>
      </c>
      <c r="C8986" s="10" t="s">
        <v>8986</v>
      </c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>
      <c r="A8987" s="8">
        <v>13841.0</v>
      </c>
      <c r="B8987" s="9" t="str">
        <f>HYPERLINK("https://www.lazada.vn/products/ca-phe-nhan-xanh-culi-1kg-nhan-song-chua-rang-che-bien-kho-sang-loai-1-tu-saco-coffee-i2628904494.html", "https://www.lazada.vn/products/ca-phe-nhan-xanh-culi-1kg-nhan-song-chua-rang-che-bien-kho-sang-loai-1-tu-saco-coffee-i2628904494.html")</f>
        <v>https://www.lazada.vn/products/ca-phe-nhan-xanh-culi-1kg-nhan-song-chua-rang-che-bien-kho-sang-loai-1-tu-saco-coffee-i2628904494.html</v>
      </c>
      <c r="C8987" s="10" t="s">
        <v>8987</v>
      </c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>
      <c r="A8988" s="8">
        <v>13842.0</v>
      </c>
      <c r="B8988" s="9" t="str">
        <f>HYPERLINK("https://www.lazada.vn/products/combo-6-to-mi-siukay-tia-chop-acecook-huong-vi-hai-san-96gto-i2861660410.html", "https://www.lazada.vn/products/combo-6-to-mi-siukay-tia-chop-acecook-huong-vi-hai-san-96gto-i2861660410.html")</f>
        <v>https://www.lazada.vn/products/combo-6-to-mi-siukay-tia-chop-acecook-huong-vi-hai-san-96gto-i2861660410.html</v>
      </c>
      <c r="C8988" s="10" t="s">
        <v>8988</v>
      </c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>
      <c r="A8989" s="8">
        <v>13843.0</v>
      </c>
      <c r="B8989" s="9" t="str">
        <f>HYPERLINK("https://www.lazada.vn/products/ca-phe-nhan-xanh-robusta-1kg-nhan-song-chua-rang-che-bien-kho-sang-loai-1-tu-saco-coffee-i2628856637.html", "https://www.lazada.vn/products/ca-phe-nhan-xanh-robusta-1kg-nhan-song-chua-rang-che-bien-kho-sang-loai-1-tu-saco-coffee-i2628856637.html")</f>
        <v>https://www.lazada.vn/products/ca-phe-nhan-xanh-robusta-1kg-nhan-song-chua-rang-che-bien-kho-sang-loai-1-tu-saco-coffee-i2628856637.html</v>
      </c>
      <c r="C8989" s="10" t="s">
        <v>8989</v>
      </c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>
      <c r="A8990" s="8">
        <v>13844.0</v>
      </c>
      <c r="B8990" s="9" t="str">
        <f>HYPERLINK("https://www.lazada.vn/products/ca-phe-nhan-xanh-arabica-cau-dat-1kg-nhan-song-chua-rang-che-bien-uot-sang-loai-1-tu-saco-coffee-i2628827196.html", "https://www.lazada.vn/products/ca-phe-nhan-xanh-arabica-cau-dat-1kg-nhan-song-chua-rang-che-bien-uot-sang-loai-1-tu-saco-coffee-i2628827196.html")</f>
        <v>https://www.lazada.vn/products/ca-phe-nhan-xanh-arabica-cau-dat-1kg-nhan-song-chua-rang-che-bien-uot-sang-loai-1-tu-saco-coffee-i2628827196.html</v>
      </c>
      <c r="C8990" s="10" t="s">
        <v>8990</v>
      </c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>
      <c r="A8991" s="8">
        <v>13845.0</v>
      </c>
      <c r="B8991" s="9" t="str">
        <f>HYPERLINK("https://www.lazada.vn/products/hang-chinh-hang-ca-phe-maxim-mocha-gold-han-quoc-100-goi-12kg-i2628472080.html", "https://www.lazada.vn/products/hang-chinh-hang-ca-phe-maxim-mocha-gold-han-quoc-100-goi-12kg-i2628472080.html")</f>
        <v>https://www.lazada.vn/products/hang-chinh-hang-ca-phe-maxim-mocha-gold-han-quoc-100-goi-12kg-i2628472080.html</v>
      </c>
      <c r="C8991" s="10" t="s">
        <v>8991</v>
      </c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>
      <c r="A8992" s="8">
        <v>13846.0</v>
      </c>
      <c r="B8992" s="9" t="str">
        <f>HYPERLINK("https://www.lazada.vn/products/ca-phe-brazil-santo-antonio-chocola-stupiducks-specialty-coffee-i2626920038.html", "https://www.lazada.vn/products/ca-phe-brazil-santo-antonio-chocola-stupiducks-specialty-coffee-i2626920038.html")</f>
        <v>https://www.lazada.vn/products/ca-phe-brazil-santo-antonio-chocola-stupiducks-specialty-coffee-i2626920038.html</v>
      </c>
      <c r="C8992" s="10" t="s">
        <v>8992</v>
      </c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>
      <c r="A8993" s="8">
        <v>13847.0</v>
      </c>
      <c r="B8993" s="9" t="str">
        <f>HYPERLINK("https://www.lazada.vn/products/keo-ca-phe-den-khong-duong-ho-tro-tinh-tao-keo-an-vat-ho-tro-giam-can-vi-thom-ngon-chuan-hat-ca-phe-nguyen-chat-i2625832038.html", "https://www.lazada.vn/products/keo-ca-phe-den-khong-duong-ho-tro-tinh-tao-keo-an-vat-ho-tro-giam-can-vi-thom-ngon-chuan-hat-ca-phe-nguyen-chat-i2625832038.html")</f>
        <v>https://www.lazada.vn/products/keo-ca-phe-den-khong-duong-ho-tro-tinh-tao-keo-an-vat-ho-tro-giam-can-vi-thom-ngon-chuan-hat-ca-phe-nguyen-chat-i2625832038.html</v>
      </c>
      <c r="C8993" s="10" t="s">
        <v>8993</v>
      </c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>
      <c r="A8994" s="8">
        <v>13848.0</v>
      </c>
      <c r="B8994" s="9" t="str">
        <f>HYPERLINK("https://www.lazada.vn/products/ca-phe-sua-da-maccoffee-cafe-pho_goi-720g-shop-mint-mint-i2625078636.html", "https://www.lazada.vn/products/ca-phe-sua-da-maccoffee-cafe-pho_goi-720g-shop-mint-mint-i2625078636.html")</f>
        <v>https://www.lazada.vn/products/ca-phe-sua-da-maccoffee-cafe-pho_goi-720g-shop-mint-mint-i2625078636.html</v>
      </c>
      <c r="C8994" s="10" t="s">
        <v>8994</v>
      </c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>
      <c r="A8995" s="8">
        <v>13849.0</v>
      </c>
      <c r="B8995" s="9" t="str">
        <f>HYPERLINK("https://www.lazada.vn/products/nescafe-cafe-3-in1-vi-nguyen-ban736-49-goi-tang-3-i2624800634.html", "https://www.lazada.vn/products/nescafe-cafe-3-in1-vi-nguyen-ban736-49-goi-tang-3-i2624800634.html")</f>
        <v>https://www.lazada.vn/products/nescafe-cafe-3-in1-vi-nguyen-ban736-49-goi-tang-3-i2624800634.html</v>
      </c>
      <c r="C8995" s="10" t="s">
        <v>8995</v>
      </c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>
      <c r="A8996" s="8">
        <v>13850.0</v>
      </c>
      <c r="B8996" s="9" t="str">
        <f>HYPERLINK("https://www.lazada.vn/products/1kg-ca-phe-truyen-thong-phin-dam-huong-vi-dam-da-danh-cho-pha-phin-coffee-chon-buon-me-thuot-2-tui-500gram-i2624554896.html", "https://www.lazada.vn/products/1kg-ca-phe-truyen-thong-phin-dam-huong-vi-dam-da-danh-cho-pha-phin-coffee-chon-buon-me-thuot-2-tui-500gram-i2624554896.html")</f>
        <v>https://www.lazada.vn/products/1kg-ca-phe-truyen-thong-phin-dam-huong-vi-dam-da-danh-cho-pha-phin-coffee-chon-buon-me-thuot-2-tui-500gram-i2624554896.html</v>
      </c>
      <c r="C8996" s="10" t="s">
        <v>8996</v>
      </c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>
      <c r="A8997" s="8">
        <v>13851.0</v>
      </c>
      <c r="B8997" s="9" t="str">
        <f>HYPERLINK("https://www.lazada.vn/products/ca-phe-mekong-wake-up-hoa-tan-3-trong-1-456g-24-goix18g-hay-ca-phe-sai-gon-wake-up-hoa-tan-3-trong-1-456g-24-goix19g-i2624200306.html", "https://www.lazada.vn/products/ca-phe-mekong-wake-up-hoa-tan-3-trong-1-456g-24-goix18g-hay-ca-phe-sai-gon-wake-up-hoa-tan-3-trong-1-456g-24-goix19g-i2624200306.html")</f>
        <v>https://www.lazada.vn/products/ca-phe-mekong-wake-up-hoa-tan-3-trong-1-456g-24-goix18g-hay-ca-phe-sai-gon-wake-up-hoa-tan-3-trong-1-456g-24-goix19g-i2624200306.html</v>
      </c>
      <c r="C8997" s="10" t="s">
        <v>8997</v>
      </c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>
      <c r="A8998" s="8">
        <v>13852.0</v>
      </c>
      <c r="B8998" s="9" t="str">
        <f>HYPERLINK("https://www.lazada.vn/products/cafe-sua-tran-quang-good-morning-3in-1-480g-24-goi-i2624159890.html", "https://www.lazada.vn/products/cafe-sua-tran-quang-good-morning-3in-1-480g-24-goi-i2624159890.html")</f>
        <v>https://www.lazada.vn/products/cafe-sua-tran-quang-good-morning-3in-1-480g-24-goi-i2624159890.html</v>
      </c>
      <c r="C8998" s="10" t="s">
        <v>8998</v>
      </c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>
      <c r="A8999" s="8">
        <v>13853.0</v>
      </c>
      <c r="B8999" s="9" t="str">
        <f>HYPERLINK("https://www.lazada.vn/products/ca-phe-sua-hoa-tan-3in1-arabica-tran-quang-bich-24-goi-x-20gr-i2624078724.html", "https://www.lazada.vn/products/ca-phe-sua-hoa-tan-3in1-arabica-tran-quang-bich-24-goi-x-20gr-i2624078724.html")</f>
        <v>https://www.lazada.vn/products/ca-phe-sua-hoa-tan-3in1-arabica-tran-quang-bich-24-goi-x-20gr-i2624078724.html</v>
      </c>
      <c r="C8999" s="10" t="s">
        <v>8999</v>
      </c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>
      <c r="A9000" s="8">
        <v>13854.0</v>
      </c>
      <c r="B9000" s="9" t="str">
        <f>HYPERLINK("https://www.lazada.vn/products/ca-phe-sua-tran-quang-mau-cam-den-tui-24-goi-i2623513134.html", "https://www.lazada.vn/products/ca-phe-sua-tran-quang-mau-cam-den-tui-24-goi-i2623513134.html")</f>
        <v>https://www.lazada.vn/products/ca-phe-sua-tran-quang-mau-cam-den-tui-24-goi-i2623513134.html</v>
      </c>
      <c r="C9000" s="10" t="s">
        <v>9000</v>
      </c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>
      <c r="A9001" s="8">
        <v>13855.0</v>
      </c>
      <c r="B9001" s="9" t="str">
        <f>HYPERLINK("https://www.lazada.vn/products/thung-mi-ly-modern-24-ly-67g-huong-vi-lau-thai-tom-acecook-i2858291901.html", "https://www.lazada.vn/products/thung-mi-ly-modern-24-ly-67g-huong-vi-lau-thai-tom-acecook-i2858291901.html")</f>
        <v>https://www.lazada.vn/products/thung-mi-ly-modern-24-ly-67g-huong-vi-lau-thai-tom-acecook-i2858291901.html</v>
      </c>
      <c r="C9001" s="10" t="s">
        <v>9001</v>
      </c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>
      <c r="A9002" s="8">
        <v>13856.0</v>
      </c>
      <c r="B9002" s="9" t="str">
        <f>HYPERLINK("https://www.lazada.vn/products/ca-phe-vien-nen-carraro-capsule-vo-nhom-aluminium-chuan-nespresso-6-mui-vi-xem-mo-ta-date-2025-hang-y-i2622281495.html", "https://www.lazada.vn/products/ca-phe-vien-nen-carraro-capsule-vo-nhom-aluminium-chuan-nespresso-6-mui-vi-xem-mo-ta-date-2025-hang-y-i2622281495.html")</f>
        <v>https://www.lazada.vn/products/ca-phe-vien-nen-carraro-capsule-vo-nhom-aluminium-chuan-nespresso-6-mui-vi-xem-mo-ta-date-2025-hang-y-i2622281495.html</v>
      </c>
      <c r="C9002" s="10" t="s">
        <v>9002</v>
      </c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>
      <c r="A9003" s="8">
        <v>13857.0</v>
      </c>
      <c r="B9003" s="9" t="str">
        <f>HYPERLINK("https://www.lazada.vn/products/nescafe-tui-vang-600gr-25-goi-ca-phe-sua-da-hoa-tan-x-2-sanh-quyen-milk-ice-coffee-i2622105325.html", "https://www.lazada.vn/products/nescafe-tui-vang-600gr-25-goi-ca-phe-sua-da-hoa-tan-x-2-sanh-quyen-milk-ice-coffee-i2622105325.html")</f>
        <v>https://www.lazada.vn/products/nescafe-tui-vang-600gr-25-goi-ca-phe-sua-da-hoa-tan-x-2-sanh-quyen-milk-ice-coffee-i2622105325.html</v>
      </c>
      <c r="C9003" s="10" t="s">
        <v>9003</v>
      </c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>
      <c r="A9004" s="8">
        <v>13858.0</v>
      </c>
      <c r="B9004" s="9" t="str">
        <f>HYPERLINK("https://www.lazada.vn/products/tui-gold-lon-cafe-pho-870g-30-goi-ca-phe-sua-vi-muot-ma-sanh-dam-maccoffee-3-in-1-coffee-halal-i2620793657.html", "https://www.lazada.vn/products/tui-gold-lon-cafe-pho-870g-30-goi-ca-phe-sua-vi-muot-ma-sanh-dam-maccoffee-3-in-1-coffee-halal-i2620793657.html")</f>
        <v>https://www.lazada.vn/products/tui-gold-lon-cafe-pho-870g-30-goi-ca-phe-sua-vi-muot-ma-sanh-dam-maccoffee-3-in-1-coffee-halal-i2620793657.html</v>
      </c>
      <c r="C9004" s="10" t="s">
        <v>9004</v>
      </c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>
      <c r="A9005" s="8">
        <v>13859.0</v>
      </c>
      <c r="B9005" s="9" t="str">
        <f>HYPERLINK("https://www.lazada.vn/products/ngo-cay-say-gion-xoc-mam-cuc-doi-cuc-cuon-tui-500g-tien-loi-i1655760504.html", "https://www.lazada.vn/products/ngo-cay-say-gion-xoc-mam-cuc-doi-cuc-cuon-tui-500g-tien-loi-i1655760504.html")</f>
        <v>https://www.lazada.vn/products/ngo-cay-say-gion-xoc-mam-cuc-doi-cuc-cuon-tui-500g-tien-loi-i1655760504.html</v>
      </c>
      <c r="C9005" s="10" t="s">
        <v>9005</v>
      </c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>
      <c r="A9006" s="8">
        <v>13860.0</v>
      </c>
      <c r="B9006" s="9" t="str">
        <f>HYPERLINK("https://www.lazada.vn/products/nuoc-tinh-khiet-th-true-water-500ml-i2659344810.html", "https://www.lazada.vn/products/nuoc-tinh-khiet-th-true-water-500ml-i2659344810.html")</f>
        <v>https://www.lazada.vn/products/nuoc-tinh-khiet-th-true-water-500ml-i2659344810.html</v>
      </c>
      <c r="C9006" s="10" t="s">
        <v>9006</v>
      </c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>
      <c r="A9007" s="8">
        <v>13861.0</v>
      </c>
      <c r="B9007" s="9" t="str">
        <f>HYPERLINK("https://www.lazada.vn/products/1-thung-gom-24-ly-modern-lau-thai-tom-chua-cay-goi-65g-i2855566049.html", "https://www.lazada.vn/products/1-thung-gom-24-ly-modern-lau-thai-tom-chua-cay-goi-65g-i2855566049.html")</f>
        <v>https://www.lazada.vn/products/1-thung-gom-24-ly-modern-lau-thai-tom-chua-cay-goi-65g-i2855566049.html</v>
      </c>
      <c r="C9007" s="10" t="s">
        <v>9007</v>
      </c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>
      <c r="A9008" s="8">
        <v>13862.0</v>
      </c>
      <c r="B9008" s="9" t="str">
        <f>HYPERLINK("https://www.lazada.vn/products/ruou-nep-thanruou-nep-cam-men-la-1lit-cot-1-nam-uong-em-khong-khat-nuocdau-dau-vi-ngot-thanh-nha-lam-dac-san-tay-bac-333-i2420875706.html", "https://www.lazada.vn/products/ruou-nep-thanruou-nep-cam-men-la-1lit-cot-1-nam-uong-em-khong-khat-nuocdau-dau-vi-ngot-thanh-nha-lam-dac-san-tay-bac-333-i2420875706.html")</f>
        <v>https://www.lazada.vn/products/ruou-nep-thanruou-nep-cam-men-la-1lit-cot-1-nam-uong-em-khong-khat-nuocdau-dau-vi-ngot-thanh-nha-lam-dac-san-tay-bac-333-i2420875706.html</v>
      </c>
      <c r="C9008" s="10" t="s">
        <v>9008</v>
      </c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>
      <c r="A9009" s="8">
        <v>13863.0</v>
      </c>
      <c r="B9009" s="9" t="str">
        <f>HYPERLINK("https://www.lazada.vn/products/1-thung-24-ly-modern-lau-thai-tom-chua-cay-goi-65g-i2855480367.html", "https://www.lazada.vn/products/1-thung-24-ly-modern-lau-thai-tom-chua-cay-goi-65g-i2855480367.html")</f>
        <v>https://www.lazada.vn/products/1-thung-24-ly-modern-lau-thai-tom-chua-cay-goi-65g-i2855480367.html</v>
      </c>
      <c r="C9009" s="10" t="s">
        <v>9009</v>
      </c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>
      <c r="A9010" s="8">
        <v>13864.0</v>
      </c>
      <c r="B9010" s="9" t="str">
        <f>HYPERLINK("https://www.lazada.vn/products/masala-oats-saffola-38g-i2842051674.html", "https://www.lazada.vn/products/masala-oats-saffola-38g-i2842051674.html")</f>
        <v>https://www.lazada.vn/products/masala-oats-saffola-38g-i2842051674.html</v>
      </c>
      <c r="C9010" s="10" t="s">
        <v>9010</v>
      </c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>
      <c r="A9011" s="8">
        <v>13865.0</v>
      </c>
      <c r="B9011" s="9" t="str">
        <f>HYPERLINK("https://www.lazada.vn/products/mi-choi-sriracha-ly-65g-vi-nguyen-ban-i2840958138.html", "https://www.lazada.vn/products/mi-choi-sriracha-ly-65g-vi-nguyen-ban-i2840958138.html")</f>
        <v>https://www.lazada.vn/products/mi-choi-sriracha-ly-65g-vi-nguyen-ban-i2840958138.html</v>
      </c>
      <c r="C9011" s="10" t="s">
        <v>9011</v>
      </c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>
      <c r="A9012" s="8">
        <v>13866.0</v>
      </c>
      <c r="B9012" s="9" t="str">
        <f>HYPERLINK("https://www.lazada.vn/products/mi-choi-sriracha-ly-65g-vi-ga-i2840954080.html", "https://www.lazada.vn/products/mi-choi-sriracha-ly-65g-vi-ga-i2840954080.html")</f>
        <v>https://www.lazada.vn/products/mi-choi-sriracha-ly-65g-vi-ga-i2840954080.html</v>
      </c>
      <c r="C9012" s="10" t="s">
        <v>9012</v>
      </c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>
      <c r="A9013" s="8">
        <v>13867.0</v>
      </c>
      <c r="B9013" s="9" t="str">
        <f>HYPERLINK("https://www.lazada.vn/products/my-tron-indomi-4-goi-vi-bot-cay-i2834641857.html", "https://www.lazada.vn/products/my-tron-indomi-4-goi-vi-bot-cay-i2834641857.html")</f>
        <v>https://www.lazada.vn/products/my-tron-indomi-4-goi-vi-bot-cay-i2834641857.html</v>
      </c>
      <c r="C9013" s="10" t="s">
        <v>9013</v>
      </c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>
      <c r="A9014" s="8">
        <v>13868.0</v>
      </c>
      <c r="B9014" s="9" t="str">
        <f>HYPERLINK("https://www.lazada.vn/products/mi-hao-hao-handy-chua-cay-ly-67gam-i2827647628.html", "https://www.lazada.vn/products/mi-hao-hao-handy-chua-cay-ly-67gam-i2827647628.html")</f>
        <v>https://www.lazada.vn/products/mi-hao-hao-handy-chua-cay-ly-67gam-i2827647628.html</v>
      </c>
      <c r="C9014" s="10" t="s">
        <v>9014</v>
      </c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>
      <c r="A9015" s="8">
        <v>13869.0</v>
      </c>
      <c r="B9015" s="9" t="str">
        <f>HYPERLINK("https://www.lazada.vn/products/mi-y-spaghetti-500g-no4-balducci-i2826130307.html", "https://www.lazada.vn/products/mi-y-spaghetti-500g-no4-balducci-i2826130307.html")</f>
        <v>https://www.lazada.vn/products/mi-y-spaghetti-500g-no4-balducci-i2826130307.html</v>
      </c>
      <c r="C9015" s="10" t="s">
        <v>9015</v>
      </c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>
      <c r="A9016" s="8">
        <v>13870.0</v>
      </c>
      <c r="B9016" s="9" t="str">
        <f>HYPERLINK("https://www.lazada.vn/products/date-moi-combo-6-mi-ly-modern-vi-lau-tha-tom-65gr-i2824731181.html", "https://www.lazada.vn/products/date-moi-combo-6-mi-ly-modern-vi-lau-tha-tom-65gr-i2824731181.html")</f>
        <v>https://www.lazada.vn/products/date-moi-combo-6-mi-ly-modern-vi-lau-tha-tom-65gr-i2824731181.html</v>
      </c>
      <c r="C9016" s="10" t="s">
        <v>9016</v>
      </c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>
      <c r="A9017" s="8">
        <v>13871.0</v>
      </c>
      <c r="B9017" s="9" t="str">
        <f>HYPERLINK("https://www.lazada.vn/products/date-moi-combo-6-mi-ly-modern-vi-lau-tha-tom-65gr-i2824634508.html", "https://www.lazada.vn/products/date-moi-combo-6-mi-ly-modern-vi-lau-tha-tom-65gr-i2824634508.html")</f>
        <v>https://www.lazada.vn/products/date-moi-combo-6-mi-ly-modern-vi-lau-tha-tom-65gr-i2824634508.html</v>
      </c>
      <c r="C9017" s="10" t="s">
        <v>9017</v>
      </c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>
      <c r="A9018" s="8">
        <v>13872.0</v>
      </c>
      <c r="B9018" s="9" t="str">
        <f>HYPERLINK("https://www.lazada.vn/products/set-lam-bap-rang-bo-i1582368058.html", "https://www.lazada.vn/products/set-lam-bap-rang-bo-i1582368058.html")</f>
        <v>https://www.lazada.vn/products/set-lam-bap-rang-bo-i1582368058.html</v>
      </c>
      <c r="C9018" s="10" t="s">
        <v>9018</v>
      </c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>
      <c r="A9019" s="8">
        <v>13873.0</v>
      </c>
      <c r="B9019" s="9" t="str">
        <f>HYPERLINK("https://www.lazada.vn/products/combo-2-hu-chanh-dao-mat-ong-duong-phen-giam-ho-rat-hong-gac-garden-550ml-tang-1-chai-dau-gac-an-dam-gac-olive-60ml-i2659216773.html", "https://www.lazada.vn/products/combo-2-hu-chanh-dao-mat-ong-duong-phen-giam-ho-rat-hong-gac-garden-550ml-tang-1-chai-dau-gac-an-dam-gac-olive-60ml-i2659216773.html")</f>
        <v>https://www.lazada.vn/products/combo-2-hu-chanh-dao-mat-ong-duong-phen-giam-ho-rat-hong-gac-garden-550ml-tang-1-chai-dau-gac-an-dam-gac-olive-60ml-i2659216773.html</v>
      </c>
      <c r="C9019" s="10" t="s">
        <v>9019</v>
      </c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>
      <c r="A9020" s="8">
        <v>13874.0</v>
      </c>
      <c r="B9020" s="9" t="str">
        <f>HYPERLINK("https://www.lazada.vn/products/chai-400g-siro-duong-den-han-quoctach-le-can-2-lit-i2418740972.html", "https://www.lazada.vn/products/chai-400g-siro-duong-den-han-quoctach-le-can-2-lit-i2418740972.html")</f>
        <v>https://www.lazada.vn/products/chai-400g-siro-duong-den-han-quoctach-le-can-2-lit-i2418740972.html</v>
      </c>
      <c r="C9020" s="10" t="s">
        <v>9020</v>
      </c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>
      <c r="A9021" s="8">
        <v>13875.0</v>
      </c>
      <c r="B9021" s="9" t="str">
        <f>HYPERLINK("https://www.lazada.vn/products/1-kg-ngo-my-lam-bap-rang-bo-hang-moi-bap-no-deu-i1577578757.html", "https://www.lazada.vn/products/1-kg-ngo-my-lam-bap-rang-bo-hang-moi-bap-no-deu-i1577578757.html")</f>
        <v>https://www.lazada.vn/products/1-kg-ngo-my-lam-bap-rang-bo-hang-moi-bap-no-deu-i1577578757.html</v>
      </c>
      <c r="C9021" s="10" t="s">
        <v>9021</v>
      </c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>
      <c r="A9022" s="8">
        <v>13876.0</v>
      </c>
      <c r="B9022" s="9" t="str">
        <f>HYPERLINK("https://www.lazada.vn/products/thung-12-hop-1000ml-nuoc-dua-xiem-xanh-dua-dua-non-dua-xiem-nature-vico-fresh-yoosoo-i2657974268.html", "https://www.lazada.vn/products/thung-12-hop-1000ml-nuoc-dua-xiem-xanh-dua-dua-non-dua-xiem-nature-vico-fresh-yoosoo-i2657974268.html")</f>
        <v>https://www.lazada.vn/products/thung-12-hop-1000ml-nuoc-dua-xiem-xanh-dua-dua-non-dua-xiem-nature-vico-fresh-yoosoo-i2657974268.html</v>
      </c>
      <c r="C9022" s="10" t="s">
        <v>9022</v>
      </c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>
      <c r="A9023" s="8">
        <v>13877.0</v>
      </c>
      <c r="B9023" s="9" t="str">
        <f>HYPERLINK("https://www.lazada.vn/products/500gr-toi-ngam-chua-ngot-i2114988847.html", "https://www.lazada.vn/products/500gr-toi-ngam-chua-ngot-i2114988847.html")</f>
        <v>https://www.lazada.vn/products/500gr-toi-ngam-chua-ngot-i2114988847.html</v>
      </c>
      <c r="C9023" s="10" t="s">
        <v>9023</v>
      </c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>
      <c r="A9024" s="8">
        <v>13878.0</v>
      </c>
      <c r="B9024" s="9" t="str">
        <f>HYPERLINK("https://www.lazada.vn/products/1kg-banh-sua-mix-4-vi-it-duong-dau-do-so-co-la-mat-cha-2-goi-dac-san-ba-vi-hieu-con-bo-vang-khoang-70-thanh-i2919114562.html", "https://www.lazada.vn/products/1kg-banh-sua-mix-4-vi-it-duong-dau-do-so-co-la-mat-cha-2-goi-dac-san-ba-vi-hieu-con-bo-vang-khoang-70-thanh-i2919114562.html")</f>
        <v>https://www.lazada.vn/products/1kg-banh-sua-mix-4-vi-it-duong-dau-do-so-co-la-mat-cha-2-goi-dac-san-ba-vi-hieu-con-bo-vang-khoang-70-thanh-i2919114562.html</v>
      </c>
      <c r="C9024" s="10" t="s">
        <v>9024</v>
      </c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>
      <c r="A9025" s="8">
        <v>13879.0</v>
      </c>
      <c r="B9025" s="9" t="str">
        <f>HYPERLINK("https://www.lazada.vn/products/ruou-vang-do-cf-collefrisio-semis-i2400755975.html", "https://www.lazada.vn/products/ruou-vang-do-cf-collefrisio-semis-i2400755975.html")</f>
        <v>https://www.lazada.vn/products/ruou-vang-do-cf-collefrisio-semis-i2400755975.html</v>
      </c>
      <c r="C9025" s="10" t="s">
        <v>9025</v>
      </c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>
      <c r="A9026" s="8">
        <v>13880.0</v>
      </c>
      <c r="B9026" s="9" t="str">
        <f>HYPERLINK("https://www.lazada.vn/products/hop-qua-luc-bao-yen-to-baby-0618-song-phat-tinh-che-kem-topping-tao-do-dong-trung-hat-chia-duong-phen-i2945591380.html", "https://www.lazada.vn/products/hop-qua-luc-bao-yen-to-baby-0618-song-phat-tinh-che-kem-topping-tao-do-dong-trung-hat-chia-duong-phen-i2945591380.html")</f>
        <v>https://www.lazada.vn/products/hop-qua-luc-bao-yen-to-baby-0618-song-phat-tinh-che-kem-topping-tao-do-dong-trung-hat-chia-duong-phen-i2945591380.html</v>
      </c>
      <c r="C9026" s="10" t="s">
        <v>9026</v>
      </c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>
      <c r="A9027" s="8">
        <v>13881.0</v>
      </c>
      <c r="B9027" s="9" t="str">
        <f>HYPERLINK("https://www.lazada.vn/products/coca-cola-nhat-chai-250ml-thung-30-chai-nhom-date-1223-i1947955582.html", "https://www.lazada.vn/products/coca-cola-nhat-chai-250ml-thung-30-chai-nhom-date-1223-i1947955582.html")</f>
        <v>https://www.lazada.vn/products/coca-cola-nhat-chai-250ml-thung-30-chai-nhom-date-1223-i1947955582.html</v>
      </c>
      <c r="C9027" s="10" t="s">
        <v>9027</v>
      </c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>
      <c r="A9028" s="8">
        <v>13882.0</v>
      </c>
      <c r="B9028" s="9" t="str">
        <f>HYPERLINK("https://www.lazada.vn/products/bap-rang-bo-cac-vi-phien-ban-sieu-bu-size-500g-i1534131435.html", "https://www.lazada.vn/products/bap-rang-bo-cac-vi-phien-ban-sieu-bu-size-500g-i1534131435.html")</f>
        <v>https://www.lazada.vn/products/bap-rang-bo-cac-vi-phien-ban-sieu-bu-size-500g-i1534131435.html</v>
      </c>
      <c r="C9028" s="10" t="s">
        <v>9028</v>
      </c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>
      <c r="A9029" s="8">
        <v>13883.0</v>
      </c>
      <c r="B9029" s="9" t="str">
        <f>HYPERLINK("https://www.lazada.vn/products/1-thung-gom-24-ly-modern-lau-thai-tom-65g-shop-thu-quan-i2823713654.html", "https://www.lazada.vn/products/1-thung-gom-24-ly-modern-lau-thai-tom-65g-shop-thu-quan-i2823713654.html")</f>
        <v>https://www.lazada.vn/products/1-thung-gom-24-ly-modern-lau-thai-tom-65g-shop-thu-quan-i2823713654.html</v>
      </c>
      <c r="C9029" s="10" t="s">
        <v>9029</v>
      </c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>
      <c r="A9030" s="8">
        <v>13884.0</v>
      </c>
      <c r="B9030" s="9" t="str">
        <f>HYPERLINK("https://www.lazada.vn/products/ruou-vang-y-collefrisio-cf-100-i2400731982.html", "https://www.lazada.vn/products/ruou-vang-y-collefrisio-cf-100-i2400731982.html")</f>
        <v>https://www.lazada.vn/products/ruou-vang-y-collefrisio-cf-100-i2400731982.html</v>
      </c>
      <c r="C9030" s="10" t="s">
        <v>9030</v>
      </c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>
      <c r="A9031" s="8">
        <v>13885.0</v>
      </c>
      <c r="B9031" s="9" t="str">
        <f>HYPERLINK("https://www.lazada.vn/products/combo-mini-banh-trang-phoi-suong-muoi-tep-hanh-phi-bo-beo-sot-tac-100g-banh-i2211635360.html", "https://www.lazada.vn/products/combo-mini-banh-trang-phoi-suong-muoi-tep-hanh-phi-bo-beo-sot-tac-100g-banh-i2211635360.html")</f>
        <v>https://www.lazada.vn/products/combo-mini-banh-trang-phoi-suong-muoi-tep-hanh-phi-bo-beo-sot-tac-100g-banh-i2211635360.html</v>
      </c>
      <c r="C9031" s="10" t="s">
        <v>9031</v>
      </c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>
      <c r="A9032" s="8">
        <v>13886.0</v>
      </c>
      <c r="B9032" s="9" t="str">
        <f>HYPERLINK("https://www.lazada.vn/products/ruou-vang-do-eremo-san-quirico-gold-nativ-750ml-i2400632273.html", "https://www.lazada.vn/products/ruou-vang-do-eremo-san-quirico-gold-nativ-750ml-i2400632273.html")</f>
        <v>https://www.lazada.vn/products/ruou-vang-do-eremo-san-quirico-gold-nativ-750ml-i2400632273.html</v>
      </c>
      <c r="C9032" s="10" t="s">
        <v>9032</v>
      </c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>
      <c r="A9033" s="8">
        <v>13887.0</v>
      </c>
      <c r="B9033" s="9" t="str">
        <f>HYPERLINK("https://www.lazada.vn/products/ruou-vang-secreto-de-viu-manent-cabernet-sauvignon-750ml-i2400616174.html", "https://www.lazada.vn/products/ruou-vang-secreto-de-viu-manent-cabernet-sauvignon-750ml-i2400616174.html")</f>
        <v>https://www.lazada.vn/products/ruou-vang-secreto-de-viu-manent-cabernet-sauvignon-750ml-i2400616174.html</v>
      </c>
      <c r="C9033" s="10" t="s">
        <v>9033</v>
      </c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>
      <c r="A9034" s="8">
        <v>13888.0</v>
      </c>
      <c r="B9034" s="9" t="str">
        <f>HYPERLINK("https://www.lazada.vn/products/ruou-vang-chile-palena-cabernet-sauvignon-i2400613265.html", "https://www.lazada.vn/products/ruou-vang-chile-palena-cabernet-sauvignon-i2400613265.html")</f>
        <v>https://www.lazada.vn/products/ruou-vang-chile-palena-cabernet-sauvignon-i2400613265.html</v>
      </c>
      <c r="C9034" s="10" t="s">
        <v>9034</v>
      </c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>
      <c r="A9035" s="8">
        <v>13889.0</v>
      </c>
      <c r="B9035" s="9" t="str">
        <f>HYPERLINK("https://www.lazada.vn/products/ruou-vang-secreto-de-viu-manent-carmenere-750ml-i2400586382.html", "https://www.lazada.vn/products/ruou-vang-secreto-de-viu-manent-carmenere-750ml-i2400586382.html")</f>
        <v>https://www.lazada.vn/products/ruou-vang-secreto-de-viu-manent-carmenere-750ml-i2400586382.html</v>
      </c>
      <c r="C9035" s="10" t="s">
        <v>9035</v>
      </c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>
      <c r="A9036" s="8">
        <v>13890.0</v>
      </c>
      <c r="B9036" s="9" t="str">
        <f>HYPERLINK("https://www.lazada.vn/products/ruou-vang-do-jacobs-creek-double-barrel-cabernet-sauvignon-nong-do-alc-140-750ml-khong-kem-hop-i2400556385.html", "https://www.lazada.vn/products/ruou-vang-do-jacobs-creek-double-barrel-cabernet-sauvignon-nong-do-alc-140-750ml-khong-kem-hop-i2400556385.html")</f>
        <v>https://www.lazada.vn/products/ruou-vang-do-jacobs-creek-double-barrel-cabernet-sauvignon-nong-do-alc-140-750ml-khong-kem-hop-i2400556385.html</v>
      </c>
      <c r="C9036" s="10" t="s">
        <v>9036</v>
      </c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>
      <c r="A9037" s="8">
        <v>13891.0</v>
      </c>
      <c r="B9037" s="9" t="str">
        <f>HYPERLINK("https://www.lazada.vn/products/nuoc-tang-luc-co-ga-monster-trang-energy-ultra-lon-355ml-i1717800967.html", "https://www.lazada.vn/products/nuoc-tang-luc-co-ga-monster-trang-energy-ultra-lon-355ml-i1717800967.html")</f>
        <v>https://www.lazada.vn/products/nuoc-tang-luc-co-ga-monster-trang-energy-ultra-lon-355ml-i1717800967.html</v>
      </c>
      <c r="C9037" s="10" t="s">
        <v>9037</v>
      </c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>
      <c r="A9038" s="8">
        <v>13892.0</v>
      </c>
      <c r="B9038" s="9" t="str">
        <f>HYPERLINK("https://www.lazada.vn/products/ruou-vang-do-bayanegra-blue-label-i2400555167.html", "https://www.lazada.vn/products/ruou-vang-do-bayanegra-blue-label-i2400555167.html")</f>
        <v>https://www.lazada.vn/products/ruou-vang-do-bayanegra-blue-label-i2400555167.html</v>
      </c>
      <c r="C9038" s="10" t="s">
        <v>9038</v>
      </c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>
      <c r="A9039" s="8">
        <v>13893.0</v>
      </c>
      <c r="B9039" s="9" t="str">
        <f>HYPERLINK("https://www.lazada.vn/products/ruou-vang-do-jacobs-creek-double-barrel-shiraz-nong-do-alc-146-750ml-khong-kem-hop-i2400546308.html", "https://www.lazada.vn/products/ruou-vang-do-jacobs-creek-double-barrel-shiraz-nong-do-alc-146-750ml-khong-kem-hop-i2400546308.html")</f>
        <v>https://www.lazada.vn/products/ruou-vang-do-jacobs-creek-double-barrel-shiraz-nong-do-alc-146-750ml-khong-kem-hop-i2400546308.html</v>
      </c>
      <c r="C9039" s="10" t="s">
        <v>9039</v>
      </c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>
      <c r="A9040" s="8">
        <v>13894.0</v>
      </c>
      <c r="B9040" s="9" t="str">
        <f>HYPERLINK("https://www.lazada.vn/products/ruou-vang-do-goru-verde-monastrell-jumilla-dop-145-i2400510322.html", "https://www.lazada.vn/products/ruou-vang-do-goru-verde-monastrell-jumilla-dop-145-i2400510322.html")</f>
        <v>https://www.lazada.vn/products/ruou-vang-do-goru-verde-monastrell-jumilla-dop-145-i2400510322.html</v>
      </c>
      <c r="C9040" s="10" t="s">
        <v>9040</v>
      </c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>
      <c r="A9041" s="8">
        <v>13895.0</v>
      </c>
      <c r="B9041" s="9" t="str">
        <f>HYPERLINK("https://www.lazada.vn/products/ruou-vang-wente-southern-hills-cabernet-sauvignon-i2400492563.html", "https://www.lazada.vn/products/ruou-vang-wente-southern-hills-cabernet-sauvignon-i2400492563.html")</f>
        <v>https://www.lazada.vn/products/ruou-vang-wente-southern-hills-cabernet-sauvignon-i2400492563.html</v>
      </c>
      <c r="C9041" s="10" t="s">
        <v>9041</v>
      </c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>
      <c r="A9042" s="8">
        <v>13896.0</v>
      </c>
      <c r="B9042" s="9" t="str">
        <f>HYPERLINK("https://www.lazada.vn/products/ruou-vang-do-bayanegra-black-label-i2400471611.html", "https://www.lazada.vn/products/ruou-vang-do-bayanegra-black-label-i2400471611.html")</f>
        <v>https://www.lazada.vn/products/ruou-vang-do-bayanegra-black-label-i2400471611.html</v>
      </c>
      <c r="C9042" s="10" t="s">
        <v>9042</v>
      </c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>
      <c r="A9043" s="8">
        <v>13897.0</v>
      </c>
      <c r="B9043" s="9" t="str">
        <f>HYPERLINK("https://www.lazada.vn/products/ruou-vang-wente-beyer-ranch-zinfandel-i2400439839.html", "https://www.lazada.vn/products/ruou-vang-wente-beyer-ranch-zinfandel-i2400439839.html")</f>
        <v>https://www.lazada.vn/products/ruou-vang-wente-beyer-ranch-zinfandel-i2400439839.html</v>
      </c>
      <c r="C9043" s="10" t="s">
        <v>9043</v>
      </c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>
      <c r="A9044" s="8">
        <v>13898.0</v>
      </c>
      <c r="B9044" s="9" t="str">
        <f>HYPERLINK("https://www.lazada.vn/products/combo-2-hop-ca-phe-pho-sua-nong-tang-2-ly-thu-tinh-ca-phe-i3052486508.html", "https://www.lazada.vn/products/combo-2-hop-ca-phe-pho-sua-nong-tang-2-ly-thu-tinh-ca-phe-i3052486508.html")</f>
        <v>https://www.lazada.vn/products/combo-2-hop-ca-phe-pho-sua-nong-tang-2-ly-thu-tinh-ca-phe-i3052486508.html</v>
      </c>
      <c r="C9044" s="10" t="s">
        <v>9044</v>
      </c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>
      <c r="A9045" s="8">
        <v>13899.0</v>
      </c>
      <c r="B9045" s="9" t="str">
        <f>HYPERLINK("https://www.lazada.vn/products/500g-banh-mix-dai-loan-du-vi-cac-loai-banh-bong-lan-nhieu-loai-thom-ngon-i2918523584.html", "https://www.lazada.vn/products/500g-banh-mix-dai-loan-du-vi-cac-loai-banh-bong-lan-nhieu-loai-thom-ngon-i2918523584.html")</f>
        <v>https://www.lazada.vn/products/500g-banh-mix-dai-loan-du-vi-cac-loai-banh-bong-lan-nhieu-loai-thom-ngon-i2918523584.html</v>
      </c>
      <c r="C9045" s="10" t="s">
        <v>9045</v>
      </c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>
      <c r="A9046" s="8">
        <v>13900.0</v>
      </c>
      <c r="B9046" s="9" t="str">
        <f>HYPERLINK("https://www.lazada.vn/products/ruou-vang-do-siglo-saco-tempranillo-750ml-i2400428811.html", "https://www.lazada.vn/products/ruou-vang-do-siglo-saco-tempranillo-750ml-i2400428811.html")</f>
        <v>https://www.lazada.vn/products/ruou-vang-do-siglo-saco-tempranillo-750ml-i2400428811.html</v>
      </c>
      <c r="C9046" s="10" t="s">
        <v>9046</v>
      </c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>
      <c r="A9047" s="8">
        <v>13901.0</v>
      </c>
      <c r="B9047" s="9" t="str">
        <f>HYPERLINK("https://www.lazada.vn/products/1kg-mi-gao-kho-i2823118979.html", "https://www.lazada.vn/products/1kg-mi-gao-kho-i2823118979.html")</f>
        <v>https://www.lazada.vn/products/1kg-mi-gao-kho-i2823118979.html</v>
      </c>
      <c r="C9047" s="10" t="s">
        <v>9047</v>
      </c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>
      <c r="A9048" s="8">
        <v>13902.0</v>
      </c>
      <c r="B9048" s="9" t="str">
        <f>HYPERLINK("https://www.lazada.vn/products/ruou-vang-mercer-bros-cabernet-sauvignon-i2400421794.html", "https://www.lazada.vn/products/ruou-vang-mercer-bros-cabernet-sauvignon-i2400421794.html")</f>
        <v>https://www.lazada.vn/products/ruou-vang-mercer-bros-cabernet-sauvignon-i2400421794.html</v>
      </c>
      <c r="C9048" s="10" t="s">
        <v>9048</v>
      </c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>
      <c r="A9049" s="8">
        <v>13903.0</v>
      </c>
      <c r="B9049" s="9" t="str">
        <f>HYPERLINK("https://www.lazada.vn/products/thung-mi-yesmom-11ly-i2818013076.html", "https://www.lazada.vn/products/thung-mi-yesmom-11ly-i2818013076.html")</f>
        <v>https://www.lazada.vn/products/thung-mi-yesmom-11ly-i2818013076.html</v>
      </c>
      <c r="C9049" s="10" t="s">
        <v>9049</v>
      </c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>
      <c r="A9050" s="8">
        <v>13904.0</v>
      </c>
      <c r="B9050" s="9" t="str">
        <f>HYPERLINK("https://www.lazada.vn/products/banh-con-ca-bong-bang-orion-nhan-mochi-socola-dau-do-tui-145g-hop-232g-sieu-ngon-i2917375172.html", "https://www.lazada.vn/products/banh-con-ca-bong-bang-orion-nhan-mochi-socola-dau-do-tui-145g-hop-232g-sieu-ngon-i2917375172.html")</f>
        <v>https://www.lazada.vn/products/banh-con-ca-bong-bang-orion-nhan-mochi-socola-dau-do-tui-145g-hop-232g-sieu-ngon-i2917375172.html</v>
      </c>
      <c r="C9050" s="10" t="s">
        <v>9050</v>
      </c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>
      <c r="A9051" s="8">
        <v>13905.0</v>
      </c>
      <c r="B9051" s="9" t="str">
        <f>HYPERLINK("https://www.lazada.vn/products/thung-mi-modern-11ly-i2817996114.html", "https://www.lazada.vn/products/thung-mi-modern-11ly-i2817996114.html")</f>
        <v>https://www.lazada.vn/products/thung-mi-modern-11ly-i2817996114.html</v>
      </c>
      <c r="C9051" s="10" t="s">
        <v>9051</v>
      </c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>
      <c r="A9052" s="8">
        <v>13906.0</v>
      </c>
      <c r="B9052" s="9" t="str">
        <f>HYPERLINK("https://www.lazada.vn/products/ruou-vang-do-bayanegra-cabernet-sauvignon-750ml-i2400412855.html", "https://www.lazada.vn/products/ruou-vang-do-bayanegra-cabernet-sauvignon-750ml-i2400412855.html")</f>
        <v>https://www.lazada.vn/products/ruou-vang-do-bayanegra-cabernet-sauvignon-750ml-i2400412855.html</v>
      </c>
      <c r="C9052" s="10" t="s">
        <v>9052</v>
      </c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>
      <c r="A9053" s="8">
        <v>13907.0</v>
      </c>
      <c r="B9053" s="9" t="str">
        <f>HYPERLINK("https://www.lazada.vn/products/banh-qui-trung-muoi-dai-loan-i2916265014.html", "https://www.lazada.vn/products/banh-qui-trung-muoi-dai-loan-i2916265014.html")</f>
        <v>https://www.lazada.vn/products/banh-qui-trung-muoi-dai-loan-i2916265014.html</v>
      </c>
      <c r="C9053" s="10" t="s">
        <v>9053</v>
      </c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>
      <c r="A9054" s="8">
        <v>13908.0</v>
      </c>
      <c r="B9054" s="9" t="str">
        <f>HYPERLINK("https://www.lazada.vn/products/mi-nui-zwierzaki-i2817959076.html", "https://www.lazada.vn/products/mi-nui-zwierzaki-i2817959076.html")</f>
        <v>https://www.lazada.vn/products/mi-nui-zwierzaki-i2817959076.html</v>
      </c>
      <c r="C9054" s="10" t="s">
        <v>9054</v>
      </c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>
      <c r="A9055" s="8">
        <v>13909.0</v>
      </c>
      <c r="B9055" s="9" t="str">
        <f>HYPERLINK("https://www.lazada.vn/products/banh-sandwich-orion-bon-pho-mai-cha-bong-goi-150g-i2916251192.html", "https://www.lazada.vn/products/banh-sandwich-orion-bon-pho-mai-cha-bong-goi-150g-i2916251192.html")</f>
        <v>https://www.lazada.vn/products/banh-sandwich-orion-bon-pho-mai-cha-bong-goi-150g-i2916251192.html</v>
      </c>
      <c r="C9055" s="10" t="s">
        <v>9055</v>
      </c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>
      <c r="A9056" s="8">
        <v>13910.0</v>
      </c>
      <c r="B9056" s="9" t="str">
        <f>HYPERLINK("https://www.lazada.vn/products/ruou-vang-hax-cabernet-sauvignon-750ml-i2400405940.html", "https://www.lazada.vn/products/ruou-vang-hax-cabernet-sauvignon-750ml-i2400405940.html")</f>
        <v>https://www.lazada.vn/products/ruou-vang-hax-cabernet-sauvignon-750ml-i2400405940.html</v>
      </c>
      <c r="C9056" s="10" t="s">
        <v>9056</v>
      </c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>
      <c r="A9057" s="8">
        <v>13911.0</v>
      </c>
      <c r="B9057" s="9" t="str">
        <f>HYPERLINK("https://www.lazada.vn/products/nui-motomaniaki-250g-i2817952093.html", "https://www.lazada.vn/products/nui-motomaniaki-250g-i2817952093.html")</f>
        <v>https://www.lazada.vn/products/nui-motomaniaki-250g-i2817952093.html</v>
      </c>
      <c r="C9057" s="10" t="s">
        <v>9057</v>
      </c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>
      <c r="A9058" s="8">
        <v>13912.0</v>
      </c>
      <c r="B9058" s="9" t="str">
        <f>HYPERLINK("https://www.lazada.vn/products/tui-1kg-banh-nuong-kem-sau-rieng-lai-phu-i2916228189.html", "https://www.lazada.vn/products/tui-1kg-banh-nuong-kem-sau-rieng-lai-phu-i2916228189.html")</f>
        <v>https://www.lazada.vn/products/tui-1kg-banh-nuong-kem-sau-rieng-lai-phu-i2916228189.html</v>
      </c>
      <c r="C9058" s="10" t="s">
        <v>9058</v>
      </c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>
      <c r="A9059" s="8">
        <v>13913.0</v>
      </c>
      <c r="B9059" s="9" t="str">
        <f>HYPERLINK("https://www.lazada.vn/products/ruou-vang-do-chateau-auziac-paretlongue-instinct-terrien-2017-750ml-i2400316229.html", "https://www.lazada.vn/products/ruou-vang-do-chateau-auziac-paretlongue-instinct-terrien-2017-750ml-i2400316229.html")</f>
        <v>https://www.lazada.vn/products/ruou-vang-do-chateau-auziac-paretlongue-instinct-terrien-2017-750ml-i2400316229.html</v>
      </c>
      <c r="C9059" s="10" t="s">
        <v>9059</v>
      </c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>
      <c r="A9060" s="8">
        <v>13914.0</v>
      </c>
      <c r="B9060" s="9" t="str">
        <f>HYPERLINK("https://www.lazada.vn/products/mi-somen-bo-sung-canxi-i2817874687.html", "https://www.lazada.vn/products/mi-somen-bo-sung-canxi-i2817874687.html")</f>
        <v>https://www.lazada.vn/products/mi-somen-bo-sung-canxi-i2817874687.html</v>
      </c>
      <c r="C9060" s="10" t="s">
        <v>9060</v>
      </c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>
      <c r="A9061" s="8">
        <v>13915.0</v>
      </c>
      <c r="B9061" s="9" t="str">
        <f>HYPERLINK("https://www.lazada.vn/products/tet-banh-gung-tao-do-khong-duong-250g-banh-keo-i2916184721.html", "https://www.lazada.vn/products/tet-banh-gung-tao-do-khong-duong-250g-banh-keo-i2916184721.html")</f>
        <v>https://www.lazada.vn/products/tet-banh-gung-tao-do-khong-duong-250g-banh-keo-i2916184721.html</v>
      </c>
      <c r="C9061" s="10" t="s">
        <v>9061</v>
      </c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>
      <c r="A9062" s="8">
        <v>13916.0</v>
      </c>
      <c r="B9062" s="9" t="str">
        <f>HYPERLINK("https://www.lazada.vn/products/ruou-vang-y-donna-marzia-negroamaro-i2400305326.html", "https://www.lazada.vn/products/ruou-vang-y-donna-marzia-negroamaro-i2400305326.html")</f>
        <v>https://www.lazada.vn/products/ruou-vang-y-donna-marzia-negroamaro-i2400305326.html</v>
      </c>
      <c r="C9062" s="10" t="s">
        <v>9062</v>
      </c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>
      <c r="A9063" s="8">
        <v>13917.0</v>
      </c>
      <c r="B9063" s="9" t="str">
        <f>HYPERLINK("https://www.lazada.vn/products/acecook-combo-4-mi-ly-modern-vi-lau-thai-tom-65gr-i2806132048.html", "https://www.lazada.vn/products/acecook-combo-4-mi-ly-modern-vi-lau-thai-tom-65gr-i2806132048.html")</f>
        <v>https://www.lazada.vn/products/acecook-combo-4-mi-ly-modern-vi-lau-thai-tom-65gr-i2806132048.html</v>
      </c>
      <c r="C9063" s="10" t="s">
        <v>9063</v>
      </c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>
      <c r="A9064" s="8">
        <v>13918.0</v>
      </c>
      <c r="B9064" s="9" t="str">
        <f>HYPERLINK("https://www.lazada.vn/products/300gram-xoai-say-deo-dac-san-nha-trang-i1817638539.html", "https://www.lazada.vn/products/300gram-xoai-say-deo-dac-san-nha-trang-i1817638539.html")</f>
        <v>https://www.lazada.vn/products/300gram-xoai-say-deo-dac-san-nha-trang-i1817638539.html</v>
      </c>
      <c r="C9064" s="10" t="s">
        <v>9064</v>
      </c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>
      <c r="A9065" s="8">
        <v>13919.0</v>
      </c>
      <c r="B9065" s="9" t="str">
        <f>HYPERLINK("https://www.lazada.vn/products/banh-karo-bo-trung-gion-richy-tui-150gr-i2916122534.html", "https://www.lazada.vn/products/banh-karo-bo-trung-gion-richy-tui-150gr-i2916122534.html")</f>
        <v>https://www.lazada.vn/products/banh-karo-bo-trung-gion-richy-tui-150gr-i2916122534.html</v>
      </c>
      <c r="C9065" s="10" t="s">
        <v>9065</v>
      </c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>
      <c r="A9066" s="8">
        <v>13920.0</v>
      </c>
      <c r="B9066" s="9" t="str">
        <f>HYPERLINK("https://www.lazada.vn/products/ruou-vang-motero-vino-rosso-2021-750ml-i2400155106.html", "https://www.lazada.vn/products/ruou-vang-motero-vino-rosso-2021-750ml-i2400155106.html")</f>
        <v>https://www.lazada.vn/products/ruou-vang-motero-vino-rosso-2021-750ml-i2400155106.html</v>
      </c>
      <c r="C9066" s="10" t="s">
        <v>9066</v>
      </c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>
      <c r="A9067" s="8">
        <v>13921.0</v>
      </c>
      <c r="B9067" s="9" t="str">
        <f>HYPERLINK("https://www.lazada.vn/products/acecook-combo-3-mi-ly-modern-vi-lau-thai-tom-65gr-i2806101277.html", "https://www.lazada.vn/products/acecook-combo-3-mi-ly-modern-vi-lau-thai-tom-65gr-i2806101277.html")</f>
        <v>https://www.lazada.vn/products/acecook-combo-3-mi-ly-modern-vi-lau-thai-tom-65gr-i2806101277.html</v>
      </c>
      <c r="C9067" s="10" t="s">
        <v>9067</v>
      </c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>
      <c r="A9068" s="8">
        <v>13922.0</v>
      </c>
      <c r="B9068" s="9" t="str">
        <f>HYPERLINK("https://www.lazada.vn/products/500gr-banh-qui-trung-muoi-dai-loan-i2916082725.html", "https://www.lazada.vn/products/500gr-banh-qui-trung-muoi-dai-loan-i2916082725.html")</f>
        <v>https://www.lazada.vn/products/500gr-banh-qui-trung-muoi-dai-loan-i2916082725.html</v>
      </c>
      <c r="C9068" s="10" t="s">
        <v>9068</v>
      </c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>
      <c r="A9069" s="8">
        <v>13923.0</v>
      </c>
      <c r="B9069" s="9" t="str">
        <f>HYPERLINK("https://www.lazada.vn/products/ruou-vang-do-phap-croix-de-rousset-caillau-i2400128181.html", "https://www.lazada.vn/products/ruou-vang-do-phap-croix-de-rousset-caillau-i2400128181.html")</f>
        <v>https://www.lazada.vn/products/ruou-vang-do-phap-croix-de-rousset-caillau-i2400128181.html</v>
      </c>
      <c r="C9069" s="10" t="s">
        <v>9069</v>
      </c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>
      <c r="A9070" s="8">
        <v>13924.0</v>
      </c>
      <c r="B9070" s="9" t="str">
        <f>HYPERLINK("https://www.lazada.vn/products/combo-3-mi-tho-cung-dinh-lau-tom-bo-heo-mix-3-vi-soi-mi-khoai-tay-85gr-tho-i2806098308.html", "https://www.lazada.vn/products/combo-3-mi-tho-cung-dinh-lau-tom-bo-heo-mix-3-vi-soi-mi-khoai-tay-85gr-tho-i2806098308.html")</f>
        <v>https://www.lazada.vn/products/combo-3-mi-tho-cung-dinh-lau-tom-bo-heo-mix-3-vi-soi-mi-khoai-tay-85gr-tho-i2806098308.html</v>
      </c>
      <c r="C9070" s="10" t="s">
        <v>9070</v>
      </c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>
      <c r="A9071" s="8">
        <v>13925.0</v>
      </c>
      <c r="B9071" s="9" t="str">
        <f>HYPERLINK("https://www.lazada.vn/products/banh-cuon-jambon-thit-nuong-thanh-huong-i2915907908.html", "https://www.lazada.vn/products/banh-cuon-jambon-thit-nuong-thanh-huong-i2915907908.html")</f>
        <v>https://www.lazada.vn/products/banh-cuon-jambon-thit-nuong-thanh-huong-i2915907908.html</v>
      </c>
      <c r="C9071" s="10" t="s">
        <v>9071</v>
      </c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>
      <c r="A9072" s="8">
        <v>13926.0</v>
      </c>
      <c r="B9072" s="9" t="str">
        <f>HYPERLINK("https://www.lazada.vn/products/siro-vina-syrup-chai-750ml-du-cac-vi-i2418610128.html", "https://www.lazada.vn/products/siro-vina-syrup-chai-750ml-du-cac-vi-i2418610128.html")</f>
        <v>https://www.lazada.vn/products/siro-vina-syrup-chai-750ml-du-cac-vi-i2418610128.html</v>
      </c>
      <c r="C9072" s="10" t="s">
        <v>9072</v>
      </c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>
      <c r="A9073" s="8">
        <v>13927.0</v>
      </c>
      <c r="B9073" s="9" t="str">
        <f>HYPERLINK("https://www.lazada.vn/products/hop-cao-cap-1-chai-ruou-vang-masso-antico-il-potere-i2400123007.html", "https://www.lazada.vn/products/hop-cao-cap-1-chai-ruou-vang-masso-antico-il-potere-i2400123007.html")</f>
        <v>https://www.lazada.vn/products/hop-cao-cap-1-chai-ruou-vang-masso-antico-il-potere-i2400123007.html</v>
      </c>
      <c r="C9073" s="10" t="s">
        <v>9073</v>
      </c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>
      <c r="A9074" s="8">
        <v>13928.0</v>
      </c>
      <c r="B9074" s="9" t="str">
        <f>HYPERLINK("https://www.lazada.vn/products/tra-viet-quat-mam-xoi-acai-berry-acai-ho-tro-thanh-loc-co-the-giup-dao-thai-doc-to-cai-thien-tieu-hoa-duy-tri-can-nang-on-dinh-tang-cuong-suc-khoe-i3040460670.html", "https://www.lazada.vn/products/tra-viet-quat-mam-xoi-acai-berry-acai-ho-tro-thanh-loc-co-the-giup-dao-thai-doc-to-cai-thien-tieu-hoa-duy-tri-can-nang-on-dinh-tang-cuong-suc-khoe-i3040460670.html")</f>
        <v>https://www.lazada.vn/products/tra-viet-quat-mam-xoi-acai-berry-acai-ho-tro-thanh-loc-co-the-giup-dao-thai-doc-to-cai-thien-tieu-hoa-duy-tri-can-nang-on-dinh-tang-cuong-suc-khoe-i3040460670.html</v>
      </c>
      <c r="C9074" s="10" t="s">
        <v>9074</v>
      </c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>
      <c r="A9075" s="8">
        <v>13929.0</v>
      </c>
      <c r="B9075" s="9" t="str">
        <f>HYPERLINK("https://www.lazada.vn/products/nuoc-ngot-co-ga-fanta-nho-chai-300ml-i1918230375.html", "https://www.lazada.vn/products/nuoc-ngot-co-ga-fanta-nho-chai-300ml-i1918230375.html")</f>
        <v>https://www.lazada.vn/products/nuoc-ngot-co-ga-fanta-nho-chai-300ml-i1918230375.html</v>
      </c>
      <c r="C9075" s="10" t="s">
        <v>9075</v>
      </c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>
      <c r="A9076" s="8">
        <v>13930.0</v>
      </c>
      <c r="B9076" s="9" t="str">
        <f>HYPERLINK("https://www.lazada.vn/products/banh-ritz-nhan-pho-mai-118g-i2915833798.html", "https://www.lazada.vn/products/banh-ritz-nhan-pho-mai-118g-i2915833798.html")</f>
        <v>https://www.lazada.vn/products/banh-ritz-nhan-pho-mai-118g-i2915833798.html</v>
      </c>
      <c r="C9076" s="10" t="s">
        <v>9076</v>
      </c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>
      <c r="A9077" s="8">
        <v>13931.0</v>
      </c>
      <c r="B9077" s="9" t="str">
        <f>HYPERLINK("https://www.lazada.vn/products/acecook-thung-24-mi-ly-modern-lau-thai-tom-65gr-i2806089534.html", "https://www.lazada.vn/products/acecook-thung-24-mi-ly-modern-lau-thai-tom-65gr-i2806089534.html")</f>
        <v>https://www.lazada.vn/products/acecook-thung-24-mi-ly-modern-lau-thai-tom-65gr-i2806089534.html</v>
      </c>
      <c r="C9077" s="10" t="s">
        <v>9077</v>
      </c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>
      <c r="A9078" s="8">
        <v>13932.0</v>
      </c>
      <c r="B9078" s="9" t="str">
        <f>HYPERLINK("https://www.lazada.vn/products/900g-sua-non-cao-xuong-ngua-bach-dung-cho-nguoi-truong-thanh-bi-te-buon-chan-tay-chuot-rut-do-loang-xuong-xop-xuong-i3015561436.html", "https://www.lazada.vn/products/900g-sua-non-cao-xuong-ngua-bach-dung-cho-nguoi-truong-thanh-bi-te-buon-chan-tay-chuot-rut-do-loang-xuong-xop-xuong-i3015561436.html")</f>
        <v>https://www.lazada.vn/products/900g-sua-non-cao-xuong-ngua-bach-dung-cho-nguoi-truong-thanh-bi-te-buon-chan-tay-chuot-rut-do-loang-xuong-xop-xuong-i3015561436.html</v>
      </c>
      <c r="C9078" s="10" t="s">
        <v>9078</v>
      </c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>
      <c r="A9079" s="8">
        <v>13933.0</v>
      </c>
      <c r="B9079" s="9" t="str">
        <f>HYPERLINK("https://www.lazada.vn/products/ruou-vang-do-les-jamelles-pinot-noir-2020-i2400122180.html", "https://www.lazada.vn/products/ruou-vang-do-les-jamelles-pinot-noir-2020-i2400122180.html")</f>
        <v>https://www.lazada.vn/products/ruou-vang-do-les-jamelles-pinot-noir-2020-i2400122180.html</v>
      </c>
      <c r="C9079" s="10" t="s">
        <v>9079</v>
      </c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>
      <c r="A9080" s="8">
        <v>13934.0</v>
      </c>
      <c r="B9080" s="9" t="str">
        <f>HYPERLINK("https://www.lazada.vn/products/combo-3-mi-ly-khoai-tay-omachi-xot-bo-ham-ly-70g-x3-i2806088587.html", "https://www.lazada.vn/products/combo-3-mi-ly-khoai-tay-omachi-xot-bo-ham-ly-70g-x3-i2806088587.html")</f>
        <v>https://www.lazada.vn/products/combo-3-mi-ly-khoai-tay-omachi-xot-bo-ham-ly-70g-x3-i2806088587.html</v>
      </c>
      <c r="C9080" s="10" t="s">
        <v>9080</v>
      </c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>
      <c r="A9081" s="8">
        <v>13935.0</v>
      </c>
      <c r="B9081" s="9" t="str">
        <f>HYPERLINK("https://www.lazada.vn/products/high-quality-spot-inventory-astragalus-codonopsis-soy-milk-powder-bot-sua-dau-nanh-astragalus-dangshen-i2973711767.html", "https://www.lazada.vn/products/high-quality-spot-inventory-astragalus-codonopsis-soy-milk-powder-bot-sua-dau-nanh-astragalus-dangshen-i2973711767.html")</f>
        <v>https://www.lazada.vn/products/high-quality-spot-inventory-astragalus-codonopsis-soy-milk-powder-bot-sua-dau-nanh-astragalus-dangshen-i2973711767.html</v>
      </c>
      <c r="C9081" s="10" t="s">
        <v>9081</v>
      </c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>
      <c r="A9082" s="8">
        <v>13936.0</v>
      </c>
      <c r="B9082" s="9" t="str">
        <f>HYPERLINK("https://www.lazada.vn/products/ruou-vang-passone-puglia-i2400097109.html", "https://www.lazada.vn/products/ruou-vang-passone-puglia-i2400097109.html")</f>
        <v>https://www.lazada.vn/products/ruou-vang-passone-puglia-i2400097109.html</v>
      </c>
      <c r="C9082" s="10" t="s">
        <v>9082</v>
      </c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>
      <c r="A9083" s="8">
        <v>13937.0</v>
      </c>
      <c r="B9083" s="9" t="str">
        <f>HYPERLINK("https://www.lazada.vn/products/socola-nhan-ruou-anthon-berg-chocolate-liqueurs-cocktails-flavours-with-a-delicious-liquid-filling-cua-danmark-hop-16-chai-250gr-i2864495469.html", "https://www.lazada.vn/products/socola-nhan-ruou-anthon-berg-chocolate-liqueurs-cocktails-flavours-with-a-delicious-liquid-filling-cua-danmark-hop-16-chai-250gr-i2864495469.html")</f>
        <v>https://www.lazada.vn/products/socola-nhan-ruou-anthon-berg-chocolate-liqueurs-cocktails-flavours-with-a-delicious-liquid-filling-cua-danmark-hop-16-chai-250gr-i2864495469.html</v>
      </c>
      <c r="C9083" s="10" t="s">
        <v>9083</v>
      </c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>
      <c r="A9084" s="8">
        <v>13938.0</v>
      </c>
      <c r="B9084" s="9" t="str">
        <f>HYPERLINK("https://www.lazada.vn/products/combo-6-banh-sandwich-tam-giac-lua-mach-cha-bong-khoai-mon-cha-bong-vi-bo-b103-beegin-store-i2525019905.html", "https://www.lazada.vn/products/combo-6-banh-sandwich-tam-giac-lua-mach-cha-bong-khoai-mon-cha-bong-vi-bo-b103-beegin-store-i2525019905.html")</f>
        <v>https://www.lazada.vn/products/combo-6-banh-sandwich-tam-giac-lua-mach-cha-bong-khoai-mon-cha-bong-vi-bo-b103-beegin-store-i2525019905.html</v>
      </c>
      <c r="C9084" s="10" t="s">
        <v>9084</v>
      </c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>
      <c r="A9085" s="8">
        <v>13939.0</v>
      </c>
      <c r="B9085" s="9" t="str">
        <f>HYPERLINK("https://www.lazada.vn/products/bap-rang-bo-proper-cinema-hop-mix-4-vi-phien-ban-dac-biet-i1534073509.html", "https://www.lazada.vn/products/bap-rang-bo-proper-cinema-hop-mix-4-vi-phien-ban-dac-biet-i1534073509.html")</f>
        <v>https://www.lazada.vn/products/bap-rang-bo-proper-cinema-hop-mix-4-vi-phien-ban-dac-biet-i1534073509.html</v>
      </c>
      <c r="C9085" s="10" t="s">
        <v>9085</v>
      </c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>
      <c r="A9086" s="8">
        <v>13940.0</v>
      </c>
      <c r="B9086" s="9" t="str">
        <f>HYPERLINK("https://www.lazada.vn/products/nuoc-ngot-co-ga-vi-dua-luoi-nuoc-dua-luoi-co-ga-350ml-x-6-chai-okf-han-quoc-i1908604207.html", "https://www.lazada.vn/products/nuoc-ngot-co-ga-vi-dua-luoi-nuoc-dua-luoi-co-ga-350ml-x-6-chai-okf-han-quoc-i1908604207.html")</f>
        <v>https://www.lazada.vn/products/nuoc-ngot-co-ga-vi-dua-luoi-nuoc-dua-luoi-co-ga-350ml-x-6-chai-okf-han-quoc-i1908604207.html</v>
      </c>
      <c r="C9086" s="10" t="s">
        <v>9086</v>
      </c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>
      <c r="A9087" s="8">
        <v>13941.0</v>
      </c>
      <c r="B9087" s="9" t="str">
        <f>HYPERLINK("https://www.lazada.vn/products/organic-avocado-sua-hat-ngu-coc-co-chua-bcaas-duy-tri-suc-khoe-khoi-co-green-nutri-hop-giay-300gr-i2780076402.html", "https://www.lazada.vn/products/organic-avocado-sua-hat-ngu-coc-co-chua-bcaas-duy-tri-suc-khoe-khoi-co-green-nutri-hop-giay-300gr-i2780076402.html")</f>
        <v>https://www.lazada.vn/products/organic-avocado-sua-hat-ngu-coc-co-chua-bcaas-duy-tri-suc-khoe-khoi-co-green-nutri-hop-giay-300gr-i2780076402.html</v>
      </c>
      <c r="C9087" s="10" t="s">
        <v>9087</v>
      </c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>
      <c r="A9088" s="8">
        <v>13942.0</v>
      </c>
      <c r="B9088" s="9" t="str">
        <f>HYPERLINK("https://www.lazada.vn/products/trai-nhau-tuoi-ngam-duong-phen-hu-2kg-i1783623380.html", "https://www.lazada.vn/products/trai-nhau-tuoi-ngam-duong-phen-hu-2kg-i1783623380.html")</f>
        <v>https://www.lazada.vn/products/trai-nhau-tuoi-ngam-duong-phen-hu-2kg-i1783623380.html</v>
      </c>
      <c r="C9088" s="10" t="s">
        <v>9088</v>
      </c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>
      <c r="A9089" s="8">
        <v>13943.0</v>
      </c>
      <c r="B9089" s="9" t="str">
        <f>HYPERLINK("https://www.lazada.vn/products/banh-tao-do-thap-khoai-dau-thom-ngon-banh-nuong-nhan-tao-do-hap-dan-day-du-dinh-duong-i2914879540.html", "https://www.lazada.vn/products/banh-tao-do-thap-khoai-dau-thom-ngon-banh-nuong-nhan-tao-do-hap-dan-day-du-dinh-duong-i2914879540.html")</f>
        <v>https://www.lazada.vn/products/banh-tao-do-thap-khoai-dau-thom-ngon-banh-nuong-nhan-tao-do-hap-dan-day-du-dinh-duong-i2914879540.html</v>
      </c>
      <c r="C9089" s="10" t="s">
        <v>9089</v>
      </c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>
      <c r="A9090" s="8">
        <v>13944.0</v>
      </c>
      <c r="B9090" s="9" t="str">
        <f>HYPERLINK("https://www.lazada.vn/products/banh-trang-toi-loai-1-do-an-vat-nhu-ngoc-dac-san-long-an-an-chay-duoc-banh-hut-chan-khong-an-toan-ve-sinh-kl-500g-1kg-i2211443557.html", "https://www.lazada.vn/products/banh-trang-toi-loai-1-do-an-vat-nhu-ngoc-dac-san-long-an-an-chay-duoc-banh-hut-chan-khong-an-toan-ve-sinh-kl-500g-1kg-i2211443557.html")</f>
        <v>https://www.lazada.vn/products/banh-trang-toi-loai-1-do-an-vat-nhu-ngoc-dac-san-long-an-an-chay-duoc-banh-hut-chan-khong-an-toan-ve-sinh-kl-500g-1kg-i2211443557.html</v>
      </c>
      <c r="C9090" s="10" t="s">
        <v>9090</v>
      </c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>
      <c r="A9091" s="8">
        <v>13945.0</v>
      </c>
      <c r="B9091" s="9" t="str">
        <f>HYPERLINK("https://www.lazada.vn/products/combo-2chai-seasol-chiet-xuat-tao-bien-uc-tot-re-de-nhanh-250ml-i1699407684.html", "https://www.lazada.vn/products/combo-2chai-seasol-chiet-xuat-tao-bien-uc-tot-re-de-nhanh-250ml-i1699407684.html")</f>
        <v>https://www.lazada.vn/products/combo-2chai-seasol-chiet-xuat-tao-bien-uc-tot-re-de-nhanh-250ml-i1699407684.html</v>
      </c>
      <c r="C9091" s="10" t="s">
        <v>9091</v>
      </c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>
      <c r="A9092" s="8">
        <v>13946.0</v>
      </c>
      <c r="B9092" s="9" t="str">
        <f>HYPERLINK("https://www.lazada.vn/products/thung-30-goi-mi-omachi-tom-chua-cay-80gr-68791-i3054119287.html", "https://www.lazada.vn/products/thung-30-goi-mi-omachi-tom-chua-cay-80gr-68791-i3054119287.html")</f>
        <v>https://www.lazada.vn/products/thung-30-goi-mi-omachi-tom-chua-cay-80gr-68791-i3054119287.html</v>
      </c>
      <c r="C9092" s="10" t="s">
        <v>9092</v>
      </c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>
      <c r="A9093" s="8">
        <v>13947.0</v>
      </c>
      <c r="B9093" s="9" t="str">
        <f>HYPERLINK("https://www.lazada.vn/products/cafe-g7-gu-manh-x2-i3039115565.html", "https://www.lazada.vn/products/cafe-g7-gu-manh-x2-i3039115565.html")</f>
        <v>https://www.lazada.vn/products/cafe-g7-gu-manh-x2-i3039115565.html</v>
      </c>
      <c r="C9093" s="10" t="s">
        <v>9093</v>
      </c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>
      <c r="A9094" s="8">
        <v>13948.0</v>
      </c>
      <c r="B9094" s="9" t="str">
        <f>HYPERLINK("https://www.lazada.vn/products/sinh-to-mang-cau-tan-loc-680g-i2414536726.html", "https://www.lazada.vn/products/sinh-to-mang-cau-tan-loc-680g-i2414536726.html")</f>
        <v>https://www.lazada.vn/products/sinh-to-mang-cau-tan-loc-680g-i2414536726.html</v>
      </c>
      <c r="C9094" s="10" t="s">
        <v>9094</v>
      </c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>
      <c r="A9095" s="8">
        <v>13949.0</v>
      </c>
      <c r="B9095" s="9" t="str">
        <f>HYPERLINK("https://www.lazada.vn/products/bot-cacao-hersheys-cocoa-powder-hersheys-cocoa-natural-unsweetened-100-cocoa-226gr-i1070468626.html", "https://www.lazada.vn/products/bot-cacao-hersheys-cocoa-powder-hersheys-cocoa-natural-unsweetened-100-cocoa-226gr-i1070468626.html")</f>
        <v>https://www.lazada.vn/products/bot-cacao-hersheys-cocoa-powder-hersheys-cocoa-natural-unsweetened-100-cocoa-226gr-i1070468626.html</v>
      </c>
      <c r="C9095" s="10" t="s">
        <v>9095</v>
      </c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>
      <c r="A9096" s="8">
        <v>13950.0</v>
      </c>
      <c r="B9096" s="9" t="str">
        <f>HYPERLINK("https://www.lazada.vn/products/1000gr-keo-deo-keo-le-an-phe-mat-ong-thanh-nhiet-tieu-dom-thom-mieng-giam-ho-i3022690372.html", "https://www.lazada.vn/products/1000gr-keo-deo-keo-le-an-phe-mat-ong-thanh-nhiet-tieu-dom-thom-mieng-giam-ho-i3022690372.html")</f>
        <v>https://www.lazada.vn/products/1000gr-keo-deo-keo-le-an-phe-mat-ong-thanh-nhiet-tieu-dom-thom-mieng-giam-ho-i3022690372.html</v>
      </c>
      <c r="C9096" s="10" t="s">
        <v>9096</v>
      </c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>
      <c r="A9097" s="8">
        <v>13951.0</v>
      </c>
      <c r="B9097" s="9" t="str">
        <f>HYPERLINK("https://www.lazada.vn/products/acecook-combo-2-mi-ly-modern-vi-lau-thai-tom-65gr-i2806083600.html", "https://www.lazada.vn/products/acecook-combo-2-mi-ly-modern-vi-lau-thai-tom-65gr-i2806083600.html")</f>
        <v>https://www.lazada.vn/products/acecook-combo-2-mi-ly-modern-vi-lau-thai-tom-65gr-i2806083600.html</v>
      </c>
      <c r="C9097" s="10" t="s">
        <v>9097</v>
      </c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>
      <c r="A9098" s="8">
        <v>13952.0</v>
      </c>
      <c r="B9098" s="9" t="str">
        <f>HYPERLINK("https://www.lazada.vn/products/banh-tao-do-kep-oc-cho-bo-duong-an-than-ho-tro-giam-can-nang-cao-giac-ngu-va-suc-khoe-tinh-than-i2914859745.html", "https://www.lazada.vn/products/banh-tao-do-kep-oc-cho-bo-duong-an-than-ho-tro-giam-can-nang-cao-giac-ngu-va-suc-khoe-tinh-than-i2914859745.html")</f>
        <v>https://www.lazada.vn/products/banh-tao-do-kep-oc-cho-bo-duong-an-than-ho-tro-giam-can-nang-cao-giac-ngu-va-suc-khoe-tinh-than-i2914859745.html</v>
      </c>
      <c r="C9098" s="10" t="s">
        <v>9098</v>
      </c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>
      <c r="A9099" s="8">
        <v>13953.0</v>
      </c>
      <c r="B9099" s="9" t="str">
        <f>HYPERLINK("https://www.lazada.vn/products/banh-sua-chua-hy-lap-du-vi-deo-thom-nguyen-chat-banh-sua-chua-non-khong-duong-nhieu-dinh-duong-i2911127921.html", "https://www.lazada.vn/products/banh-sua-chua-hy-lap-du-vi-deo-thom-nguyen-chat-banh-sua-chua-non-khong-duong-nhieu-dinh-duong-i2911127921.html")</f>
        <v>https://www.lazada.vn/products/banh-sua-chua-hy-lap-du-vi-deo-thom-nguyen-chat-banh-sua-chua-non-khong-duong-nhieu-dinh-duong-i2911127921.html</v>
      </c>
      <c r="C9099" s="10" t="s">
        <v>9099</v>
      </c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>
      <c r="A9100" s="8">
        <v>13954.0</v>
      </c>
      <c r="B9100" s="9" t="str">
        <f>HYPERLINK("https://www.lazada.vn/products/hot-banh-ong-nhan-kem-dua-gia-si-250g-500g-i2908267146.html", "https://www.lazada.vn/products/hot-banh-ong-nhan-kem-dua-gia-si-250g-500g-i2908267146.html")</f>
        <v>https://www.lazada.vn/products/hot-banh-ong-nhan-kem-dua-gia-si-250g-500g-i2908267146.html</v>
      </c>
      <c r="C9100" s="10" t="s">
        <v>9100</v>
      </c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>
      <c r="A9101" s="8">
        <v>13955.0</v>
      </c>
      <c r="B9101" s="9" t="str">
        <f>HYPERLINK("https://www.lazada.vn/products/thung-1kg-banh-ruoc-que-like-banh-bong-lan-cha-bong-b104c10-beegin-store-i2525019756.html", "https://www.lazada.vn/products/thung-1kg-banh-ruoc-que-like-banh-bong-lan-cha-bong-b104c10-beegin-store-i2525019756.html")</f>
        <v>https://www.lazada.vn/products/thung-1kg-banh-ruoc-que-like-banh-bong-lan-cha-bong-b104c10-beegin-store-i2525019756.html</v>
      </c>
      <c r="C9101" s="10" t="s">
        <v>9101</v>
      </c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>
      <c r="A9102" s="8">
        <v>13956.0</v>
      </c>
      <c r="B9102" s="9" t="str">
        <f>HYPERLINK("https://www.lazada.vn/products/keo-deo-sua-chua-mix-vi-trai-cay-thom-ngon-keo-sua-chua-hoa-qua-mem-deo-tu-nhien-i3022632409.html", "https://www.lazada.vn/products/keo-deo-sua-chua-mix-vi-trai-cay-thom-ngon-keo-sua-chua-hoa-qua-mem-deo-tu-nhien-i3022632409.html")</f>
        <v>https://www.lazada.vn/products/keo-deo-sua-chua-mix-vi-trai-cay-thom-ngon-keo-sua-chua-hoa-qua-mem-deo-tu-nhien-i3022632409.html</v>
      </c>
      <c r="C9102" s="10" t="s">
        <v>9102</v>
      </c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>
      <c r="A9103" s="8">
        <v>13957.0</v>
      </c>
      <c r="B9103" s="9" t="str">
        <f>HYPERLINK("https://www.lazada.vn/products/new-date-082026bot-ca-cao-hersheys-nguyen-chat-hop-226-gram-i1062162345.html", "https://www.lazada.vn/products/new-date-082026bot-ca-cao-hersheys-nguyen-chat-hop-226-gram-i1062162345.html")</f>
        <v>https://www.lazada.vn/products/new-date-082026bot-ca-cao-hersheys-nguyen-chat-hop-226-gram-i1062162345.html</v>
      </c>
      <c r="C9103" s="10" t="s">
        <v>9103</v>
      </c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>
      <c r="A9104" s="8">
        <v>13958.0</v>
      </c>
      <c r="B9104" s="9" t="str">
        <f>HYPERLINK("https://www.lazada.vn/products/sot-xao-sot-dau-hao-da-nang-tren-100-mon-chuyen-danh-cho-cac-mon-xao-hang-nha-lam-thom-ngon-sach-se-1-chai-1000ml-i1715554736.html", "https://www.lazada.vn/products/sot-xao-sot-dau-hao-da-nang-tren-100-mon-chuyen-danh-cho-cac-mon-xao-hang-nha-lam-thom-ngon-sach-se-1-chai-1000ml-i1715554736.html")</f>
        <v>https://www.lazada.vn/products/sot-xao-sot-dau-hao-da-nang-tren-100-mon-chuyen-danh-cho-cac-mon-xao-hang-nha-lam-thom-ngon-sach-se-1-chai-1000ml-i1715554736.html</v>
      </c>
      <c r="C9104" s="10" t="s">
        <v>9104</v>
      </c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>
      <c r="A9105" s="8">
        <v>13959.0</v>
      </c>
      <c r="B9105" s="9" t="str">
        <f>HYPERLINK("https://www.lazada.vn/products/sinh-to-trai-cay-douxian-chai-1l-nhieu-vi-i2944175183.html", "https://www.lazada.vn/products/sinh-to-trai-cay-douxian-chai-1l-nhieu-vi-i2944175183.html")</f>
        <v>https://www.lazada.vn/products/sinh-to-trai-cay-douxian-chai-1l-nhieu-vi-i2944175183.html</v>
      </c>
      <c r="C9105" s="10" t="s">
        <v>9105</v>
      </c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>
      <c r="A9106" s="8">
        <v>13960.0</v>
      </c>
      <c r="B9106" s="9" t="str">
        <f>HYPERLINK("https://www.lazada.vn/products/loc-12-goi-banh-snack-tom-thai-sieu-ngon-20g1goi-i2209993914.html", "https://www.lazada.vn/products/loc-12-goi-banh-snack-tom-thai-sieu-ngon-20g1goi-i2209993914.html")</f>
        <v>https://www.lazada.vn/products/loc-12-goi-banh-snack-tom-thai-sieu-ngon-20g1goi-i2209993914.html</v>
      </c>
      <c r="C9106" s="10" t="s">
        <v>9106</v>
      </c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>
      <c r="A9107" s="8">
        <v>13961.0</v>
      </c>
      <c r="B9107" s="9" t="str">
        <f>HYPERLINK("https://www.lazada.vn/products/chanh-day-mat-ong-hat-dac-tan-loc-900g-i2414384994.html", "https://www.lazada.vn/products/chanh-day-mat-ong-hat-dac-tan-loc-900g-i2414384994.html")</f>
        <v>https://www.lazada.vn/products/chanh-day-mat-ong-hat-dac-tan-loc-900g-i2414384994.html</v>
      </c>
      <c r="C9107" s="10" t="s">
        <v>9107</v>
      </c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>
      <c r="A9108" s="8">
        <v>13962.0</v>
      </c>
      <c r="B9108" s="9" t="str">
        <f>HYPERLINK("https://www.lazada.vn/products/combo-3-hop-ca-phe-mam-xoi-den-ho-tro-giam-can-giu-dang-i3030417339.html", "https://www.lazada.vn/products/combo-3-hop-ca-phe-mam-xoi-den-ho-tro-giam-can-giu-dang-i3030417339.html")</f>
        <v>https://www.lazada.vn/products/combo-3-hop-ca-phe-mam-xoi-den-ho-tro-giam-can-giu-dang-i3030417339.html</v>
      </c>
      <c r="C9108" s="10" t="s">
        <v>9108</v>
      </c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>
      <c r="A9109" s="8">
        <v>13963.0</v>
      </c>
      <c r="B9109" s="9" t="str">
        <f>HYPERLINK("https://www.lazada.vn/products/hop-socola-ferrero-rocher-collection-24-vien-va-48-vien-i2863512823.html", "https://www.lazada.vn/products/hop-socola-ferrero-rocher-collection-24-vien-va-48-vien-i2863512823.html")</f>
        <v>https://www.lazada.vn/products/hop-socola-ferrero-rocher-collection-24-vien-va-48-vien-i2863512823.html</v>
      </c>
      <c r="C9109" s="10" t="s">
        <v>9109</v>
      </c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>
      <c r="A9110" s="8">
        <v>13964.0</v>
      </c>
      <c r="B9110" s="9" t="str">
        <f>HYPERLINK("https://www.lazada.vn/products/rang-tay_nguyen-chat-bot-dau-den-xanh-long-bot-ngu-coc-7-vi-bot-dau-do-bot-dau-nanh-bot-dau-xanh-bot-gao-lut-bot-gao-lut-me-den-bot-mix-cac-loai-dau-rang-tay-nguyen-chat-i2724219998.html", "https://www.lazada.vn/products/rang-tay_nguyen-chat-bot-dau-den-xanh-long-bot-ngu-coc-7-vi-bot-dau-do-bot-dau-nanh-bot-dau-xanh-bot-gao-lut-bot-gao-lut-me-den-bot-mix-cac-loai-dau-rang-tay-nguyen-chat-i2724219998.html")</f>
        <v>https://www.lazada.vn/products/rang-tay_nguyen-chat-bot-dau-den-xanh-long-bot-ngu-coc-7-vi-bot-dau-do-bot-dau-nanh-bot-dau-xanh-bot-gao-lut-bot-gao-lut-me-den-bot-mix-cac-loai-dau-rang-tay-nguyen-chat-i2724219998.html</v>
      </c>
      <c r="C9110" s="10" t="s">
        <v>9110</v>
      </c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>
      <c r="A9111" s="8">
        <v>13965.0</v>
      </c>
      <c r="B9111" s="9" t="str">
        <f>HYPERLINK("https://www.lazada.vn/products/nuoc-ngot-co-ga-fanta-nho-chai-15l-i1908602038.html", "https://www.lazada.vn/products/nuoc-ngot-co-ga-fanta-nho-chai-15l-i1908602038.html")</f>
        <v>https://www.lazada.vn/products/nuoc-ngot-co-ga-fanta-nho-chai-15l-i1908602038.html</v>
      </c>
      <c r="C9111" s="10" t="s">
        <v>9111</v>
      </c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>
      <c r="A9112" s="8">
        <v>13966.0</v>
      </c>
      <c r="B9112" s="9" t="str">
        <f>HYPERLINK("https://www.lazada.vn/products/combo-4-hop-bap-rang-bo-properone-vi-dac-biet-i1533884077.html", "https://www.lazada.vn/products/combo-4-hop-bap-rang-bo-properone-vi-dac-biet-i1533884077.html")</f>
        <v>https://www.lazada.vn/products/combo-4-hop-bap-rang-bo-properone-vi-dac-biet-i1533884077.html</v>
      </c>
      <c r="C9112" s="10" t="s">
        <v>9112</v>
      </c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>
      <c r="A9113" s="8">
        <v>13967.0</v>
      </c>
      <c r="B9113" s="9" t="str">
        <f>HYPERLINK("https://www.lazada.vn/products/nuoc-tang-luc-sting-nhan-sam-lon-330ml-i1692138385.html", "https://www.lazada.vn/products/nuoc-tang-luc-sting-nhan-sam-lon-330ml-i1692138385.html")</f>
        <v>https://www.lazada.vn/products/nuoc-tang-luc-sting-nhan-sam-lon-330ml-i1692138385.html</v>
      </c>
      <c r="C9113" s="10" t="s">
        <v>9113</v>
      </c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>
      <c r="A9114" s="8">
        <v>13968.0</v>
      </c>
      <c r="B9114" s="9" t="str">
        <f>HYPERLINK("https://www.lazada.vn/products/mi-cay-sasin-vi-soyum-combo-5-goi-mi-soyum-5-goi-xot-ot-do-bset0116-i3046620069.html", "https://www.lazada.vn/products/mi-cay-sasin-vi-soyum-combo-5-goi-mi-soyum-5-goi-xot-ot-do-bset0116-i3046620069.html")</f>
        <v>https://www.lazada.vn/products/mi-cay-sasin-vi-soyum-combo-5-goi-mi-soyum-5-goi-xot-ot-do-bset0116-i3046620069.html</v>
      </c>
      <c r="C9114" s="10" t="s">
        <v>9114</v>
      </c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>
      <c r="A9115" s="8">
        <v>13969.0</v>
      </c>
      <c r="B9115" s="9" t="str">
        <f>HYPERLINK("https://www.lazada.vn/products/ruou-vang-do-orquestra-tempranillo-shiraz-2019-i2400051385.html", "https://www.lazada.vn/products/ruou-vang-do-orquestra-tempranillo-shiraz-2019-i2400051385.html")</f>
        <v>https://www.lazada.vn/products/ruou-vang-do-orquestra-tempranillo-shiraz-2019-i2400051385.html</v>
      </c>
      <c r="C9115" s="10" t="s">
        <v>9115</v>
      </c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>
      <c r="A9116" s="8">
        <v>13970.0</v>
      </c>
      <c r="B9116" s="9" t="str">
        <f>HYPERLINK("https://www.lazada.vn/products/combo-3-mi-ly-cung-dinh-lau-tom-bo-ham-mix-3-vi-mi-soi-khoai-tay-trung-65gr-i2806078544.html", "https://www.lazada.vn/products/combo-3-mi-ly-cung-dinh-lau-tom-bo-ham-mix-3-vi-mi-soi-khoai-tay-trung-65gr-i2806078544.html")</f>
        <v>https://www.lazada.vn/products/combo-3-mi-ly-cung-dinh-lau-tom-bo-ham-mix-3-vi-mi-soi-khoai-tay-trung-65gr-i2806078544.html</v>
      </c>
      <c r="C9116" s="10" t="s">
        <v>9116</v>
      </c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>
      <c r="A9117" s="8">
        <v>13971.0</v>
      </c>
      <c r="B9117" s="9" t="str">
        <f>HYPERLINK("https://www.lazada.vn/products/ruou-vang-phap-heritage-de-menuts-i2400044722.html", "https://www.lazada.vn/products/ruou-vang-phap-heritage-de-menuts-i2400044722.html")</f>
        <v>https://www.lazada.vn/products/ruou-vang-phap-heritage-de-menuts-i2400044722.html</v>
      </c>
      <c r="C9117" s="10" t="s">
        <v>9117</v>
      </c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>
      <c r="A9118" s="8">
        <v>13972.0</v>
      </c>
      <c r="B9118" s="9" t="str">
        <f>HYPERLINK("https://www.lazada.vn/products/keo-do-choi-tre-em-keo-mut-khong-lo-kim-cuong-50g-i3012885749.html", "https://www.lazada.vn/products/keo-do-choi-tre-em-keo-mut-khong-lo-kim-cuong-50g-i3012885749.html")</f>
        <v>https://www.lazada.vn/products/keo-do-choi-tre-em-keo-mut-khong-lo-kim-cuong-50g-i3012885749.html</v>
      </c>
      <c r="C9118" s="10" t="s">
        <v>9118</v>
      </c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>
      <c r="A9119" s="8">
        <v>13973.0</v>
      </c>
      <c r="B9119" s="9" t="str">
        <f>HYPERLINK("https://www.lazada.vn/products/banh-sua-chua-ong-gia-hang-dep-date-moi-combo-10-cai-i2908007433.html", "https://www.lazada.vn/products/banh-sua-chua-ong-gia-hang-dep-date-moi-combo-10-cai-i2908007433.html")</f>
        <v>https://www.lazada.vn/products/banh-sua-chua-ong-gia-hang-dep-date-moi-combo-10-cai-i2908007433.html</v>
      </c>
      <c r="C9119" s="10" t="s">
        <v>9119</v>
      </c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>
      <c r="A9120" s="8">
        <v>13974.0</v>
      </c>
      <c r="B9120" s="9" t="str">
        <f>HYPERLINK("https://www.lazada.vn/products/free-ship-set-ngo-lam-bap-rang-bo-chuyen-dung-i1532929196.html", "https://www.lazada.vn/products/free-ship-set-ngo-lam-bap-rang-bo-chuyen-dung-i1532929196.html")</f>
        <v>https://www.lazada.vn/products/free-ship-set-ngo-lam-bap-rang-bo-chuyen-dung-i1532929196.html</v>
      </c>
      <c r="C9120" s="10" t="s">
        <v>9120</v>
      </c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>
      <c r="A9121" s="8">
        <v>13975.0</v>
      </c>
      <c r="B9121" s="9" t="str">
        <f>HYPERLINK("https://www.lazada.vn/products/combo-4-mi-ly-handy-hao-hao-tom-chua-cay-tomyum-mi-chay-aceccook-67gr-i2806074542.html", "https://www.lazada.vn/products/combo-4-mi-ly-handy-hao-hao-tom-chua-cay-tomyum-mi-chay-aceccook-67gr-i2806074542.html")</f>
        <v>https://www.lazada.vn/products/combo-4-mi-ly-handy-hao-hao-tom-chua-cay-tomyum-mi-chay-aceccook-67gr-i2806074542.html</v>
      </c>
      <c r="C9121" s="10" t="s">
        <v>9121</v>
      </c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>
      <c r="A9122" s="8">
        <v>13976.0</v>
      </c>
      <c r="B9122" s="9" t="str">
        <f>HYPERLINK("https://www.lazada.vn/products/combo-5-goi-mi-cay-sasin-vi-kim-chi-5-goi-mi-cay-sasin-vi-soyum-10-goi-xot-ot-do-bset0117-i3046568205.html", "https://www.lazada.vn/products/combo-5-goi-mi-cay-sasin-vi-kim-chi-5-goi-mi-cay-sasin-vi-soyum-10-goi-xot-ot-do-bset0117-i3046568205.html")</f>
        <v>https://www.lazada.vn/products/combo-5-goi-mi-cay-sasin-vi-kim-chi-5-goi-mi-cay-sasin-vi-soyum-10-goi-xot-ot-do-bset0117-i3046568205.html</v>
      </c>
      <c r="C9122" s="10" t="s">
        <v>9122</v>
      </c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>
      <c r="A9123" s="8">
        <v>13977.0</v>
      </c>
      <c r="B9123" s="9" t="str">
        <f>HYPERLINK("https://www.lazada.vn/products/nuoc-ngot-co-ga-vi-dua-hau-nuoc-dua-hau-co-ga-350ml-x-6-chai-okf-han-quoc-i1908576197.html", "https://www.lazada.vn/products/nuoc-ngot-co-ga-vi-dua-hau-nuoc-dua-hau-co-ga-350ml-x-6-chai-okf-han-quoc-i1908576197.html")</f>
        <v>https://www.lazada.vn/products/nuoc-ngot-co-ga-vi-dua-hau-nuoc-dua-hau-co-ga-350ml-x-6-chai-okf-han-quoc-i1908576197.html</v>
      </c>
      <c r="C9123" s="10" t="s">
        <v>9123</v>
      </c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>
      <c r="A9124" s="8">
        <v>13978.0</v>
      </c>
      <c r="B9124" s="9" t="str">
        <f>HYPERLINK("https://www.lazada.vn/products/nuoc-mam-sa-ot-cham-oc-va-cac-loai-hai-san-hang-nha-lam-i1715402218.html", "https://www.lazada.vn/products/nuoc-mam-sa-ot-cham-oc-va-cac-loai-hai-san-hang-nha-lam-i1715402218.html")</f>
        <v>https://www.lazada.vn/products/nuoc-mam-sa-ot-cham-oc-va-cac-loai-hai-san-hang-nha-lam-i1715402218.html</v>
      </c>
      <c r="C9124" s="10" t="s">
        <v>9124</v>
      </c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>
      <c r="A9125" s="8">
        <v>13979.0</v>
      </c>
      <c r="B9125" s="9" t="str">
        <f>HYPERLINK("https://www.lazada.vn/products/nuoc-tang-luc-warrior-vi-dau-lon-325ml-i1682277055.html", "https://www.lazada.vn/products/nuoc-tang-luc-warrior-vi-dau-lon-325ml-i1682277055.html")</f>
        <v>https://www.lazada.vn/products/nuoc-tang-luc-warrior-vi-dau-lon-325ml-i1682277055.html</v>
      </c>
      <c r="C9125" s="10" t="s">
        <v>9125</v>
      </c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>
      <c r="A9126" s="8">
        <v>13980.0</v>
      </c>
      <c r="B9126" s="9" t="str">
        <f>HYPERLINK("https://www.lazada.vn/products/date-0626-bot-cacao-hoa-tan-nestle-classic-rich-milk-chocolate-hop-1936gr-8-goi-i1059534640.html", "https://www.lazada.vn/products/date-0626-bot-cacao-hoa-tan-nestle-classic-rich-milk-chocolate-hop-1936gr-8-goi-i1059534640.html")</f>
        <v>https://www.lazada.vn/products/date-0626-bot-cacao-hoa-tan-nestle-classic-rich-milk-chocolate-hop-1936gr-8-goi-i1059534640.html</v>
      </c>
      <c r="C9126" s="10" t="s">
        <v>9126</v>
      </c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>
      <c r="A9127" s="8">
        <v>13981.0</v>
      </c>
      <c r="B9127" s="9" t="str">
        <f>HYPERLINK("https://www.lazada.vn/products/bich-chi-ddxl-vang-300g-khong-duong-bot-dau-den-xanh-long-hat-sen-vn-no-sugar-black-beans-powder-with-lotus-seed-i2700215789.html", "https://www.lazada.vn/products/bich-chi-ddxl-vang-300g-khong-duong-bot-dau-den-xanh-long-hat-sen-vn-no-sugar-black-beans-powder-with-lotus-seed-i2700215789.html")</f>
        <v>https://www.lazada.vn/products/bich-chi-ddxl-vang-300g-khong-duong-bot-dau-den-xanh-long-hat-sen-vn-no-sugar-black-beans-powder-with-lotus-seed-i2700215789.html</v>
      </c>
      <c r="C9127" s="10" t="s">
        <v>9127</v>
      </c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>
      <c r="A9128" s="8">
        <v>13982.0</v>
      </c>
      <c r="B9128" s="9" t="str">
        <f>HYPERLINK("https://www.lazada.vn/products/combo-5-cai-banh-mi-6-mui-dua-kido-date-moi-moi-ngay-i2523205247.html", "https://www.lazada.vn/products/combo-5-cai-banh-mi-6-mui-dua-kido-date-moi-moi-ngay-i2523205247.html")</f>
        <v>https://www.lazada.vn/products/combo-5-cai-banh-mi-6-mui-dua-kido-date-moi-moi-ngay-i2523205247.html</v>
      </c>
      <c r="C9128" s="10" t="s">
        <v>9128</v>
      </c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>
      <c r="A9129" s="8">
        <v>13983.0</v>
      </c>
      <c r="B9129" s="9" t="str">
        <f>HYPERLINK("https://www.lazada.vn/products/me-hat-dac-tan-loc-hu-900g-i2930838730.html", "https://www.lazada.vn/products/me-hat-dac-tan-loc-hu-900g-i2930838730.html")</f>
        <v>https://www.lazada.vn/products/me-hat-dac-tan-loc-hu-900g-i2930838730.html</v>
      </c>
      <c r="C9129" s="10" t="s">
        <v>9129</v>
      </c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>
      <c r="A9130" s="8">
        <v>13984.0</v>
      </c>
      <c r="B9130" s="9" t="str">
        <f>HYPERLINK("https://www.lazada.vn/products/nuoc-ep-so-kim-tieu-dau-hao-kim-tieu-680g-chai-nhua-i1715265536.html", "https://www.lazada.vn/products/nuoc-ep-so-kim-tieu-dau-hao-kim-tieu-680g-chai-nhua-i1715265536.html")</f>
        <v>https://www.lazada.vn/products/nuoc-ep-so-kim-tieu-dau-hao-kim-tieu-680g-chai-nhua-i1715265536.html</v>
      </c>
      <c r="C9130" s="10" t="s">
        <v>9130</v>
      </c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>
      <c r="A9131" s="8">
        <v>13985.0</v>
      </c>
      <c r="B9131" s="9" t="str">
        <f>HYPERLINK("https://www.lazada.vn/products/2-xo-tang-trong-heo-trau-bo-2kg-mix-sieu-tang-trong-tang-toc-lon-nhanh-no-mong-bung-dui-nang-can-chac-thit-nhieu-nac-xuat-ban-som-i2909564146.html", "https://www.lazada.vn/products/2-xo-tang-trong-heo-trau-bo-2kg-mix-sieu-tang-trong-tang-toc-lon-nhanh-no-mong-bung-dui-nang-can-chac-thit-nhieu-nac-xuat-ban-som-i2909564146.html")</f>
        <v>https://www.lazada.vn/products/2-xo-tang-trong-heo-trau-bo-2kg-mix-sieu-tang-trong-tang-toc-lon-nhanh-no-mong-bung-dui-nang-can-chac-thit-nhieu-nac-xuat-ban-som-i2909564146.html</v>
      </c>
      <c r="C9131" s="10" t="s">
        <v>9131</v>
      </c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>
      <c r="A9132" s="8">
        <v>13986.0</v>
      </c>
      <c r="B9132" s="9" t="str">
        <f>HYPERLINK("https://www.lazada.vn/products/combo-2-mi-ly-zeppin-thit-bam-tonkotsu-nuoc-tuong-shoyu-acecook-ly-75gr-i2806059567.html", "https://www.lazada.vn/products/combo-2-mi-ly-zeppin-thit-bam-tonkotsu-nuoc-tuong-shoyu-acecook-ly-75gr-i2806059567.html")</f>
        <v>https://www.lazada.vn/products/combo-2-mi-ly-zeppin-thit-bam-tonkotsu-nuoc-tuong-shoyu-acecook-ly-75gr-i2806059567.html</v>
      </c>
      <c r="C9132" s="10" t="s">
        <v>9132</v>
      </c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>
      <c r="A9133" s="8">
        <v>13987.0</v>
      </c>
      <c r="B9133" s="9" t="str">
        <f>HYPERLINK("https://www.lazada.vn/products/nuoc-ngot-co-ga-sprite-chanh-lon-235ml-i1908508130.html", "https://www.lazada.vn/products/nuoc-ngot-co-ga-sprite-chanh-lon-235ml-i1908508130.html")</f>
        <v>https://www.lazada.vn/products/nuoc-ngot-co-ga-sprite-chanh-lon-235ml-i1908508130.html</v>
      </c>
      <c r="C9133" s="10" t="s">
        <v>9133</v>
      </c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>
      <c r="A9134" s="8">
        <v>13988.0</v>
      </c>
      <c r="B9134" s="9" t="str">
        <f>HYPERLINK("https://www.lazada.vn/products/th-30-goi-hu-tieu-chinsu-story-hai-san-77gr-b-i3028475116.html", "https://www.lazada.vn/products/th-30-goi-hu-tieu-chinsu-story-hai-san-77gr-b-i3028475116.html")</f>
        <v>https://www.lazada.vn/products/th-30-goi-hu-tieu-chinsu-story-hai-san-77gr-b-i3028475116.html</v>
      </c>
      <c r="C9134" s="10" t="s">
        <v>9134</v>
      </c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>
      <c r="A9135" s="8">
        <v>13989.0</v>
      </c>
      <c r="B9135" s="9" t="str">
        <f>HYPERLINK("https://www.lazada.vn/products/set-ngo-lam-bap-rang-bo-ngo-va-bo-chuyen-dung-i1524280077.html", "https://www.lazada.vn/products/set-ngo-lam-bap-rang-bo-ngo-va-bo-chuyen-dung-i1524280077.html")</f>
        <v>https://www.lazada.vn/products/set-ngo-lam-bap-rang-bo-ngo-va-bo-chuyen-dung-i1524280077.html</v>
      </c>
      <c r="C9135" s="10" t="s">
        <v>9135</v>
      </c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>
      <c r="A9136" s="8">
        <v>13990.0</v>
      </c>
      <c r="B9136" s="9" t="str">
        <f>HYPERLINK("https://www.lazada.vn/products/combo-2-to-tron-handy-hao-hao-vi-tom-chua-cay-acecook-to-93gr-i2806059564.html", "https://www.lazada.vn/products/combo-2-to-tron-handy-hao-hao-vi-tom-chua-cay-acecook-to-93gr-i2806059564.html")</f>
        <v>https://www.lazada.vn/products/combo-2-to-tron-handy-hao-hao-vi-tom-chua-cay-acecook-to-93gr-i2806059564.html</v>
      </c>
      <c r="C9136" s="10" t="s">
        <v>9136</v>
      </c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>
      <c r="A9137" s="8">
        <v>13991.0</v>
      </c>
      <c r="B9137" s="9" t="str">
        <f>HYPERLINK("https://www.lazada.vn/products/acecook-combo-6-mi-ly-modern-vi-lau-thai-tom-65gr-i2806058566.html", "https://www.lazada.vn/products/acecook-combo-6-mi-ly-modern-vi-lau-thai-tom-65gr-i2806058566.html")</f>
        <v>https://www.lazada.vn/products/acecook-combo-6-mi-ly-modern-vi-lau-thai-tom-65gr-i2806058566.html</v>
      </c>
      <c r="C9137" s="10" t="s">
        <v>9137</v>
      </c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>
      <c r="A9138" s="8">
        <v>13992.0</v>
      </c>
      <c r="B9138" s="9" t="str">
        <f>HYPERLINK("https://www.lazada.vn/products/combo-2-mi-to-siukay-tia-chop-vi-hai-san-acecook-to-96gr-i2806055602.html", "https://www.lazada.vn/products/combo-2-mi-to-siukay-tia-chop-vi-hai-san-acecook-to-96gr-i2806055602.html")</f>
        <v>https://www.lazada.vn/products/combo-2-mi-to-siukay-tia-chop-vi-hai-san-acecook-to-96gr-i2806055602.html</v>
      </c>
      <c r="C9138" s="10" t="s">
        <v>9138</v>
      </c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>
      <c r="A9139" s="8">
        <v>13993.0</v>
      </c>
      <c r="B9139" s="9" t="str">
        <f>HYPERLINK("https://www.lazada.vn/products/combo-2-tho-mi-cung-dinh-kool-tron-spaghetti-bbq-pho-tron-mix-3-vi-i2806052583.html", "https://www.lazada.vn/products/combo-2-tho-mi-cung-dinh-kool-tron-spaghetti-bbq-pho-tron-mix-3-vi-i2806052583.html")</f>
        <v>https://www.lazada.vn/products/combo-2-tho-mi-cung-dinh-kool-tron-spaghetti-bbq-pho-tron-mix-3-vi-i2806052583.html</v>
      </c>
      <c r="C9139" s="10" t="s">
        <v>9139</v>
      </c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>
      <c r="A9140" s="8">
        <v>13994.0</v>
      </c>
      <c r="B9140" s="9" t="str">
        <f>HYPERLINK("https://www.lazada.vn/products/socola-hoa-tan-le-plateau-instanat-chocolate-drink-hop-10-goi-i2863075286.html", "https://www.lazada.vn/products/socola-hoa-tan-le-plateau-instanat-chocolate-drink-hop-10-goi-i2863075286.html")</f>
        <v>https://www.lazada.vn/products/socola-hoa-tan-le-plateau-instanat-chocolate-drink-hop-10-goi-i2863075286.html</v>
      </c>
      <c r="C9140" s="10" t="s">
        <v>9140</v>
      </c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>
      <c r="A9141" s="8">
        <v>13995.0</v>
      </c>
      <c r="B9141" s="9" t="str">
        <f>HYPERLINK("https://www.lazada.vn/products/combo-3-mi-ly-khoai-tay-omachi-xuc-xich-that-xot-bo-ham-ly-114g-x3-i2806050599.html", "https://www.lazada.vn/products/combo-3-mi-ly-khoai-tay-omachi-xuc-xich-that-xot-bo-ham-ly-114g-x3-i2806050599.html")</f>
        <v>https://www.lazada.vn/products/combo-3-mi-ly-khoai-tay-omachi-xuc-xich-that-xot-bo-ham-ly-114g-x3-i2806050599.html</v>
      </c>
      <c r="C9141" s="10" t="s">
        <v>9141</v>
      </c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>
      <c r="A9142" s="8">
        <v>13996.0</v>
      </c>
      <c r="B9142" s="9" t="str">
        <f>HYPERLINK("https://www.lazada.vn/products/loc-12-goi-banh-snack-tom-thai-lan-17g-goi-ruaypuan-i2205320149.html", "https://www.lazada.vn/products/loc-12-goi-banh-snack-tom-thai-lan-17g-goi-ruaypuan-i2205320149.html")</f>
        <v>https://www.lazada.vn/products/loc-12-goi-banh-snack-tom-thai-lan-17g-goi-ruaypuan-i2205320149.html</v>
      </c>
      <c r="C9142" s="10" t="s">
        <v>9142</v>
      </c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>
      <c r="A9143" s="8">
        <v>13997.0</v>
      </c>
      <c r="B9143" s="9" t="str">
        <f>HYPERLINK("https://www.lazada.vn/products/ca-phe-hop-coffee-coconut-tany-cafe-ca-phe-hoa-tan-ca-phe-goi-hoa-tan-sua-dua-thom-ngon-4-in-1-hop-10-goi-x-12gr-1-goi-25-calo-i2878284636.html", "https://www.lazada.vn/products/ca-phe-hop-coffee-coconut-tany-cafe-ca-phe-hoa-tan-ca-phe-goi-hoa-tan-sua-dua-thom-ngon-4-in-1-hop-10-goi-x-12gr-1-goi-25-calo-i2878284636.html")</f>
        <v>https://www.lazada.vn/products/ca-phe-hop-coffee-coconut-tany-cafe-ca-phe-hoa-tan-ca-phe-goi-hoa-tan-sua-dua-thom-ngon-4-in-1-hop-10-goi-x-12gr-1-goi-25-calo-i2878284636.html</v>
      </c>
      <c r="C9143" s="10" t="s">
        <v>9143</v>
      </c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>
      <c r="A9144" s="8">
        <v>13998.0</v>
      </c>
      <c r="B9144" s="9" t="str">
        <f>HYPERLINK("https://www.lazada.vn/products/ruou-mai-que-lo-gia-vi-nau-an-khong-the-thieu-cua-cac-ba-noi-tro-chai-330-ml-i2414012500.html", "https://www.lazada.vn/products/ruou-mai-que-lo-gia-vi-nau-an-khong-the-thieu-cua-cac-ba-noi-tro-chai-330-ml-i2414012500.html")</f>
        <v>https://www.lazada.vn/products/ruou-mai-que-lo-gia-vi-nau-an-khong-the-thieu-cua-cac-ba-noi-tro-chai-330-ml-i2414012500.html</v>
      </c>
      <c r="C9144" s="10" t="s">
        <v>9144</v>
      </c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>
      <c r="A9145" s="8">
        <v>13999.0</v>
      </c>
      <c r="B9145" s="9" t="str">
        <f>HYPERLINK("https://www.lazada.vn/products/bot-suong-sao-trang-white-grass-jelly-thuan-phat-50g-i2036894123.html", "https://www.lazada.vn/products/bot-suong-sao-trang-white-grass-jelly-thuan-phat-50g-i2036894123.html")</f>
        <v>https://www.lazada.vn/products/bot-suong-sao-trang-white-grass-jelly-thuan-phat-50g-i2036894123.html</v>
      </c>
      <c r="C9145" s="10" t="s">
        <v>9145</v>
      </c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>
      <c r="A9146" s="8">
        <v>14000.0</v>
      </c>
      <c r="B9146" s="9" t="str">
        <f>HYPERLINK("https://www.lazada.vn/products/banh-solite-cuon-kem-la-dua-360gr-i2907145282.html", "https://www.lazada.vn/products/banh-solite-cuon-kem-la-dua-360gr-i2907145282.html")</f>
        <v>https://www.lazada.vn/products/banh-solite-cuon-kem-la-dua-360gr-i2907145282.html</v>
      </c>
      <c r="C9146" s="10" t="s">
        <v>9146</v>
      </c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>
      <c r="A9147" s="8">
        <v>14001.0</v>
      </c>
      <c r="B9147" s="9" t="str">
        <f>HYPERLINK("https://www.lazada.vn/products/bot-khoai-mon-bot-socola-bot-matcha-gia-thinh-phat-goi-1kg-gia-store-i1049000415.html", "https://www.lazada.vn/products/bot-khoai-mon-bot-socola-bot-matcha-gia-thinh-phat-goi-1kg-gia-store-i1049000415.html")</f>
        <v>https://www.lazada.vn/products/bot-khoai-mon-bot-socola-bot-matcha-gia-thinh-phat-goi-1kg-gia-store-i1049000415.html</v>
      </c>
      <c r="C9147" s="10" t="s">
        <v>9147</v>
      </c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>
      <c r="A9148" s="8">
        <v>14002.0</v>
      </c>
      <c r="B9148" s="9" t="str">
        <f>HYPERLINK("https://www.lazada.vn/products/ruou-vang-growers-gate-shiraz-i2400030855.html", "https://www.lazada.vn/products/ruou-vang-growers-gate-shiraz-i2400030855.html")</f>
        <v>https://www.lazada.vn/products/ruou-vang-growers-gate-shiraz-i2400030855.html</v>
      </c>
      <c r="C9148" s="10" t="s">
        <v>9148</v>
      </c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>
      <c r="A9149" s="8">
        <v>14003.0</v>
      </c>
      <c r="B9149" s="9" t="str">
        <f>HYPERLINK("https://www.lazada.vn/products/bot-trai-cay-rau-cu-huu-co-juce-super-fruit-veggie-vitamin-345g-berry-terra-kai-organics-hang-my-i2698120512.html", "https://www.lazada.vn/products/bot-trai-cay-rau-cu-huu-co-juce-super-fruit-veggie-vitamin-345g-berry-terra-kai-organics-hang-my-i2698120512.html")</f>
        <v>https://www.lazada.vn/products/bot-trai-cay-rau-cu-huu-co-juce-super-fruit-veggie-vitamin-345g-berry-terra-kai-organics-hang-my-i2698120512.html</v>
      </c>
      <c r="C9149" s="10" t="s">
        <v>9149</v>
      </c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>
      <c r="A9150" s="8">
        <v>14004.0</v>
      </c>
      <c r="B9150" s="9" t="str">
        <f>HYPERLINK("https://www.lazada.vn/products/khuyen-mai-thung-da-giu-nhiet-58l-combo-2-thung-carlsberg-330ml-i2786858895.html", "https://www.lazada.vn/products/khuyen-mai-thung-da-giu-nhiet-58l-combo-2-thung-carlsberg-330ml-i2786858895.html")</f>
        <v>https://www.lazada.vn/products/khuyen-mai-thung-da-giu-nhiet-58l-combo-2-thung-carlsberg-330ml-i2786858895.html</v>
      </c>
      <c r="C9150" s="10" t="s">
        <v>9150</v>
      </c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>
      <c r="A9151" s="8">
        <v>14005.0</v>
      </c>
      <c r="B9151" s="9" t="str">
        <f>HYPERLINK("https://www.lazada.vn/products/thach-trai-cay-orihiro-vi-dao-va-nho-tim-i2036425943.html", "https://www.lazada.vn/products/thach-trai-cay-orihiro-vi-dao-va-nho-tim-i2036425943.html")</f>
        <v>https://www.lazada.vn/products/thach-trai-cay-orihiro-vi-dao-va-nho-tim-i2036425943.html</v>
      </c>
      <c r="C9151" s="10" t="s">
        <v>9151</v>
      </c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>
      <c r="A9152" s="8">
        <v>14006.0</v>
      </c>
      <c r="B9152" s="9" t="str">
        <f>HYPERLINK("https://www.lazada.vn/products/khuyen-mai-thung-da-giu-nhiet-58l-combo-2-thung-tuborg-green-330ml-i2786839924.html", "https://www.lazada.vn/products/khuyen-mai-thung-da-giu-nhiet-58l-combo-2-thung-tuborg-green-330ml-i2786839924.html")</f>
        <v>https://www.lazada.vn/products/khuyen-mai-thung-da-giu-nhiet-58l-combo-2-thung-tuborg-green-330ml-i2786839924.html</v>
      </c>
      <c r="C9152" s="10" t="s">
        <v>9152</v>
      </c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>
      <c r="A9153" s="8">
        <v>14007.0</v>
      </c>
      <c r="B9153" s="9" t="str">
        <f>HYPERLINK("https://www.lazada.vn/products/combo-5-cai-banh-mi-tuoi-kidos-vi-pho-mai-castella-date-moi-moi-ngay-i2523151740.html", "https://www.lazada.vn/products/combo-5-cai-banh-mi-tuoi-kidos-vi-pho-mai-castella-date-moi-moi-ngay-i2523151740.html")</f>
        <v>https://www.lazada.vn/products/combo-5-cai-banh-mi-tuoi-kidos-vi-pho-mai-castella-date-moi-moi-ngay-i2523151740.html</v>
      </c>
      <c r="C9153" s="10" t="s">
        <v>9153</v>
      </c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>
      <c r="A9154" s="8">
        <v>14008.0</v>
      </c>
      <c r="B9154" s="9" t="str">
        <f>HYPERLINK("https://www.lazada.vn/products/nuoc-uong-tang-luc-redbull-viet-lon-250ml-i1682200599.html", "https://www.lazada.vn/products/nuoc-uong-tang-luc-redbull-viet-lon-250ml-i1682200599.html")</f>
        <v>https://www.lazada.vn/products/nuoc-uong-tang-luc-redbull-viet-lon-250ml-i1682200599.html</v>
      </c>
      <c r="C9154" s="10" t="s">
        <v>9154</v>
      </c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>
      <c r="A9155" s="8">
        <v>14009.0</v>
      </c>
      <c r="B9155" s="9" t="str">
        <f>HYPERLINK("https://www.lazada.vn/products/siro-ho-nh-golaok-200ml-i2413887896.html", "https://www.lazada.vn/products/siro-ho-nh-golaok-200ml-i2413887896.html")</f>
        <v>https://www.lazada.vn/products/siro-ho-nh-golaok-200ml-i2413887896.html</v>
      </c>
      <c r="C9155" s="10" t="s">
        <v>9155</v>
      </c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>
      <c r="A9156" s="8">
        <v>14010.0</v>
      </c>
      <c r="B9156" s="9" t="str">
        <f>HYPERLINK("https://www.lazada.vn/products/ca-phe-sua-tni-king-coffee-3-in-1-bich-88-goi-16gr-80034-i2824903858.html", "https://www.lazada.vn/products/ca-phe-sua-tni-king-coffee-3-in-1-bich-88-goi-16gr-80034-i2824903858.html")</f>
        <v>https://www.lazada.vn/products/ca-phe-sua-tni-king-coffee-3-in-1-bich-88-goi-16gr-80034-i2824903858.html</v>
      </c>
      <c r="C9156" s="10" t="s">
        <v>9156</v>
      </c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>
      <c r="A9157" s="8">
        <v>14011.0</v>
      </c>
      <c r="B9157" s="9" t="str">
        <f>HYPERLINK("https://www.lazada.vn/products/hang-uc-keo-socola-dang-cao-cap-nhan-bac-ha-tan-chay-choceur-delightful-chocolate-mint-thins-hop-giay-sang-trong-300gr-i2862545844.html", "https://www.lazada.vn/products/hang-uc-keo-socola-dang-cao-cap-nhan-bac-ha-tan-chay-choceur-delightful-chocolate-mint-thins-hop-giay-sang-trong-300gr-i2862545844.html")</f>
        <v>https://www.lazada.vn/products/hang-uc-keo-socola-dang-cao-cap-nhan-bac-ha-tan-chay-choceur-delightful-chocolate-mint-thins-hop-giay-sang-trong-300gr-i2862545844.html</v>
      </c>
      <c r="C9157" s="10" t="s">
        <v>9157</v>
      </c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>
      <c r="A9158" s="8">
        <v>14012.0</v>
      </c>
      <c r="B9158" s="9" t="str">
        <f>HYPERLINK("https://www.lazada.vn/products/combo-5-10-goi-keo-deo-orion-boom-jelly-up-25ggoi-i2940746275.html", "https://www.lazada.vn/products/combo-5-10-goi-keo-deo-orion-boom-jelly-up-25ggoi-i2940746275.html")</f>
        <v>https://www.lazada.vn/products/combo-5-10-goi-keo-deo-orion-boom-jelly-up-25ggoi-i2940746275.html</v>
      </c>
      <c r="C9158" s="10" t="s">
        <v>9158</v>
      </c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>
      <c r="A9159" s="8">
        <v>14013.0</v>
      </c>
      <c r="B9159" s="9" t="str">
        <f>HYPERLINK("https://www.lazada.vn/products/cb-15-goi-mi-omachi-bo-ham-sot-vang-92gr-67909-i3025137113.html", "https://www.lazada.vn/products/cb-15-goi-mi-omachi-bo-ham-sot-vang-92gr-67909-i3025137113.html")</f>
        <v>https://www.lazada.vn/products/cb-15-goi-mi-omachi-bo-ham-sot-vang-92gr-67909-i3025137113.html</v>
      </c>
      <c r="C9159" s="10" t="s">
        <v>9159</v>
      </c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>
      <c r="A9160" s="8">
        <v>14014.0</v>
      </c>
      <c r="B9160" s="9" t="str">
        <f>HYPERLINK("https://www.lazada.vn/products/05kg-bap-nep-say-gion-tam-da-vi-bap-rang-mam-toi-freeship-an-vat-i1521160086.html", "https://www.lazada.vn/products/05kg-bap-nep-say-gion-tam-da-vi-bap-rang-mam-toi-freeship-an-vat-i1521160086.html")</f>
        <v>https://www.lazada.vn/products/05kg-bap-nep-say-gion-tam-da-vi-bap-rang-mam-toi-freeship-an-vat-i1521160086.html</v>
      </c>
      <c r="C9160" s="10" t="s">
        <v>9160</v>
      </c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>
      <c r="A9161" s="8">
        <v>14015.0</v>
      </c>
      <c r="B9161" s="9" t="str">
        <f>HYPERLINK("https://www.lazada.vn/products/taetea-tra-tuo-van-nam-2017-v93-lo-1701-shu-puer-tuocha-100g-i2828913476.html", "https://www.lazada.vn/products/taetea-tra-tuo-van-nam-2017-v93-lo-1701-shu-puer-tuocha-100g-i2828913476.html")</f>
        <v>https://www.lazada.vn/products/taetea-tra-tuo-van-nam-2017-v93-lo-1701-shu-puer-tuocha-100g-i2828913476.html</v>
      </c>
      <c r="C9161" s="10" t="s">
        <v>9161</v>
      </c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>
      <c r="A9162" s="8">
        <v>14016.0</v>
      </c>
      <c r="B9162" s="9" t="str">
        <f>HYPERLINK("https://www.lazada.vn/products/nuoc-ngot-co-ga-cocacola-nhat-ban-co-duong-nguyen-ban-lon-160ml-i1908460236.html", "https://www.lazada.vn/products/nuoc-ngot-co-ga-cocacola-nhat-ban-co-duong-nguyen-ban-lon-160ml-i1908460236.html")</f>
        <v>https://www.lazada.vn/products/nuoc-ngot-co-ga-cocacola-nhat-ban-co-duong-nguyen-ban-lon-160ml-i1908460236.html</v>
      </c>
      <c r="C9162" s="10" t="s">
        <v>9162</v>
      </c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>
      <c r="A9163" s="8">
        <v>14017.0</v>
      </c>
      <c r="B9163" s="9" t="str">
        <f>HYPERLINK("https://www.lazada.vn/products/thom-ngon-tron-vi-thach-yen-sao-rong-nho-d7nest-thach-yen-sao-san-pham-ho-tro-suc-khoe-9-yen-tuoi-i2766486301.html", "https://www.lazada.vn/products/thom-ngon-tron-vi-thach-yen-sao-rong-nho-d7nest-thach-yen-sao-san-pham-ho-tro-suc-khoe-9-yen-tuoi-i2766486301.html")</f>
        <v>https://www.lazada.vn/products/thom-ngon-tron-vi-thach-yen-sao-rong-nho-d7nest-thach-yen-sao-san-pham-ho-tro-suc-khoe-9-yen-tuoi-i2766486301.html</v>
      </c>
      <c r="C9163" s="10" t="s">
        <v>9163</v>
      </c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>
      <c r="A9164" s="8">
        <v>14018.0</v>
      </c>
      <c r="B9164" s="9" t="str">
        <f>HYPERLINK("https://www.lazada.vn/products/nuoc-ngot-co-ga-fanta-nho-lon-320ml-i1908457745.html", "https://www.lazada.vn/products/nuoc-ngot-co-ga-fanta-nho-lon-320ml-i1908457745.html")</f>
        <v>https://www.lazada.vn/products/nuoc-ngot-co-ga-fanta-nho-lon-320ml-i1908457745.html</v>
      </c>
      <c r="C9164" s="10" t="s">
        <v>9164</v>
      </c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>
      <c r="A9165" s="8">
        <v>14019.0</v>
      </c>
      <c r="B9165" s="9" t="str">
        <f>HYPERLINK("https://www.lazada.vn/products/loc-12-goi-banh-snack-tom-ruaypuan-thai-lan-17g-goi-i2205271603.html", "https://www.lazada.vn/products/loc-12-goi-banh-snack-tom-ruaypuan-thai-lan-17g-goi-i2205271603.html")</f>
        <v>https://www.lazada.vn/products/loc-12-goi-banh-snack-tom-ruaypuan-thai-lan-17g-goi-i2205271603.html</v>
      </c>
      <c r="C9165" s="10" t="s">
        <v>9165</v>
      </c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>
      <c r="A9166" s="8">
        <v>14020.0</v>
      </c>
      <c r="B9166" s="9" t="str">
        <f>HYPERLINK("https://www.lazada.vn/products/500gr-thot-not-say-deo-khong-duong-loai1-i1715004984.html", "https://www.lazada.vn/products/500gr-thot-not-say-deo-khong-duong-loai1-i1715004984.html")</f>
        <v>https://www.lazada.vn/products/500gr-thot-not-say-deo-khong-duong-loai1-i1715004984.html</v>
      </c>
      <c r="C9166" s="10" t="s">
        <v>9166</v>
      </c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>
      <c r="A9167" s="8">
        <v>14021.0</v>
      </c>
      <c r="B9167" s="9" t="str">
        <f>HYPERLINK("https://www.lazada.vn/products/hop-banh-que-oreo-vi-socola-hop-x-54g-i2904221937.html", "https://www.lazada.vn/products/hop-banh-que-oreo-vi-socola-hop-x-54g-i2904221937.html")</f>
        <v>https://www.lazada.vn/products/hop-banh-que-oreo-vi-socola-hop-x-54g-i2904221937.html</v>
      </c>
      <c r="C9167" s="10" t="s">
        <v>9167</v>
      </c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>
      <c r="A9168" s="8">
        <v>14022.0</v>
      </c>
      <c r="B9168" s="9" t="str">
        <f>HYPERLINK("https://www.lazada.vn/products/combo-2-hop-moi-hop-500-gbot-cu-sen-ngu-coc-ngu-coc-tam-an-dinh-duong-giam-can-healthy-i2641454212.html", "https://www.lazada.vn/products/combo-2-hop-moi-hop-500-gbot-cu-sen-ngu-coc-ngu-coc-tam-an-dinh-duong-giam-can-healthy-i2641454212.html")</f>
        <v>https://www.lazada.vn/products/combo-2-hop-moi-hop-500-gbot-cu-sen-ngu-coc-ngu-coc-tam-an-dinh-duong-giam-can-healthy-i2641454212.html</v>
      </c>
      <c r="C9168" s="10" t="s">
        <v>9168</v>
      </c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>
      <c r="A9169" s="8">
        <v>14023.0</v>
      </c>
      <c r="B9169" s="9" t="str">
        <f>HYPERLINK("https://www.lazada.vn/products/bot-milo-goi-1kg-i1014298280.html", "https://www.lazada.vn/products/bot-milo-goi-1kg-i1014298280.html")</f>
        <v>https://www.lazada.vn/products/bot-milo-goi-1kg-i1014298280.html</v>
      </c>
      <c r="C9169" s="10" t="s">
        <v>9169</v>
      </c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>
      <c r="A9170" s="8">
        <v>14024.0</v>
      </c>
      <c r="B9170" s="9" t="str">
        <f>HYPERLINK("https://www.lazada.vn/products/hcmthung-24-mi-ly-modern-huong-vi-lau-thai-tom-acecook-i2806043535.html", "https://www.lazada.vn/products/hcmthung-24-mi-ly-modern-huong-vi-lau-thai-tom-acecook-i2806043535.html")</f>
        <v>https://www.lazada.vn/products/hcmthung-24-mi-ly-modern-huong-vi-lau-thai-tom-acecook-i2806043535.html</v>
      </c>
      <c r="C9170" s="10" t="s">
        <v>9170</v>
      </c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>
      <c r="A9171" s="8">
        <v>14025.0</v>
      </c>
      <c r="B9171" s="9" t="str">
        <f>HYPERLINK("https://www.lazada.vn/products/qua-tang-tui-vai-tote-mm-i2927169267.html", "https://www.lazada.vn/products/qua-tang-tui-vai-tote-mm-i2927169267.html")</f>
        <v>https://www.lazada.vn/products/qua-tang-tui-vai-tote-mm-i2927169267.html</v>
      </c>
      <c r="C9171" s="10" t="s">
        <v>9171</v>
      </c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>
      <c r="A9172" s="8">
        <v>14026.0</v>
      </c>
      <c r="B9172" s="9" t="str">
        <f>HYPERLINK("https://www.lazada.vn/products/banh-mi-mem-tyti-trang-an-tui-18g-x-9-cai-date-moi-i2521935265.html", "https://www.lazada.vn/products/banh-mi-mem-tyti-trang-an-tui-18g-x-9-cai-date-moi-i2521935265.html")</f>
        <v>https://www.lazada.vn/products/banh-mi-mem-tyti-trang-an-tui-18g-x-9-cai-date-moi-i2521935265.html</v>
      </c>
      <c r="C9172" s="10" t="s">
        <v>9172</v>
      </c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>
      <c r="A9173" s="8">
        <v>14027.0</v>
      </c>
      <c r="B9173" s="9" t="str">
        <f>HYPERLINK("https://www.lazada.vn/products/ruou-vang-trang-orquestra-verdejo-sauvignon-blanc-2019-i2400025916.html", "https://www.lazada.vn/products/ruou-vang-trang-orquestra-verdejo-sauvignon-blanc-2019-i2400025916.html")</f>
        <v>https://www.lazada.vn/products/ruou-vang-trang-orquestra-verdejo-sauvignon-blanc-2019-i2400025916.html</v>
      </c>
      <c r="C9173" s="10" t="s">
        <v>9173</v>
      </c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>
      <c r="A9174" s="8">
        <v>14028.0</v>
      </c>
      <c r="B9174" s="9" t="str">
        <f>HYPERLINK("https://www.lazada.vn/products/thach-trai-cay-orihiro-vi-dao-va-nho-tim-i2036374710.html", "https://www.lazada.vn/products/thach-trai-cay-orihiro-vi-dao-va-nho-tim-i2036374710.html")</f>
        <v>https://www.lazada.vn/products/thach-trai-cay-orihiro-vi-dao-va-nho-tim-i2036374710.html</v>
      </c>
      <c r="C9174" s="10" t="s">
        <v>9174</v>
      </c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>
      <c r="A9175" s="8">
        <v>14029.0</v>
      </c>
      <c r="B9175" s="9" t="str">
        <f>HYPERLINK("https://www.lazada.vn/products/thung-24-lon-nuoc-tang-luc-monster-ultra-mix-nhieu-vi-i1679102435.html", "https://www.lazada.vn/products/thung-24-lon-nuoc-tang-luc-monster-ultra-mix-nhieu-vi-i1679102435.html")</f>
        <v>https://www.lazada.vn/products/thung-24-lon-nuoc-tang-luc-monster-ultra-mix-nhieu-vi-i1679102435.html</v>
      </c>
      <c r="C9175" s="10" t="s">
        <v>9175</v>
      </c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>
      <c r="A9176" s="8">
        <v>14030.0</v>
      </c>
      <c r="B9176" s="9" t="str">
        <f>HYPERLINK("https://www.lazada.vn/products/220mm-du-thao-bia-mat-bich-que-leakproof-cho-su-dung-cho-muc-dich-thuong-mai-du-thao-bia-khoa-mat-bich-lap-rap-de-dang-i2785569181.html", "https://www.lazada.vn/products/220mm-du-thao-bia-mat-bich-que-leakproof-cho-su-dung-cho-muc-dich-thuong-mai-du-thao-bia-khoa-mat-bich-lap-rap-de-dang-i2785569181.html")</f>
        <v>https://www.lazada.vn/products/220mm-du-thao-bia-mat-bich-que-leakproof-cho-su-dung-cho-muc-dich-thuong-mai-du-thao-bia-khoa-mat-bich-lap-rap-de-dang-i2785569181.html</v>
      </c>
      <c r="C9176" s="10" t="s">
        <v>9176</v>
      </c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>
      <c r="A9177" s="8">
        <v>14031.0</v>
      </c>
      <c r="B9177" s="9" t="str">
        <f>HYPERLINK("https://www.lazada.vn/products/trung-nguyen-legend-ca-phe-rang-xay-sang-tao-1-bich-340gr-i2741733745.html", "https://www.lazada.vn/products/trung-nguyen-legend-ca-phe-rang-xay-sang-tao-1-bich-340gr-i2741733745.html")</f>
        <v>https://www.lazada.vn/products/trung-nguyen-legend-ca-phe-rang-xay-sang-tao-1-bich-340gr-i2741733745.html</v>
      </c>
      <c r="C9177" s="10" t="s">
        <v>9177</v>
      </c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>
      <c r="A9178" s="8">
        <v>14032.0</v>
      </c>
      <c r="B9178" s="9" t="str">
        <f>HYPERLINK("https://www.lazada.vn/products/tran-chau-gion-3q-bibi-jelly-bich-2kg-vi-dao-i2413511270.html", "https://www.lazada.vn/products/tran-chau-gion-3q-bibi-jelly-bich-2kg-vi-dao-i2413511270.html")</f>
        <v>https://www.lazada.vn/products/tran-chau-gion-3q-bibi-jelly-bich-2kg-vi-dao-i2413511270.html</v>
      </c>
      <c r="C9178" s="10" t="s">
        <v>9178</v>
      </c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>
      <c r="A9179" s="8">
        <v>14033.0</v>
      </c>
      <c r="B9179" s="9" t="str">
        <f>HYPERLINK("https://www.lazada.vn/products/combo-5g-mi-tron-han-quoc-vi-xao-mang-ten-sedaap-i2923193825.html", "https://www.lazada.vn/products/combo-5g-mi-tron-han-quoc-vi-xao-mang-ten-sedaap-i2923193825.html")</f>
        <v>https://www.lazada.vn/products/combo-5g-mi-tron-han-quoc-vi-xao-mang-ten-sedaap-i2923193825.html</v>
      </c>
      <c r="C9179" s="10" t="s">
        <v>9179</v>
      </c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>
      <c r="A9180" s="8">
        <v>14034.0</v>
      </c>
      <c r="B9180" s="9" t="str">
        <f>HYPERLINK("https://www.lazada.vn/products/socola-alisha-2-tang-16-vien-dong-lang-qua-i2862033466.html", "https://www.lazada.vn/products/socola-alisha-2-tang-16-vien-dong-lang-qua-i2862033466.html")</f>
        <v>https://www.lazada.vn/products/socola-alisha-2-tang-16-vien-dong-lang-qua-i2862033466.html</v>
      </c>
      <c r="C9180" s="10" t="s">
        <v>9180</v>
      </c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>
      <c r="A9181" s="8">
        <v>14035.0</v>
      </c>
      <c r="B9181" s="9" t="str">
        <f>HYPERLINK("https://www.lazada.vn/products/sua-hat-organic-dinh-duong-danh-cho-nguoi-can-boi-bo-suc-khoe-dung-duoc-cho-tre-tu-3-tuoi-hop-900g-i2720772793.html", "https://www.lazada.vn/products/sua-hat-organic-dinh-duong-danh-cho-nguoi-can-boi-bo-suc-khoe-dung-duoc-cho-tre-tu-3-tuoi-hop-900g-i2720772793.html")</f>
        <v>https://www.lazada.vn/products/sua-hat-organic-dinh-duong-danh-cho-nguoi-can-boi-bo-suc-khoe-dung-duoc-cho-tre-tu-3-tuoi-hop-900g-i2720772793.html</v>
      </c>
      <c r="C9181" s="10" t="s">
        <v>9181</v>
      </c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>
      <c r="A9182" s="8">
        <v>14036.0</v>
      </c>
      <c r="B9182" s="9" t="str">
        <f>HYPERLINK("https://www.lazada.vn/products/bap-rang-tui-to-mix-cac-vi-usa-popcorn-i1516890896.html", "https://www.lazada.vn/products/bap-rang-tui-to-mix-cac-vi-usa-popcorn-i1516890896.html")</f>
        <v>https://www.lazada.vn/products/bap-rang-tui-to-mix-cac-vi-usa-popcorn-i1516890896.html</v>
      </c>
      <c r="C9182" s="10" t="s">
        <v>9182</v>
      </c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>
      <c r="A9183" s="8">
        <v>14037.0</v>
      </c>
      <c r="B9183" s="9" t="str">
        <f>HYPERLINK("https://www.lazada.vn/products/nuoc-ngot-co-ga-vi-dau-tay-okf-han-quoc-nuoc-dau-tay-co-ga-x-6-chai-okf-han-quoc-i1908456888.html", "https://www.lazada.vn/products/nuoc-ngot-co-ga-vi-dau-tay-okf-han-quoc-nuoc-dau-tay-co-ga-x-6-chai-okf-han-quoc-i1908456888.html")</f>
        <v>https://www.lazada.vn/products/nuoc-ngot-co-ga-vi-dau-tay-okf-han-quoc-nuoc-dau-tay-co-ga-x-6-chai-okf-han-quoc-i1908456888.html</v>
      </c>
      <c r="C9183" s="10" t="s">
        <v>9183</v>
      </c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>
      <c r="A9184" s="8">
        <v>14038.0</v>
      </c>
      <c r="B9184" s="9" t="str">
        <f>HYPERLINK("https://www.lazada.vn/products/combo-2-mi-ly-mini-doraemon-hao-sua-pho-mai-hai-san-chua-ngot-mix-2-vi-acecook-ly-53gr-i2806041552.html", "https://www.lazada.vn/products/combo-2-mi-ly-mini-doraemon-hao-sua-pho-mai-hai-san-chua-ngot-mix-2-vi-acecook-ly-53gr-i2806041552.html")</f>
        <v>https://www.lazada.vn/products/combo-2-mi-ly-mini-doraemon-hao-sua-pho-mai-hai-san-chua-ngot-mix-2-vi-acecook-ly-53gr-i2806041552.html</v>
      </c>
      <c r="C9184" s="10" t="s">
        <v>9184</v>
      </c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>
      <c r="A9185" s="8">
        <v>14039.0</v>
      </c>
      <c r="B9185" s="9" t="str">
        <f>HYPERLINK("https://www.lazada.vn/products/nuoc-ngot-co-ga-cocacola-zero-khong-duong-chai-600ml-i1908429231.html", "https://www.lazada.vn/products/nuoc-ngot-co-ga-cocacola-zero-khong-duong-chai-600ml-i1908429231.html")</f>
        <v>https://www.lazada.vn/products/nuoc-ngot-co-ga-cocacola-zero-khong-duong-chai-600ml-i1908429231.html</v>
      </c>
      <c r="C9185" s="10" t="s">
        <v>9185</v>
      </c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>
      <c r="A9186" s="8">
        <v>14040.0</v>
      </c>
      <c r="B9186" s="9" t="str">
        <f>HYPERLINK("https://www.lazada.vn/products/banh-trang-nuong-tam-vi-rong-bien-sachi-45gram-i2201286403.html", "https://www.lazada.vn/products/banh-trang-nuong-tam-vi-rong-bien-sachi-45gram-i2201286403.html")</f>
        <v>https://www.lazada.vn/products/banh-trang-nuong-tam-vi-rong-bien-sachi-45gram-i2201286403.html</v>
      </c>
      <c r="C9186" s="10" t="s">
        <v>9186</v>
      </c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>
      <c r="A9187" s="8">
        <v>14041.0</v>
      </c>
      <c r="B9187" s="9" t="str">
        <f>HYPERLINK("https://www.lazada.vn/products/combo-2-mi-xao-khay-tao-quan-thit-bam-thap-cam-mix-2-vi-acecook-khay-95gr-i2806041550.html", "https://www.lazada.vn/products/combo-2-mi-xao-khay-tao-quan-thit-bam-thap-cam-mix-2-vi-acecook-khay-95gr-i2806041550.html")</f>
        <v>https://www.lazada.vn/products/combo-2-mi-xao-khay-tao-quan-thit-bam-thap-cam-mix-2-vi-acecook-khay-95gr-i2806041550.html</v>
      </c>
      <c r="C9187" s="10" t="s">
        <v>9187</v>
      </c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>
      <c r="A9188" s="8">
        <v>14042.0</v>
      </c>
      <c r="B9188" s="9" t="str">
        <f>HYPERLINK("https://www.lazada.vn/products/banh-chocopie-hop-5808g-16p-29352-tet-2025-i2903559260.html", "https://www.lazada.vn/products/banh-chocopie-hop-5808g-16p-29352-tet-2025-i2903559260.html")</f>
        <v>https://www.lazada.vn/products/banh-chocopie-hop-5808g-16p-29352-tet-2025-i2903559260.html</v>
      </c>
      <c r="C9188" s="10" t="s">
        <v>9188</v>
      </c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>
      <c r="A9189" s="8">
        <v>14043.0</v>
      </c>
      <c r="B9189" s="9" t="str">
        <f>HYPERLINK("https://www.lazada.vn/products/banh-trang-ghien-sieu-hanh-phi-hu-350gr-i2196813539.html", "https://www.lazada.vn/products/banh-trang-ghien-sieu-hanh-phi-hu-350gr-i2196813539.html")</f>
        <v>https://www.lazada.vn/products/banh-trang-ghien-sieu-hanh-phi-hu-350gr-i2196813539.html</v>
      </c>
      <c r="C9189" s="10" t="s">
        <v>9189</v>
      </c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>
      <c r="A9190" s="8">
        <v>14044.0</v>
      </c>
      <c r="B9190" s="9" t="str">
        <f>HYPERLINK("https://www.lazada.vn/products/combo-3-mi-ly-khoai-tay-omachi-tom-chua-cay-thai-ly-66g-x3-i2806040569.html", "https://www.lazada.vn/products/combo-3-mi-ly-khoai-tay-omachi-tom-chua-cay-thai-ly-66g-x3-i2806040569.html")</f>
        <v>https://www.lazada.vn/products/combo-3-mi-ly-khoai-tay-omachi-tom-chua-cay-thai-ly-66g-x3-i2806040569.html</v>
      </c>
      <c r="C9190" s="10" t="s">
        <v>9190</v>
      </c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>
      <c r="A9191" s="8">
        <v>14045.0</v>
      </c>
      <c r="B9191" s="9" t="str">
        <f>HYPERLINK("https://www.lazada.vn/products/mai-que-lo-chuan-vi-lam-lap-xuong-banh-trung-thu-uop-thit-1-chai-300ml-i1714535024.html", "https://www.lazada.vn/products/mai-que-lo-chuan-vi-lam-lap-xuong-banh-trung-thu-uop-thit-1-chai-300ml-i1714535024.html")</f>
        <v>https://www.lazada.vn/products/mai-que-lo-chuan-vi-lam-lap-xuong-banh-trung-thu-uop-thit-1-chai-300ml-i1714535024.html</v>
      </c>
      <c r="C9191" s="10" t="s">
        <v>9191</v>
      </c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>
      <c r="A9192" s="8">
        <v>14046.0</v>
      </c>
      <c r="B9192" s="9" t="str">
        <f>HYPERLINK("https://www.lazada.vn/products/bot-mam-lua-mach-non-grass-barley-noi-dia-nhat-ban-i996104955.html", "https://www.lazada.vn/products/bot-mam-lua-mach-non-grass-barley-noi-dia-nhat-ban-i996104955.html")</f>
        <v>https://www.lazada.vn/products/bot-mam-lua-mach-non-grass-barley-noi-dia-nhat-ban-i996104955.html</v>
      </c>
      <c r="C9192" s="10" t="s">
        <v>9192</v>
      </c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>
      <c r="A9193" s="8">
        <v>14047.0</v>
      </c>
      <c r="B9193" s="9" t="str">
        <f>HYPERLINK("https://www.lazada.vn/products/banh-chocopie-dua-hau-hop-336-gr-28461-i2903501714.html", "https://www.lazada.vn/products/banh-chocopie-dua-hau-hop-336-gr-28461-i2903501714.html")</f>
        <v>https://www.lazada.vn/products/banh-chocopie-dua-hau-hop-336-gr-28461-i2903501714.html</v>
      </c>
      <c r="C9193" s="10" t="s">
        <v>9193</v>
      </c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>
      <c r="A9194" s="8">
        <v>14048.0</v>
      </c>
      <c r="B9194" s="9" t="str">
        <f>HYPERLINK("https://www.lazada.vn/products/hang-moi-deal-hoi-1-cai-banh-nuong-trung-chay-dai-loan-egg-yolk-puff-do-an-vat-i2751399544.html", "https://www.lazada.vn/products/hang-moi-deal-hoi-1-cai-banh-nuong-trung-chay-dai-loan-egg-yolk-puff-do-an-vat-i2751399544.html")</f>
        <v>https://www.lazada.vn/products/hang-moi-deal-hoi-1-cai-banh-nuong-trung-chay-dai-loan-egg-yolk-puff-do-an-vat-i2751399544.html</v>
      </c>
      <c r="C9194" s="10" t="s">
        <v>9194</v>
      </c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>
      <c r="A9195" s="8">
        <v>14049.0</v>
      </c>
      <c r="B9195" s="9" t="str">
        <f>HYPERLINK("https://www.lazada.vn/products/bot-rau-ma-dau-xanh-cot-dua-100g-200g-300g-i2616232166.html", "https://www.lazada.vn/products/bot-rau-ma-dau-xanh-cot-dua-100g-200g-300g-i2616232166.html")</f>
        <v>https://www.lazada.vn/products/bot-rau-ma-dau-xanh-cot-dua-100g-200g-300g-i2616232166.html</v>
      </c>
      <c r="C9195" s="10" t="s">
        <v>9195</v>
      </c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>
      <c r="A9196" s="8">
        <v>14050.0</v>
      </c>
      <c r="B9196" s="9" t="str">
        <f>HYPERLINK("https://www.lazada.vn/products/banh-mi-cha-bong-staff-huu-nghi-goi-60g-date-moi-i2521935194.html", "https://www.lazada.vn/products/banh-mi-cha-bong-staff-huu-nghi-goi-60g-date-moi-i2521935194.html")</f>
        <v>https://www.lazada.vn/products/banh-mi-cha-bong-staff-huu-nghi-goi-60g-date-moi-i2521935194.html</v>
      </c>
      <c r="C9196" s="10" t="s">
        <v>9196</v>
      </c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>
      <c r="A9197" s="8">
        <v>14051.0</v>
      </c>
      <c r="B9197" s="9" t="str">
        <f>HYPERLINK("https://www.lazada.vn/products/keo-deo-orion-boom-jelly-up-goi-25g-i2893237770.html", "https://www.lazada.vn/products/keo-deo-orion-boom-jelly-up-goi-25g-i2893237770.html")</f>
        <v>https://www.lazada.vn/products/keo-deo-orion-boom-jelly-up-goi-25g-i2893237770.html</v>
      </c>
      <c r="C9197" s="10" t="s">
        <v>9197</v>
      </c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>
      <c r="A9198" s="8">
        <v>14052.0</v>
      </c>
      <c r="B9198" s="9" t="str">
        <f>HYPERLINK("https://www.lazada.vn/products/ruou-vang-do-tordelcolle-sangiovese-di-romagna-doc-riserva-i2400017944.html", "https://www.lazada.vn/products/ruou-vang-do-tordelcolle-sangiovese-di-romagna-doc-riserva-i2400017944.html")</f>
        <v>https://www.lazada.vn/products/ruou-vang-do-tordelcolle-sangiovese-di-romagna-doc-riserva-i2400017944.html</v>
      </c>
      <c r="C9198" s="10" t="s">
        <v>9198</v>
      </c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>
      <c r="A9199" s="8">
        <v>14053.0</v>
      </c>
      <c r="B9199" s="9" t="str">
        <f>HYPERLINK("https://www.lazada.vn/products/thach-zai-zai-tui-1kg-zai-zai-thanh-dai-hang-cong-ty-duc-hanh-i2035167297.html", "https://www.lazada.vn/products/thach-zai-zai-tui-1kg-zai-zai-thanh-dai-hang-cong-ty-duc-hanh-i2035167297.html")</f>
        <v>https://www.lazada.vn/products/thach-zai-zai-tui-1kg-zai-zai-thanh-dai-hang-cong-ty-duc-hanh-i2035167297.html</v>
      </c>
      <c r="C9199" s="10" t="s">
        <v>9199</v>
      </c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>
      <c r="A9200" s="8">
        <v>14054.0</v>
      </c>
      <c r="B9200" s="9" t="str">
        <f>HYPERLINK("https://www.lazada.vn/products/loc-6-chai-lemona-khoang-chanh-vinh-hao-500ml-i1661607772.html", "https://www.lazada.vn/products/loc-6-chai-lemona-khoang-chanh-vinh-hao-500ml-i1661607772.html")</f>
        <v>https://www.lazada.vn/products/loc-6-chai-lemona-khoang-chanh-vinh-hao-500ml-i1661607772.html</v>
      </c>
      <c r="C9200" s="10" t="s">
        <v>9200</v>
      </c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>
      <c r="A9201" s="8">
        <v>14055.0</v>
      </c>
      <c r="B9201" s="9" t="str">
        <f>HYPERLINK("https://www.lazada.vn/products/bia-400sc-ngua-lem-lep-hat-dao-on-kho-van-chai-250ml-i2785418239.html", "https://www.lazada.vn/products/bia-400sc-ngua-lem-lep-hat-dao-on-kho-van-chai-250ml-i2785418239.html")</f>
        <v>https://www.lazada.vn/products/bia-400sc-ngua-lem-lep-hat-dao-on-kho-van-chai-250ml-i2785418239.html</v>
      </c>
      <c r="C9201" s="10" t="s">
        <v>9201</v>
      </c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>
      <c r="A9202" s="8">
        <v>14056.0</v>
      </c>
      <c r="B9202" s="9" t="str">
        <f>HYPERLINK("https://www.lazada.vn/products/nescafe-sua-da-3in1-hop-10-goi-x-20g-i2738598406.html", "https://www.lazada.vn/products/nescafe-sua-da-3in1-hop-10-goi-x-20g-i2738598406.html")</f>
        <v>https://www.lazada.vn/products/nescafe-sua-da-3in1-hop-10-goi-x-20g-i2738598406.html</v>
      </c>
      <c r="C9202" s="10" t="s">
        <v>9202</v>
      </c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>
      <c r="A9203" s="8">
        <v>14057.0</v>
      </c>
      <c r="B9203" s="9" t="str">
        <f>HYPERLINK("https://www.lazada.vn/products/mi-tom-hao-hao-acecook-huong-vi-tom-chua-cay-xao-goi-75gr-i2893233799.html", "https://www.lazada.vn/products/mi-tom-hao-hao-acecook-huong-vi-tom-chua-cay-xao-goi-75gr-i2893233799.html")</f>
        <v>https://www.lazada.vn/products/mi-tom-hao-hao-acecook-huong-vi-tom-chua-cay-xao-goi-75gr-i2893233799.html</v>
      </c>
      <c r="C9203" s="10" t="s">
        <v>9203</v>
      </c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>
      <c r="A9204" s="8">
        <v>14058.0</v>
      </c>
      <c r="B9204" s="9" t="str">
        <f>HYPERLINK("https://www.lazada.vn/products/ca-phe-sua-vinacafe-gold-original-480g-24-goi-x-20g-i2685877571.html", "https://www.lazada.vn/products/ca-phe-sua-vinacafe-gold-original-480g-24-goi-x-20g-i2685877571.html")</f>
        <v>https://www.lazada.vn/products/ca-phe-sua-vinacafe-gold-original-480g-24-goi-x-20g-i2685877571.html</v>
      </c>
      <c r="C9204" s="10" t="s">
        <v>9204</v>
      </c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>
      <c r="A9205" s="8">
        <v>14059.0</v>
      </c>
      <c r="B9205" s="9" t="str">
        <f>HYPERLINK("https://www.lazada.vn/products/couverture-chocolate-trang-dang-nut-278-van-houten-goi-15kg-khach-dat-hoa-toc-tranh-chay-socola-i2861494923.html", "https://www.lazada.vn/products/couverture-chocolate-trang-dang-nut-278-van-houten-goi-15kg-khach-dat-hoa-toc-tranh-chay-socola-i2861494923.html")</f>
        <v>https://www.lazada.vn/products/couverture-chocolate-trang-dang-nut-278-van-houten-goi-15kg-khach-dat-hoa-toc-tranh-chay-socola-i2861494923.html</v>
      </c>
      <c r="C9205" s="10" t="s">
        <v>9205</v>
      </c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>
      <c r="A9206" s="8">
        <v>14060.0</v>
      </c>
      <c r="B9206" s="9" t="str">
        <f>HYPERLINK("https://www.lazada.vn/products/3q-bibi-goi-2kg-trang-nguyen-vi-i2413240958.html", "https://www.lazada.vn/products/3q-bibi-goi-2kg-trang-nguyen-vi-i2413240958.html")</f>
        <v>https://www.lazada.vn/products/3q-bibi-goi-2kg-trang-nguyen-vi-i2413240958.html</v>
      </c>
      <c r="C9206" s="10" t="s">
        <v>9206</v>
      </c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>
      <c r="A9207" s="8">
        <v>14061.0</v>
      </c>
      <c r="B9207" s="9" t="str">
        <f>HYPERLINK("https://www.lazada.vn/products/vang-do-y-1933-nhap-khau-chinh-hang_750ml-i2617282118.html", "https://www.lazada.vn/products/vang-do-y-1933-nhap-khau-chinh-hang_750ml-i2617282118.html")</f>
        <v>https://www.lazada.vn/products/vang-do-y-1933-nhap-khau-chinh-hang_750ml-i2617282118.html</v>
      </c>
      <c r="C9207" s="10" t="s">
        <v>9207</v>
      </c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>
      <c r="A9208" s="8">
        <v>14062.0</v>
      </c>
      <c r="B9208" s="9" t="str">
        <f>HYPERLINK("https://www.lazada.vn/products/nuoc-ngot-co-ga-cocacola-zero-khong-duong-chai-15-lit-i1908404449.html", "https://www.lazada.vn/products/nuoc-ngot-co-ga-cocacola-zero-khong-duong-chai-15-lit-i1908404449.html")</f>
        <v>https://www.lazada.vn/products/nuoc-ngot-co-ga-cocacola-zero-khong-duong-chai-15-lit-i1908404449.html</v>
      </c>
      <c r="C9208" s="10" t="s">
        <v>9208</v>
      </c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>
      <c r="A9209" s="8">
        <v>14063.0</v>
      </c>
      <c r="B9209" s="9" t="str">
        <f>HYPERLINK("https://www.lazada.vn/products/bap-xo-indi-vi-caramel-sua-han-quoc-i1497414091.html", "https://www.lazada.vn/products/bap-xo-indi-vi-caramel-sua-han-quoc-i1497414091.html")</f>
        <v>https://www.lazada.vn/products/bap-xo-indi-vi-caramel-sua-han-quoc-i1497414091.html</v>
      </c>
      <c r="C9209" s="10" t="s">
        <v>9209</v>
      </c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>
      <c r="A9210" s="8">
        <v>14064.0</v>
      </c>
      <c r="B9210" s="9" t="str">
        <f>HYPERLINK("https://www.lazada.vn/products/keo-socola-beryls-white-tiramisu-almond-180g-c-i2861444489.html", "https://www.lazada.vn/products/keo-socola-beryls-white-tiramisu-almond-180g-c-i2861444489.html")</f>
        <v>https://www.lazada.vn/products/keo-socola-beryls-white-tiramisu-almond-180g-c-i2861444489.html</v>
      </c>
      <c r="C9210" s="10" t="s">
        <v>9210</v>
      </c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>
      <c r="A9211" s="8">
        <v>14065.0</v>
      </c>
      <c r="B9211" s="9" t="str">
        <f>HYPERLINK("https://www.lazada.vn/products/1kg-bot-cacao-dak-lak-nguyen-chat-100-loai-nguyen-chat-i2617209709.html", "https://www.lazada.vn/products/1kg-bot-cacao-dak-lak-nguyen-chat-100-loai-nguyen-chat-i2617209709.html")</f>
        <v>https://www.lazada.vn/products/1kg-bot-cacao-dak-lak-nguyen-chat-100-loai-nguyen-chat-i2617209709.html</v>
      </c>
      <c r="C9211" s="10" t="s">
        <v>9211</v>
      </c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>
      <c r="A9212" s="8">
        <v>14066.0</v>
      </c>
      <c r="B9212" s="9" t="str">
        <f>HYPERLINK("https://www.lazada.vn/products/siro-sam-dua-vina-chai-750ml-i2413119983.html", "https://www.lazada.vn/products/siro-sam-dua-vina-chai-750ml-i2413119983.html")</f>
        <v>https://www.lazada.vn/products/siro-sam-dua-vina-chai-750ml-i2413119983.html</v>
      </c>
      <c r="C9212" s="10" t="s">
        <v>9212</v>
      </c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>
      <c r="A9213" s="8">
        <v>14067.0</v>
      </c>
      <c r="B9213" s="9" t="str">
        <f>HYPERLINK("https://www.lazada.vn/products/banh-thuyen-voi-nhan-hat-dinh-duong-nhieu-loai-fnv-vn-i2902231199.html", "https://www.lazada.vn/products/banh-thuyen-voi-nhan-hat-dinh-duong-nhieu-loai-fnv-vn-i2902231199.html")</f>
        <v>https://www.lazada.vn/products/banh-thuyen-voi-nhan-hat-dinh-duong-nhieu-loai-fnv-vn-i2902231199.html</v>
      </c>
      <c r="C9213" s="10" t="s">
        <v>9213</v>
      </c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>
      <c r="A9214" s="8">
        <v>14068.0</v>
      </c>
      <c r="B9214" s="9" t="str">
        <f>HYPERLINK("https://www.lazada.vn/products/cu-cai-ngam-nuoc-mam-cu-cai-ngam-nuoc-tuong-dua-mon-ngam-nuoc-mam-nha-lam-chat-luong-hu-500g-ngoc-hien-foods-i1713374515.html", "https://www.lazada.vn/products/cu-cai-ngam-nuoc-mam-cu-cai-ngam-nuoc-tuong-dua-mon-ngam-nuoc-mam-nha-lam-chat-luong-hu-500g-ngoc-hien-foods-i1713374515.html")</f>
        <v>https://www.lazada.vn/products/cu-cai-ngam-nuoc-mam-cu-cai-ngam-nuoc-tuong-dua-mon-ngam-nuoc-mam-nha-lam-chat-luong-hu-500g-ngoc-hien-foods-i1713374515.html</v>
      </c>
      <c r="C9214" s="10" t="s">
        <v>9214</v>
      </c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>
      <c r="A9215" s="8">
        <v>14069.0</v>
      </c>
      <c r="B9215" s="9" t="str">
        <f>HYPERLINK("https://www.lazada.vn/products/05-ky-banh-trang-xi-cay-tay-ninh-i2196035682.html", "https://www.lazada.vn/products/05-ky-banh-trang-xi-cay-tay-ninh-i2196035682.html")</f>
        <v>https://www.lazada.vn/products/05-ky-banh-trang-xi-cay-tay-ninh-i2196035682.html</v>
      </c>
      <c r="C9215" s="10" t="s">
        <v>9215</v>
      </c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>
      <c r="A9216" s="8">
        <v>14070.0</v>
      </c>
      <c r="B9216" s="9" t="str">
        <f>HYPERLINK("https://www.lazada.vn/products/mi-xao-indonice-i2803091161.html", "https://www.lazada.vn/products/mi-xao-indonice-i2803091161.html")</f>
        <v>https://www.lazada.vn/products/mi-xao-indonice-i2803091161.html</v>
      </c>
      <c r="C9216" s="10" t="s">
        <v>9216</v>
      </c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>
      <c r="A9217" s="8">
        <v>14071.0</v>
      </c>
      <c r="B9217" s="9" t="str">
        <f>HYPERLINK("https://www.lazada.vn/products/bot-san-day-500g-1kg-i2615979000.html", "https://www.lazada.vn/products/bot-san-day-500g-1kg-i2615979000.html")</f>
        <v>https://www.lazada.vn/products/bot-san-day-500g-1kg-i2615979000.html</v>
      </c>
      <c r="C9217" s="10" t="s">
        <v>9217</v>
      </c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>
      <c r="A9218" s="8">
        <v>14072.0</v>
      </c>
      <c r="B9218" s="9" t="str">
        <f>HYPERLINK("https://www.lazada.vn/products/banh-bong-lan-kem-huong-com-quasure-light-126gr-cho-nguoi-tieu-duong-an-kieng-vn-i2748827629.html", "https://www.lazada.vn/products/banh-bong-lan-kem-huong-com-quasure-light-126gr-cho-nguoi-tieu-duong-an-kieng-vn-i2748827629.html")</f>
        <v>https://www.lazada.vn/products/banh-bong-lan-kem-huong-com-quasure-light-126gr-cho-nguoi-tieu-duong-an-kieng-vn-i2748827629.html</v>
      </c>
      <c r="C9218" s="10" t="s">
        <v>9218</v>
      </c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>
      <c r="A9219" s="8">
        <v>14073.0</v>
      </c>
      <c r="B9219" s="9" t="str">
        <f>HYPERLINK("https://www.lazada.vn/products/banh-mi-tuoi-kinh-do-cha-bong-thit-bobo-suapizza-xuc-xichsandwichsocola-chip-i2521886847.html", "https://www.lazada.vn/products/banh-mi-tuoi-kinh-do-cha-bong-thit-bobo-suapizza-xuc-xichsandwichsocola-chip-i2521886847.html")</f>
        <v>https://www.lazada.vn/products/banh-mi-tuoi-kinh-do-cha-bong-thit-bobo-suapizza-xuc-xichsandwichsocola-chip-i2521886847.html</v>
      </c>
      <c r="C9219" s="10" t="s">
        <v>9219</v>
      </c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>
      <c r="A9220" s="8">
        <v>14074.0</v>
      </c>
      <c r="B9220" s="9" t="str">
        <f>HYPERLINK("https://www.lazada.vn/products/date-dep-052026bot-chocolate-nesquik-nestle-my-hop-1275-kg-i988216385.html", "https://www.lazada.vn/products/date-dep-052026bot-chocolate-nesquik-nestle-my-hop-1275-kg-i988216385.html")</f>
        <v>https://www.lazada.vn/products/date-dep-052026bot-chocolate-nesquik-nestle-my-hop-1275-kg-i988216385.html</v>
      </c>
      <c r="C9220" s="10" t="s">
        <v>9220</v>
      </c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>
      <c r="A9221" s="8">
        <v>14075.0</v>
      </c>
      <c r="B9221" s="9" t="str">
        <f>HYPERLINK("https://www.lazada.vn/products/date-92024-vien-uong-ho-tro-dau-lung-qp-kowa-koshitekuta-120-vien-nhat-ban-i1713173205.html", "https://www.lazada.vn/products/date-92024-vien-uong-ho-tro-dau-lung-qp-kowa-koshitekuta-120-vien-nhat-ban-i1713173205.html")</f>
        <v>https://www.lazada.vn/products/date-92024-vien-uong-ho-tro-dau-lung-qp-kowa-koshitekuta-120-vien-nhat-ban-i1713173205.html</v>
      </c>
      <c r="C9221" s="10" t="s">
        <v>9221</v>
      </c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>
      <c r="A9222" s="8">
        <v>14076.0</v>
      </c>
      <c r="B9222" s="9" t="str">
        <f>HYPERLINK("https://www.lazada.vn/products/banh-karo-richy-bo-trung-gion-150g-i2521803264.html", "https://www.lazada.vn/products/banh-karo-richy-bo-trung-gion-150g-i2521803264.html")</f>
        <v>https://www.lazada.vn/products/banh-karo-richy-bo-trung-gion-150g-i2521803264.html</v>
      </c>
      <c r="C9222" s="10" t="s">
        <v>9222</v>
      </c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>
      <c r="A9223" s="8">
        <v>14077.0</v>
      </c>
      <c r="B9223" s="9" t="str">
        <f>HYPERLINK("https://www.lazada.vn/products/ruou-vang-growers-gate-cabernet-sauvignon-i2400000982.html", "https://www.lazada.vn/products/ruou-vang-growers-gate-cabernet-sauvignon-i2400000982.html")</f>
        <v>https://www.lazada.vn/products/ruou-vang-growers-gate-cabernet-sauvignon-i2400000982.html</v>
      </c>
      <c r="C9223" s="10" t="s">
        <v>9223</v>
      </c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>
      <c r="A9224" s="8">
        <v>14078.0</v>
      </c>
      <c r="B9224" s="9" t="str">
        <f>HYPERLINK("https://www.lazada.vn/products/keo-deo-haribo-color-rado-750g-i2828463983.html", "https://www.lazada.vn/products/keo-deo-haribo-color-rado-750g-i2828463983.html")</f>
        <v>https://www.lazada.vn/products/keo-deo-haribo-color-rado-750g-i2828463983.html</v>
      </c>
      <c r="C9224" s="10" t="s">
        <v>9224</v>
      </c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>
      <c r="A9225" s="8">
        <v>14079.0</v>
      </c>
      <c r="B9225" s="9" t="str">
        <f>HYPERLINK("https://www.lazada.vn/products/thach-zai-zai-tui-1kg-zai-zai-thanh-dai-hang-cong-ty-duc-hanh-i2034971918.html", "https://www.lazada.vn/products/thach-zai-zai-tui-1kg-zai-zai-thanh-dai-hang-cong-ty-duc-hanh-i2034971918.html")</f>
        <v>https://www.lazada.vn/products/thach-zai-zai-tui-1kg-zai-zai-thanh-dai-hang-cong-ty-duc-hanh-i2034971918.html</v>
      </c>
      <c r="C9225" s="10" t="s">
        <v>9225</v>
      </c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>
      <c r="A9226" s="8">
        <v>14080.0</v>
      </c>
      <c r="B9226" s="9" t="str">
        <f>HYPERLINK("https://www.lazada.vn/products/nuoc-tang-luc-monster-energy-i1624130071.html", "https://www.lazada.vn/products/nuoc-tang-luc-monster-energy-i1624130071.html")</f>
        <v>https://www.lazada.vn/products/nuoc-tang-luc-monster-energy-i1624130071.html</v>
      </c>
      <c r="C9226" s="10" t="s">
        <v>9226</v>
      </c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>
      <c r="A9227" s="8">
        <v>14081.0</v>
      </c>
      <c r="B9227" s="9" t="str">
        <f>HYPERLINK("https://www.lazada.vn/products/enkua-whisky-bourbon-pha-le-thuy-tinh-snifter-rong-nem-ly-thu-cong-tot-cho-cognac-brandy-scotch-9-ounce260ml-i2784266534.html", "https://www.lazada.vn/products/enkua-whisky-bourbon-pha-le-thuy-tinh-snifter-rong-nem-ly-thu-cong-tot-cho-cognac-brandy-scotch-9-ounce260ml-i2784266534.html")</f>
        <v>https://www.lazada.vn/products/enkua-whisky-bourbon-pha-le-thuy-tinh-snifter-rong-nem-ly-thu-cong-tot-cho-cognac-brandy-scotch-9-ounce260ml-i2784266534.html</v>
      </c>
      <c r="C9227" s="10" t="s">
        <v>9227</v>
      </c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>
      <c r="A9228" s="8">
        <v>14082.0</v>
      </c>
      <c r="B9228" s="9" t="str">
        <f>HYPERLINK("https://www.lazada.vn/products/coop-online-mi-xao-indomie-vi-suon-goi-80g-i2860247602.html", "https://www.lazada.vn/products/coop-online-mi-xao-indomie-vi-suon-goi-80g-i2860247602.html")</f>
        <v>https://www.lazada.vn/products/coop-online-mi-xao-indomie-vi-suon-goi-80g-i2860247602.html</v>
      </c>
      <c r="C9228" s="10" t="s">
        <v>9228</v>
      </c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>
      <c r="A9229" s="8">
        <v>14083.0</v>
      </c>
      <c r="B9229" s="9" t="str">
        <f>HYPERLINK("https://www.lazada.vn/products/ca-phe-sua-nescafe-3in1-vi-nguyen-ban-hop-288g-18-goi-x-16g-i2685861974.html", "https://www.lazada.vn/products/ca-phe-sua-nescafe-3in1-vi-nguyen-ban-hop-288g-18-goi-x-16g-i2685861974.html")</f>
        <v>https://www.lazada.vn/products/ca-phe-sua-nescafe-3in1-vi-nguyen-ban-hop-288g-18-goi-x-16g-i2685861974.html</v>
      </c>
      <c r="C9229" s="10" t="s">
        <v>9229</v>
      </c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>
      <c r="A9230" s="8">
        <v>14084.0</v>
      </c>
      <c r="B9230" s="9" t="str">
        <f>HYPERLINK("https://www.lazada.vn/products/hcmtui-no-bap-rang-bo-1kg-i1463114614.html", "https://www.lazada.vn/products/hcmtui-no-bap-rang-bo-1kg-i1463114614.html")</f>
        <v>https://www.lazada.vn/products/hcmtui-no-bap-rang-bo-1kg-i1463114614.html</v>
      </c>
      <c r="C9230" s="10" t="s">
        <v>9230</v>
      </c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>
      <c r="A9231" s="8">
        <v>14085.0</v>
      </c>
      <c r="B9231" s="9" t="str">
        <f>HYPERLINK("https://www.lazada.vn/products/nuoc-ngot-co-ga-cocacola-zero-khong-duong-chai-390ml-i1908277886.html", "https://www.lazada.vn/products/nuoc-ngot-co-ga-cocacola-zero-khong-duong-chai-390ml-i1908277886.html")</f>
        <v>https://www.lazada.vn/products/nuoc-ngot-co-ga-cocacola-zero-khong-duong-chai-390ml-i1908277886.html</v>
      </c>
      <c r="C9231" s="10" t="s">
        <v>9231</v>
      </c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>
      <c r="A9232" s="8">
        <v>14086.0</v>
      </c>
      <c r="B9232" s="9" t="str">
        <f>HYPERLINK("https://www.lazada.vn/products/keo-socola-twix-sua-va-caramen-159gr-59756-i2861442102.html", "https://www.lazada.vn/products/keo-socola-twix-sua-va-caramen-159gr-59756-i2861442102.html")</f>
        <v>https://www.lazada.vn/products/keo-socola-twix-sua-va-caramen-159gr-59756-i2861442102.html</v>
      </c>
      <c r="C9232" s="10" t="s">
        <v>9232</v>
      </c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>
      <c r="A9233" s="8">
        <v>14087.0</v>
      </c>
      <c r="B9233" s="9" t="str">
        <f>HYPERLINK("https://www.lazada.vn/products/combo-2-goi-mi-tron-tuong-den-koreno-khong-cay-i2825064265.html", "https://www.lazada.vn/products/combo-2-goi-mi-tron-tuong-den-koreno-khong-cay-i2825064265.html")</f>
        <v>https://www.lazada.vn/products/combo-2-goi-mi-tron-tuong-den-koreno-khong-cay-i2825064265.html</v>
      </c>
      <c r="C9233" s="10" t="s">
        <v>9233</v>
      </c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>
      <c r="A9234" s="8">
        <v>14088.0</v>
      </c>
      <c r="B9234" s="9" t="str">
        <f>HYPERLINK("https://www.lazada.vn/products/sirup-teisseire-la-dua-700ml-pandan-teisseire-syrup-i2412802138.html", "https://www.lazada.vn/products/sirup-teisseire-la-dua-700ml-pandan-teisseire-syrup-i2412802138.html")</f>
        <v>https://www.lazada.vn/products/sirup-teisseire-la-dua-700ml-pandan-teisseire-syrup-i2412802138.html</v>
      </c>
      <c r="C9234" s="10" t="s">
        <v>9234</v>
      </c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>
      <c r="A9235" s="8">
        <v>14089.0</v>
      </c>
      <c r="B9235" s="9" t="str">
        <f>HYPERLINK("https://www.lazada.vn/products/thuc-uong-dinh-duong-tu-hat-diasure-canxi-650g-thuan-tu-nhien-ho-tro-toan-dien-cac-van-de-ve-xuong-khop-i2615564145.html", "https://www.lazada.vn/products/thuc-uong-dinh-duong-tu-hat-diasure-canxi-650g-thuan-tu-nhien-ho-tro-toan-dien-cac-van-de-ve-xuong-khop-i2615564145.html")</f>
        <v>https://www.lazada.vn/products/thuc-uong-dinh-duong-tu-hat-diasure-canxi-650g-thuan-tu-nhien-ho-tro-toan-dien-cac-van-de-ve-xuong-khop-i2615564145.html</v>
      </c>
      <c r="C9235" s="10" t="s">
        <v>9235</v>
      </c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>
      <c r="A9236" s="8">
        <v>14090.0</v>
      </c>
      <c r="B9236" s="9" t="str">
        <f>HYPERLINK("https://www.lazada.vn/products/mi-omachi-i2802991406.html", "https://www.lazada.vn/products/mi-omachi-i2802991406.html")</f>
        <v>https://www.lazada.vn/products/mi-omachi-i2802991406.html</v>
      </c>
      <c r="C9236" s="10" t="s">
        <v>9236</v>
      </c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>
      <c r="A9237" s="8">
        <v>14091.0</v>
      </c>
      <c r="B9237" s="9" t="str">
        <f>HYPERLINK("https://www.lazada.vn/products/bo-ket-qua-dep-gia-tot-1-kg-i2616556189.html", "https://www.lazada.vn/products/bo-ket-qua-dep-gia-tot-1-kg-i2616556189.html")</f>
        <v>https://www.lazada.vn/products/bo-ket-qua-dep-gia-tot-1-kg-i2616556189.html</v>
      </c>
      <c r="C9237" s="10" t="s">
        <v>9237</v>
      </c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>
      <c r="A9238" s="8">
        <v>14092.0</v>
      </c>
      <c r="B9238" s="9" t="str">
        <f>HYPERLINK("https://www.lazada.vn/products/bim-que-stick-biscuit-do-110g-thai-lan-i2194253340.html", "https://www.lazada.vn/products/bim-que-stick-biscuit-do-110g-thai-lan-i2194253340.html")</f>
        <v>https://www.lazada.vn/products/bim-que-stick-biscuit-do-110g-thai-lan-i2194253340.html</v>
      </c>
      <c r="C9238" s="10" t="s">
        <v>9238</v>
      </c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>
      <c r="A9239" s="8">
        <v>14093.0</v>
      </c>
      <c r="B9239" s="9" t="str">
        <f>HYPERLINK("https://www.lazada.vn/products/200gr-bot-cacao-nguyen-chat-i966848713.html", "https://www.lazada.vn/products/200gr-bot-cacao-nguyen-chat-i966848713.html")</f>
        <v>https://www.lazada.vn/products/200gr-bot-cacao-nguyen-chat-i966848713.html</v>
      </c>
      <c r="C9239" s="10" t="s">
        <v>9239</v>
      </c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>
      <c r="A9240" s="8">
        <v>14094.0</v>
      </c>
      <c r="B9240" s="9" t="str">
        <f>HYPERLINK("https://www.lazada.vn/products/banh-mi-an-sang-orion-cest-bon-85g-vi-pho-maithit-gatrung-vi-bo-toi-dut-lo-new-i2521541053.html", "https://www.lazada.vn/products/banh-mi-an-sang-orion-cest-bon-85g-vi-pho-maithit-gatrung-vi-bo-toi-dut-lo-new-i2521541053.html")</f>
        <v>https://www.lazada.vn/products/banh-mi-an-sang-orion-cest-bon-85g-vi-pho-maithit-gatrung-vi-bo-toi-dut-lo-new-i2521541053.html</v>
      </c>
      <c r="C9240" s="10" t="s">
        <v>9240</v>
      </c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>
      <c r="A9241" s="8">
        <v>14095.0</v>
      </c>
      <c r="B9241" s="9" t="str">
        <f>HYPERLINK("https://www.lazada.vn/products/banh-gai-sua-thom-ngon-500gr-i2897847774.html", "https://www.lazada.vn/products/banh-gai-sua-thom-ngon-500gr-i2897847774.html")</f>
        <v>https://www.lazada.vn/products/banh-gai-sua-thom-ngon-500gr-i2897847774.html</v>
      </c>
      <c r="C9241" s="10" t="s">
        <v>9241</v>
      </c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>
      <c r="A9242" s="8">
        <v>14096.0</v>
      </c>
      <c r="B9242" s="9" t="str">
        <f>HYPERLINK("https://www.lazada.vn/products/hop-son-mai-1-chai-ruou-vang-le-limited-edition-primitivo-750ml-i2399499140.html", "https://www.lazada.vn/products/hop-son-mai-1-chai-ruou-vang-le-limited-edition-primitivo-750ml-i2399499140.html")</f>
        <v>https://www.lazada.vn/products/hop-son-mai-1-chai-ruou-vang-le-limited-edition-primitivo-750ml-i2399499140.html</v>
      </c>
      <c r="C9242" s="10" t="s">
        <v>9242</v>
      </c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>
      <c r="A9243" s="8">
        <v>14097.0</v>
      </c>
      <c r="B9243" s="9" t="str">
        <f>HYPERLINK("https://www.lazada.vn/products/banh-mi-tuoi-o-dai-kinh-do-90gr-du-cac-vi-bo-sua-socola-khoai-mon-i2521486308.html", "https://www.lazada.vn/products/banh-mi-tuoi-o-dai-kinh-do-90gr-du-cac-vi-bo-sua-socola-khoai-mon-i2521486308.html")</f>
        <v>https://www.lazada.vn/products/banh-mi-tuoi-o-dai-kinh-do-90gr-du-cac-vi-bo-sua-socola-khoai-mon-i2521486308.html</v>
      </c>
      <c r="C9243" s="10" t="s">
        <v>9243</v>
      </c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>
      <c r="A9244" s="8">
        <v>14098.0</v>
      </c>
      <c r="B9244" s="9" t="str">
        <f>HYPERLINK("https://www.lazada.vn/products/combos-1-tui-keo-deo-chupa-chups-cau-vong-day-1-met-12-day-i2788932521.html", "https://www.lazada.vn/products/combos-1-tui-keo-deo-chupa-chups-cau-vong-day-1-met-12-day-i2788932521.html")</f>
        <v>https://www.lazada.vn/products/combos-1-tui-keo-deo-chupa-chups-cau-vong-day-1-met-12-day-i2788932521.html</v>
      </c>
      <c r="C9244" s="10" t="s">
        <v>9244</v>
      </c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>
      <c r="A9245" s="8">
        <v>14099.0</v>
      </c>
      <c r="B9245" s="9" t="str">
        <f>HYPERLINK("https://www.lazada.vn/products/keo-thach-zaizai-duc-hanh-320g350g1kg-thach-ngan-thach-dai-thach-sua-chua-i2033308568.html", "https://www.lazada.vn/products/keo-thach-zaizai-duc-hanh-320g350g1kg-thach-ngan-thach-dai-thach-sua-chua-i2033308568.html")</f>
        <v>https://www.lazada.vn/products/keo-thach-zaizai-duc-hanh-320g350g1kg-thach-ngan-thach-dai-thach-sua-chua-i2033308568.html</v>
      </c>
      <c r="C9245" s="10" t="s">
        <v>9245</v>
      </c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>
      <c r="A9246" s="8">
        <v>14100.0</v>
      </c>
      <c r="B9246" s="9" t="str">
        <f>HYPERLINK("https://www.lazada.vn/products/hcm-bo-huc-thai-loc-6-lon-250-ml-i1621475370.html", "https://www.lazada.vn/products/hcm-bo-huc-thai-loc-6-lon-250-ml-i1621475370.html")</f>
        <v>https://www.lazada.vn/products/hcm-bo-huc-thai-loc-6-lon-250-ml-i1621475370.html</v>
      </c>
      <c r="C9246" s="10" t="s">
        <v>9246</v>
      </c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>
      <c r="A9247" s="8">
        <v>14101.0</v>
      </c>
      <c r="B9247" s="9" t="str">
        <f>HYPERLINK("https://www.lazada.vn/products/500ml-giam-nuoi-nha-lam-i1711495651.html", "https://www.lazada.vn/products/500ml-giam-nuoi-nha-lam-i1711495651.html")</f>
        <v>https://www.lazada.vn/products/500ml-giam-nuoi-nha-lam-i1711495651.html</v>
      </c>
      <c r="C9247" s="10" t="s">
        <v>9247</v>
      </c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>
      <c r="A9248" s="8">
        <v>14102.0</v>
      </c>
      <c r="B9248" s="9" t="str">
        <f>HYPERLINK("https://www.lazada.vn/products/bia-duvel-666-nhap-khau-bi-1-chai-330ml-i2770970444.html", "https://www.lazada.vn/products/bia-duvel-666-nhap-khau-bi-1-chai-330ml-i2770970444.html")</f>
        <v>https://www.lazada.vn/products/bia-duvel-666-nhap-khau-bi-1-chai-330ml-i2770970444.html</v>
      </c>
      <c r="C9248" s="10" t="s">
        <v>9248</v>
      </c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>
      <c r="A9249" s="8">
        <v>14103.0</v>
      </c>
      <c r="B9249" s="9" t="str">
        <f>HYPERLINK("https://www.lazada.vn/products/mi-cay-shin-ramyun-han-quoc-120g-i2745831952.html", "https://www.lazada.vn/products/mi-cay-shin-ramyun-han-quoc-120g-i2745831952.html")</f>
        <v>https://www.lazada.vn/products/mi-cay-shin-ramyun-han-quoc-120g-i2745831952.html</v>
      </c>
      <c r="C9249" s="10" t="s">
        <v>9249</v>
      </c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>
      <c r="A9250" s="8">
        <v>14104.0</v>
      </c>
      <c r="B9250" s="9" t="str">
        <f>HYPERLINK("https://www.lazada.vn/products/bap-rang-bo-1kg-loai-buom-ty-le-no-95-99-dam-bao-an-toan-thuc-pham-de-che-bien-thom-ngon-i1463047818.html", "https://www.lazada.vn/products/bap-rang-bo-1kg-loai-buom-ty-le-no-95-99-dam-bao-an-toan-thuc-pham-de-che-bien-thom-ngon-i1463047818.html")</f>
        <v>https://www.lazada.vn/products/bap-rang-bo-1kg-loai-buom-ty-le-no-95-99-dam-bao-an-toan-thuc-pham-de-che-bien-thom-ngon-i1463047818.html</v>
      </c>
      <c r="C9250" s="10" t="s">
        <v>9250</v>
      </c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>
      <c r="A9251" s="8">
        <v>14105.0</v>
      </c>
      <c r="B9251" s="9" t="str">
        <f>HYPERLINK("https://www.lazada.vn/products/nuoc-ngot-co-ga-vi-nho-nuoc-nho-co-ga-350ml-x-6-chai-okf-han-quoc-i1908220445.html", "https://www.lazada.vn/products/nuoc-ngot-co-ga-vi-nho-nuoc-nho-co-ga-350ml-x-6-chai-okf-han-quoc-i1908220445.html")</f>
        <v>https://www.lazada.vn/products/nuoc-ngot-co-ga-vi-nho-nuoc-nho-co-ga-350ml-x-6-chai-okf-han-quoc-i1908220445.html</v>
      </c>
      <c r="C9251" s="10" t="s">
        <v>9251</v>
      </c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>
      <c r="A9252" s="8">
        <v>14106.0</v>
      </c>
      <c r="B9252" s="9" t="str">
        <f>HYPERLINK("https://www.lazada.vn/products/keo-socola-ferrero-rocher-625gr-35906-i2861335891.html", "https://www.lazada.vn/products/keo-socola-ferrero-rocher-625gr-35906-i2861335891.html")</f>
        <v>https://www.lazada.vn/products/keo-socola-ferrero-rocher-625gr-35906-i2861335891.html</v>
      </c>
      <c r="C9252" s="10" t="s">
        <v>9252</v>
      </c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>
      <c r="A9253" s="8">
        <v>14107.0</v>
      </c>
      <c r="B9253" s="9" t="str">
        <f>HYPERLINK("https://www.lazada.vn/products/pho-bo-de-nhat-goi-65g-i2732025365.html", "https://www.lazada.vn/products/pho-bo-de-nhat-goi-65g-i2732025365.html")</f>
        <v>https://www.lazada.vn/products/pho-bo-de-nhat-goi-65g-i2732025365.html</v>
      </c>
      <c r="C9253" s="10" t="s">
        <v>9253</v>
      </c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>
      <c r="A9254" s="8">
        <v>14108.0</v>
      </c>
      <c r="B9254" s="9" t="str">
        <f>HYPERLINK("https://www.lazada.vn/products/chai-bong-ngo-popcorn-sieu-to-khong-lo-vi-caramel-350gr-13kg-i1429830417.html", "https://www.lazada.vn/products/chai-bong-ngo-popcorn-sieu-to-khong-lo-vi-caramel-350gr-13kg-i1429830417.html")</f>
        <v>https://www.lazada.vn/products/chai-bong-ngo-popcorn-sieu-to-khong-lo-vi-caramel-350gr-13kg-i1429830417.html</v>
      </c>
      <c r="C9254" s="10" t="s">
        <v>9254</v>
      </c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>
      <c r="A9255" s="8">
        <v>14109.0</v>
      </c>
      <c r="B9255" s="9" t="str">
        <f>HYPERLINK("https://www.lazada.vn/products/nuoc-ngot-1lit5-pesi-7up-coca-minida-cam-i1897408828.html", "https://www.lazada.vn/products/nuoc-ngot-1lit5-pesi-7up-coca-minida-cam-i1897408828.html")</f>
        <v>https://www.lazada.vn/products/nuoc-ngot-1lit5-pesi-7up-coca-minida-cam-i1897408828.html</v>
      </c>
      <c r="C9255" s="10" t="s">
        <v>9255</v>
      </c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>
      <c r="A9256" s="8">
        <v>14110.0</v>
      </c>
      <c r="B9256" s="9" t="str">
        <f>HYPERLINK("https://www.lazada.vn/products/chinh-hang-ca-phe-sau-rieng-durian-rockcafe-30-goi-ca-phe-hoa-tan-thom-ngon-dam-vi-beo-sau-rieng-i2669448995.html", "https://www.lazada.vn/products/chinh-hang-ca-phe-sau-rieng-durian-rockcafe-30-goi-ca-phe-hoa-tan-thom-ngon-dam-vi-beo-sau-rieng-i2669448995.html")</f>
        <v>https://www.lazada.vn/products/chinh-hang-ca-phe-sau-rieng-durian-rockcafe-30-goi-ca-phe-hoa-tan-thom-ngon-dam-vi-beo-sau-rieng-i2669448995.html</v>
      </c>
      <c r="C9256" s="10" t="s">
        <v>9256</v>
      </c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>
      <c r="A9257" s="8">
        <v>14111.0</v>
      </c>
      <c r="B9257" s="9" t="str">
        <f>HYPERLINK("https://www.lazada.vn/products/mien-an-lien-vi-cay-ottogi-378g-i2801698203.html", "https://www.lazada.vn/products/mien-an-lien-vi-cay-ottogi-378g-i2801698203.html")</f>
        <v>https://www.lazada.vn/products/mien-an-lien-vi-cay-ottogi-378g-i2801698203.html</v>
      </c>
      <c r="C9257" s="10" t="s">
        <v>9257</v>
      </c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>
      <c r="A9258" s="8">
        <v>14112.0</v>
      </c>
      <c r="B9258" s="9" t="str">
        <f>HYPERLINK("https://www.lazada.vn/products/siro-3in1-hosotso-mui-han-quoc-danh-cho-be-tu-2-tuoi-an-toan-hieu-qua-lanh-tinh-i2412069238.html", "https://www.lazada.vn/products/siro-3in1-hosotso-mui-han-quoc-danh-cho-be-tu-2-tuoi-an-toan-hieu-qua-lanh-tinh-i2412069238.html")</f>
        <v>https://www.lazada.vn/products/siro-3in1-hosotso-mui-han-quoc-danh-cho-be-tu-2-tuoi-an-toan-hieu-qua-lanh-tinh-i2412069238.html</v>
      </c>
      <c r="C9258" s="10" t="s">
        <v>9258</v>
      </c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>
      <c r="A9259" s="8">
        <v>14113.0</v>
      </c>
      <c r="B9259" s="9" t="str">
        <f>HYPERLINK("https://www.lazada.vn/products/tinh-khiet-qua-acai-berry-bot-anthocyanin-trai-cay-va-rau-soi-bot-uong-ran-uong-i2615520021.html", "https://www.lazada.vn/products/tinh-khiet-qua-acai-berry-bot-anthocyanin-trai-cay-va-rau-soi-bot-uong-ran-uong-i2615520021.html")</f>
        <v>https://www.lazada.vn/products/tinh-khiet-qua-acai-berry-bot-anthocyanin-trai-cay-va-rau-soi-bot-uong-ran-uong-i2615520021.html</v>
      </c>
      <c r="C9259" s="10" t="s">
        <v>9259</v>
      </c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>
      <c r="A9260" s="8">
        <v>14114.0</v>
      </c>
      <c r="B9260" s="9" t="str">
        <f>HYPERLINK("https://www.lazada.vn/products/ruou-soju-han-quoc-soulmate-original-fresh-360ml-vi-nguyen-ban-i2614575155.html", "https://www.lazada.vn/products/ruou-soju-han-quoc-soulmate-original-fresh-360ml-vi-nguyen-ban-i2614575155.html")</f>
        <v>https://www.lazada.vn/products/ruou-soju-han-quoc-soulmate-original-fresh-360ml-vi-nguyen-ban-i2614575155.html</v>
      </c>
      <c r="C9260" s="10" t="s">
        <v>9260</v>
      </c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>
      <c r="A9261" s="8">
        <v>14115.0</v>
      </c>
      <c r="B9261" s="9" t="str">
        <f>HYPERLINK("https://www.lazada.vn/products/1-goi-snack-cay-hang-dai-320g-i2193373006.html", "https://www.lazada.vn/products/1-goi-snack-cay-hang-dai-320g-i2193373006.html")</f>
        <v>https://www.lazada.vn/products/1-goi-snack-cay-hang-dai-320g-i2193373006.html</v>
      </c>
      <c r="C9261" s="10" t="s">
        <v>9261</v>
      </c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>
      <c r="A9262" s="8">
        <v>14116.0</v>
      </c>
      <c r="B9262" s="9" t="str">
        <f>HYPERLINK("https://www.lazada.vn/products/combo-2-banh-quy-kep-kem-bo-creamy-butter-sand-namu-60gr-hoan-hao-cho-tin-do-banh-ngot-i2897245655.html", "https://www.lazada.vn/products/combo-2-banh-quy-kep-kem-bo-creamy-butter-sand-namu-60gr-hoan-hao-cho-tin-do-banh-ngot-i2897245655.html")</f>
        <v>https://www.lazada.vn/products/combo-2-banh-quy-kep-kem-bo-creamy-butter-sand-namu-60gr-hoan-hao-cho-tin-do-banh-ngot-i2897245655.html</v>
      </c>
      <c r="C9262" s="10" t="s">
        <v>9262</v>
      </c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>
      <c r="A9263" s="8">
        <v>14117.0</v>
      </c>
      <c r="B9263" s="9" t="str">
        <f>HYPERLINK("https://www.lazada.vn/products/ngu-coc-dinh-duong-bfast-tui-20-goi-x-25g-i959664191.html", "https://www.lazada.vn/products/ngu-coc-dinh-duong-bfast-tui-20-goi-x-25g-i959664191.html")</f>
        <v>https://www.lazada.vn/products/ngu-coc-dinh-duong-bfast-tui-20-goi-x-25g-i959664191.html</v>
      </c>
      <c r="C9263" s="10" t="s">
        <v>9263</v>
      </c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>
      <c r="A9264" s="8">
        <v>14118.0</v>
      </c>
      <c r="B9264" s="9" t="str">
        <f>HYPERLINK("https://www.lazada.vn/products/bich-500g-ria-banh-trang-phoi-suong-banh-deo-khong-man-khong-chua-gia-vi-banh-trang-tron-i2732483603.html", "https://www.lazada.vn/products/bich-500g-ria-banh-trang-phoi-suong-banh-deo-khong-man-khong-chua-gia-vi-banh-trang-tron-i2732483603.html")</f>
        <v>https://www.lazada.vn/products/bich-500g-ria-banh-trang-phoi-suong-banh-deo-khong-man-khong-chua-gia-vi-banh-trang-tron-i2732483603.html</v>
      </c>
      <c r="C9264" s="10" t="s">
        <v>9264</v>
      </c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>
      <c r="A9265" s="8">
        <v>14119.0</v>
      </c>
      <c r="B9265" s="9" t="str">
        <f>HYPERLINK("https://www.lazada.vn/products/1kg-sam-duong-quy-tuoi-tay-bac3cu-tren-1kg-i1707234586.html", "https://www.lazada.vn/products/1kg-sam-duong-quy-tuoi-tay-bac3cu-tren-1kg-i1707234586.html")</f>
        <v>https://www.lazada.vn/products/1kg-sam-duong-quy-tuoi-tay-bac3cu-tren-1kg-i1707234586.html</v>
      </c>
      <c r="C9265" s="10" t="s">
        <v>9265</v>
      </c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>
      <c r="A9266" s="8">
        <v>14120.0</v>
      </c>
      <c r="B9266" s="9" t="str">
        <f>HYPERLINK("https://www.lazada.vn/products/banh-mi-tuoi-ha-noi-new-ruoc-socola-com-khoai-mon-dua-luoi-70g-du-vi-date-luon-moi-i2521335774.html", "https://www.lazada.vn/products/banh-mi-tuoi-ha-noi-new-ruoc-socola-com-khoai-mon-dua-luoi-70g-du-vi-date-luon-moi-i2521335774.html")</f>
        <v>https://www.lazada.vn/products/banh-mi-tuoi-ha-noi-new-ruoc-socola-com-khoai-mon-dua-luoi-70g-du-vi-date-luon-moi-i2521335774.html</v>
      </c>
      <c r="C9266" s="10" t="s">
        <v>9266</v>
      </c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>
      <c r="A9267" s="8">
        <v>14121.0</v>
      </c>
      <c r="B9267" s="9" t="str">
        <f>HYPERLINK("https://www.lazada.vn/products/hop-son-mai-2-chai-ruou-vang-1879-reserva-cabernet-sauvignon-i2399487116.html", "https://www.lazada.vn/products/hop-son-mai-2-chai-ruou-vang-1879-reserva-cabernet-sauvignon-i2399487116.html")</f>
        <v>https://www.lazada.vn/products/hop-son-mai-2-chai-ruou-vang-1879-reserva-cabernet-sauvignon-i2399487116.html</v>
      </c>
      <c r="C9267" s="10" t="s">
        <v>9267</v>
      </c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>
      <c r="A9268" s="8">
        <v>14122.0</v>
      </c>
      <c r="B9268" s="9" t="str">
        <f>HYPERLINK("https://www.lazada.vn/products/an-la-ghien-goi-300g-keo-deo-xoai-lot-vo-dai-long-xoai-xanhxoai-vang-i2660370613.html", "https://www.lazada.vn/products/an-la-ghien-goi-300g-keo-deo-xoai-lot-vo-dai-long-xoai-xanhxoai-vang-i2660370613.html")</f>
        <v>https://www.lazada.vn/products/an-la-ghien-goi-300g-keo-deo-xoai-lot-vo-dai-long-xoai-xanhxoai-vang-i2660370613.html</v>
      </c>
      <c r="C9268" s="10" t="s">
        <v>9268</v>
      </c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>
      <c r="A9269" s="8">
        <v>14123.0</v>
      </c>
      <c r="B9269" s="9" t="str">
        <f>HYPERLINK("https://www.lazada.vn/products/thach-zai-zai-plus-tra-sua-tran-chau-moi-tui-320g500g1kg-do-an-vat-an-vat-i2031844875.html", "https://www.lazada.vn/products/thach-zai-zai-plus-tra-sua-tran-chau-moi-tui-320g500g1kg-do-an-vat-an-vat-i2031844875.html")</f>
        <v>https://www.lazada.vn/products/thach-zai-zai-plus-tra-sua-tran-chau-moi-tui-320g500g1kg-do-an-vat-an-vat-i2031844875.html</v>
      </c>
      <c r="C9269" s="10" t="s">
        <v>9269</v>
      </c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>
      <c r="A9270" s="8">
        <v>14124.0</v>
      </c>
      <c r="B9270" s="9" t="str">
        <f>HYPERLINK("https://www.lazada.vn/products/thung-24-chai-nuoc-khoang-thien-nhien-evian-phap-330ml-330ml-x-24-xuat-xu-phap-i1608476110.html", "https://www.lazada.vn/products/thung-24-chai-nuoc-khoang-thien-nhien-evian-phap-330ml-330ml-x-24-xuat-xu-phap-i1608476110.html")</f>
        <v>https://www.lazada.vn/products/thung-24-chai-nuoc-khoang-thien-nhien-evian-phap-330ml-330ml-x-24-xuat-xu-phap-i1608476110.html</v>
      </c>
      <c r="C9270" s="10" t="s">
        <v>9270</v>
      </c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>
      <c r="A9271" s="8">
        <v>14125.0</v>
      </c>
      <c r="B9271" s="9" t="str">
        <f>HYPERLINK("https://www.lazada.vn/products/bia-duvel-666-nhap-khau-bi-1-chai-330ml-i2770944467.html", "https://www.lazada.vn/products/bia-duvel-666-nhap-khau-bi-1-chai-330ml-i2770944467.html")</f>
        <v>https://www.lazada.vn/products/bia-duvel-666-nhap-khau-bi-1-chai-330ml-i2770944467.html</v>
      </c>
      <c r="C9271" s="10" t="s">
        <v>9271</v>
      </c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>
      <c r="A9272" s="8">
        <v>14126.0</v>
      </c>
      <c r="B9272" s="9" t="str">
        <f>HYPERLINK("https://www.lazada.vn/products/hang-uc-socola-sua-boc-nho-kho-dau-phong-thach-dau-thuong-hieu-dairy-fine-milk-chocolate-coated-i2861278146.html", "https://www.lazada.vn/products/hang-uc-socola-sua-boc-nho-kho-dau-phong-thach-dau-thuong-hieu-dairy-fine-milk-chocolate-coated-i2861278146.html")</f>
        <v>https://www.lazada.vn/products/hang-uc-socola-sua-boc-nho-kho-dau-phong-thach-dau-thuong-hieu-dairy-fine-milk-chocolate-coated-i2861278146.html</v>
      </c>
      <c r="C9272" s="10" t="s">
        <v>9272</v>
      </c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>
      <c r="A9273" s="8">
        <v>14127.0</v>
      </c>
      <c r="B9273" s="9" t="str">
        <f>HYPERLINK("https://www.lazada.vn/products/hu-tieu-nam-vang-nhip-song-goi-70g-i2731993751.html", "https://www.lazada.vn/products/hu-tieu-nam-vang-nhip-song-goi-70g-i2731993751.html")</f>
        <v>https://www.lazada.vn/products/hu-tieu-nam-vang-nhip-song-goi-70g-i2731993751.html</v>
      </c>
      <c r="C9273" s="10" t="s">
        <v>9273</v>
      </c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>
      <c r="A9274" s="8">
        <v>14128.0</v>
      </c>
      <c r="B9274" s="9" t="str">
        <f>HYPERLINK("https://www.lazada.vn/products/pho-ga-de-nhat-goi-65g-i2731953810.html", "https://www.lazada.vn/products/pho-ga-de-nhat-goi-65g-i2731953810.html")</f>
        <v>https://www.lazada.vn/products/pho-ga-de-nhat-goi-65g-i2731953810.html</v>
      </c>
      <c r="C9274" s="10" t="s">
        <v>9274</v>
      </c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>
      <c r="A9275" s="8">
        <v>14129.0</v>
      </c>
      <c r="B9275" s="9" t="str">
        <f>HYPERLINK("https://www.lazada.vn/products/loc-6-lon-nuoc-giai-khat-pepsistingcoca7upmirindabo-huc-i1852085437.html", "https://www.lazada.vn/products/loc-6-lon-nuoc-giai-khat-pepsistingcoca7upmirindabo-huc-i1852085437.html")</f>
        <v>https://www.lazada.vn/products/loc-6-lon-nuoc-giai-khat-pepsistingcoca7upmirindabo-huc-i1852085437.html</v>
      </c>
      <c r="C9275" s="10" t="s">
        <v>9275</v>
      </c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>
      <c r="A9276" s="8">
        <v>14130.0</v>
      </c>
      <c r="B9276" s="9" t="str">
        <f>HYPERLINK("https://www.lazada.vn/products/dau-ha-lan-toi-ot-pho-mai-wasabi-mix-ngu-vi-loai-ngon-nha-lam-hu-420g-do-an-vat-nha-lam-i1427239056.html", "https://www.lazada.vn/products/dau-ha-lan-toi-ot-pho-mai-wasabi-mix-ngu-vi-loai-ngon-nha-lam-hu-420g-do-an-vat-nha-lam-i1427239056.html")</f>
        <v>https://www.lazada.vn/products/dau-ha-lan-toi-ot-pho-mai-wasabi-mix-ngu-vi-loai-ngon-nha-lam-hu-420g-do-an-vat-nha-lam-i1427239056.html</v>
      </c>
      <c r="C9276" s="10" t="s">
        <v>9276</v>
      </c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>
      <c r="A9277" s="8">
        <v>14131.0</v>
      </c>
      <c r="B9277" s="9" t="str">
        <f>HYPERLINK("https://www.lazada.vn/products/sinh-to-thanh-yen-jupiter-smoothie-citron-18kg-i2410370351.html", "https://www.lazada.vn/products/sinh-to-thanh-yen-jupiter-smoothie-citron-18kg-i2410370351.html")</f>
        <v>https://www.lazada.vn/products/sinh-to-thanh-yen-jupiter-smoothie-citron-18kg-i2410370351.html</v>
      </c>
      <c r="C9277" s="10" t="s">
        <v>9277</v>
      </c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>
      <c r="A9278" s="8">
        <v>14132.0</v>
      </c>
      <c r="B9278" s="9" t="str">
        <f>HYPERLINK("https://www.lazada.vn/products/mi-3-mien-i2801678421.html", "https://www.lazada.vn/products/mi-3-mien-i2801678421.html")</f>
        <v>https://www.lazada.vn/products/mi-3-mien-i2801678421.html</v>
      </c>
      <c r="C9278" s="10" t="s">
        <v>9278</v>
      </c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>
      <c r="A9279" s="8">
        <v>14133.0</v>
      </c>
      <c r="B9279" s="9" t="str">
        <f>HYPERLINK("https://www.lazada.vn/products/tui-lon-nha-lam-cafe-pho-840g-30-goi-ca-phe-sua-thom-ngon-sanh-vn-maccoffee-3-in-1-coffee-i2620216045.html", "https://www.lazada.vn/products/tui-lon-nha-lam-cafe-pho-840g-30-goi-ca-phe-sua-thom-ngon-sanh-vn-maccoffee-3-in-1-coffee-i2620216045.html")</f>
        <v>https://www.lazada.vn/products/tui-lon-nha-lam-cafe-pho-840g-30-goi-ca-phe-sua-thom-ngon-sanh-vn-maccoffee-3-in-1-coffee-i2620216045.html</v>
      </c>
      <c r="C9279" s="10" t="s">
        <v>9279</v>
      </c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>
      <c r="A9280" s="8">
        <v>14134.0</v>
      </c>
      <c r="B9280" s="9" t="str">
        <f>HYPERLINK("https://www.lazada.vn/products/bot-cacao-criollo-huu-co-thuong-hang-peru-200-g-chung-nhan-huu-co-usdamy-i941292155.html", "https://www.lazada.vn/products/bot-cacao-criollo-huu-co-thuong-hang-peru-200-g-chung-nhan-huu-co-usdamy-i941292155.html")</f>
        <v>https://www.lazada.vn/products/bot-cacao-criollo-huu-co-thuong-hang-peru-200-g-chung-nhan-huu-co-usdamy-i941292155.html</v>
      </c>
      <c r="C9280" s="10" t="s">
        <v>9280</v>
      </c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>
      <c r="A9281" s="8">
        <v>14135.0</v>
      </c>
      <c r="B9281" s="9" t="str">
        <f>HYPERLINK("https://www.lazada.vn/products/banh-gau-thai-lan-banh-gau-nhan-kem-hop-thiec-430g-b235-chuyen-si-tpnk-i2891993139.html", "https://www.lazada.vn/products/banh-gau-thai-lan-banh-gau-nhan-kem-hop-thiec-430g-b235-chuyen-si-tpnk-i2891993139.html")</f>
        <v>https://www.lazada.vn/products/banh-gau-thai-lan-banh-gau-nhan-kem-hop-thiec-430g-b235-chuyen-si-tpnk-i2891993139.html</v>
      </c>
      <c r="C9281" s="10" t="s">
        <v>9281</v>
      </c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>
      <c r="A9282" s="8">
        <v>14136.0</v>
      </c>
      <c r="B9282" s="9" t="str">
        <f>HYPERLINK("https://www.lazada.vn/products/thung-25kg-banh-trung-chay-dai-loan-egg-yolk-pulk-date-moi-i2707774083.html", "https://www.lazada.vn/products/thung-25kg-banh-trung-chay-dai-loan-egg-yolk-pulk-date-moi-i2707774083.html")</f>
        <v>https://www.lazada.vn/products/thung-25kg-banh-trung-chay-dai-loan-egg-yolk-pulk-date-moi-i2707774083.html</v>
      </c>
      <c r="C9282" s="10" t="s">
        <v>9282</v>
      </c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>
      <c r="A9283" s="8">
        <v>14137.0</v>
      </c>
      <c r="B9283" s="9" t="str">
        <f>HYPERLINK("https://www.lazada.vn/products/5-goi-bot-hung-liu-hoang-thinh-5gr-hang-chuan-i2613970687.html", "https://www.lazada.vn/products/5-goi-bot-hung-liu-hoang-thinh-5gr-hang-chuan-i2613970687.html")</f>
        <v>https://www.lazada.vn/products/5-goi-bot-hung-liu-hoang-thinh-5gr-hang-chuan-i2613970687.html</v>
      </c>
      <c r="C9283" s="10" t="s">
        <v>9283</v>
      </c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>
      <c r="A9284" s="8">
        <v>14138.0</v>
      </c>
      <c r="B9284" s="9" t="str">
        <f>HYPERLINK("https://www.lazada.vn/products/banh-phong-tom-thai-lan-oderve-snack-phong-tom-que-lon-100gr-i2183300372.html", "https://www.lazada.vn/products/banh-phong-tom-thai-lan-oderve-snack-phong-tom-que-lon-100gr-i2183300372.html")</f>
        <v>https://www.lazada.vn/products/banh-phong-tom-thai-lan-oderve-snack-phong-tom-que-lon-100gr-i2183300372.html</v>
      </c>
      <c r="C9284" s="10" t="s">
        <v>9284</v>
      </c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>
      <c r="A9285" s="8">
        <v>14139.0</v>
      </c>
      <c r="B9285" s="9" t="str">
        <f>HYPERLINK("https://www.lazada.vn/products/chinh-hang-cafe-vien-nen-nescafe-dolce-gusto-cac-vi-hop-16-vien18-vien-i2619593765.html", "https://www.lazada.vn/products/chinh-hang-cafe-vien-nen-nescafe-dolce-gusto-cac-vi-hop-16-vien18-vien-i2619593765.html")</f>
        <v>https://www.lazada.vn/products/chinh-hang-cafe-vien-nen-nescafe-dolce-gusto-cac-vi-hop-16-vien18-vien-i2619593765.html</v>
      </c>
      <c r="C9285" s="10" t="s">
        <v>9285</v>
      </c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>
      <c r="A9286" s="8">
        <v>14140.0</v>
      </c>
      <c r="B9286" s="9" t="str">
        <f>HYPERLINK("https://www.lazada.vn/products/ruou-vang-y-gran-passitivo-appassimento-primitivo-750ml-i2399485174.html", "https://www.lazada.vn/products/ruou-vang-y-gran-passitivo-appassimento-primitivo-750ml-i2399485174.html")</f>
        <v>https://www.lazada.vn/products/ruou-vang-y-gran-passitivo-appassimento-primitivo-750ml-i2399485174.html</v>
      </c>
      <c r="C9286" s="10" t="s">
        <v>9286</v>
      </c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>
      <c r="A9287" s="8">
        <v>14141.0</v>
      </c>
      <c r="B9287" s="9" t="str">
        <f>HYPERLINK("https://www.lazada.vn/products/natto-anphaco-natto-vien-tia-to-natto-bot-dau-tuong-len-men-kieu-nhat-i1706754833.html", "https://www.lazada.vn/products/natto-anphaco-natto-vien-tia-to-natto-bot-dau-tuong-len-men-kieu-nhat-i1706754833.html")</f>
        <v>https://www.lazada.vn/products/natto-anphaco-natto-vien-tia-to-natto-bot-dau-tuong-len-men-kieu-nhat-i1706754833.html</v>
      </c>
      <c r="C9287" s="10" t="s">
        <v>9287</v>
      </c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>
      <c r="A9288" s="8">
        <v>14142.0</v>
      </c>
      <c r="B9288" s="9" t="str">
        <f>HYPERLINK("https://www.lazada.vn/products/hop-10-vien-keo-vi-sam-spinach-malaysia-i2658706734.html", "https://www.lazada.vn/products/hop-10-vien-keo-vi-sam-spinach-malaysia-i2658706734.html")</f>
        <v>https://www.lazada.vn/products/hop-10-vien-keo-vi-sam-spinach-malaysia-i2658706734.html</v>
      </c>
      <c r="C9288" s="10" t="s">
        <v>9288</v>
      </c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>
      <c r="A9289" s="8">
        <v>14143.0</v>
      </c>
      <c r="B9289" s="9" t="str">
        <f>HYPERLINK("https://www.lazada.vn/products/r-uou-soju-han-quoc-soulmate-360ml-12-i2614488509.html", "https://www.lazada.vn/products/r-uou-soju-han-quoc-soulmate-360ml-12-i2614488509.html")</f>
        <v>https://www.lazada.vn/products/r-uou-soju-han-quoc-soulmate-360ml-12-i2614488509.html</v>
      </c>
      <c r="C9289" s="10" t="s">
        <v>9289</v>
      </c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>
      <c r="A9290" s="8">
        <v>14144.0</v>
      </c>
      <c r="B9290" s="9" t="str">
        <f>HYPERLINK("https://www.lazada.vn/products/banh-trung-tuoi-cha-bong-karo-richy-bich-6-chiec-156g-i2521332854.html", "https://www.lazada.vn/products/banh-trung-tuoi-cha-bong-karo-richy-bich-6-chiec-156g-i2521332854.html")</f>
        <v>https://www.lazada.vn/products/banh-trung-tuoi-cha-bong-karo-richy-bich-6-chiec-156g-i2521332854.html</v>
      </c>
      <c r="C9290" s="10" t="s">
        <v>9290</v>
      </c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>
      <c r="A9291" s="8">
        <v>14145.0</v>
      </c>
      <c r="B9291" s="9" t="str">
        <f>HYPERLINK("https://www.lazada.vn/products/hcm-nguyen-lieu-nau-bia-beerkit-export-stout-i1706041379.html", "https://www.lazada.vn/products/hcm-nguyen-lieu-nau-bia-beerkit-export-stout-i1706041379.html")</f>
        <v>https://www.lazada.vn/products/hcm-nguyen-lieu-nau-bia-beerkit-export-stout-i1706041379.html</v>
      </c>
      <c r="C9291" s="10" t="s">
        <v>9291</v>
      </c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>
      <c r="A9292" s="8">
        <v>14146.0</v>
      </c>
      <c r="B9292" s="9" t="str">
        <f>HYPERLINK("https://www.lazada.vn/products/hop-10-vien-keo-vi-sam-xtreme-cai-tien-malaysia-i2658705906.html", "https://www.lazada.vn/products/hop-10-vien-keo-vi-sam-xtreme-cai-tien-malaysia-i2658705906.html")</f>
        <v>https://www.lazada.vn/products/hop-10-vien-keo-vi-sam-xtreme-cai-tien-malaysia-i2658705906.html</v>
      </c>
      <c r="C9292" s="10" t="s">
        <v>9292</v>
      </c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>
      <c r="A9293" s="8">
        <v>14147.0</v>
      </c>
      <c r="B9293" s="9" t="str">
        <f>HYPERLINK("https://www.lazada.vn/products/ruou-vang-y-masseria-doppio-passo-appassimen-750ml-i2399484168.html", "https://www.lazada.vn/products/ruou-vang-y-masseria-doppio-passo-appassimen-750ml-i2399484168.html")</f>
        <v>https://www.lazada.vn/products/ruou-vang-y-masseria-doppio-passo-appassimen-750ml-i2399484168.html</v>
      </c>
      <c r="C9293" s="10" t="s">
        <v>9293</v>
      </c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>
      <c r="A9294" s="8">
        <v>14148.0</v>
      </c>
      <c r="B9294" s="9" t="str">
        <f>HYPERLINK("https://www.lazada.vn/products/thung-r-uou-soju-han-quoc-soulmate-apple-vi-tao-360ml-12-gia-ban-si-gia-ban-buon-i2614467547.html", "https://www.lazada.vn/products/thung-r-uou-soju-han-quoc-soulmate-apple-vi-tao-360ml-12-gia-ban-si-gia-ban-buon-i2614467547.html")</f>
        <v>https://www.lazada.vn/products/thung-r-uou-soju-han-quoc-soulmate-apple-vi-tao-360ml-12-gia-ban-si-gia-ban-buon-i2614467547.html</v>
      </c>
      <c r="C9294" s="10" t="s">
        <v>9294</v>
      </c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>
      <c r="A9295" s="8">
        <v>14149.0</v>
      </c>
      <c r="B9295" s="9" t="str">
        <f>HYPERLINK("https://www.lazada.vn/products/banh-mi-nuong-gion-dut-lo-vi-bo-toi-cest-bon-orion-goi-108g-3-goi-x-36g-gia-re-i2521139772.html", "https://www.lazada.vn/products/banh-mi-nuong-gion-dut-lo-vi-bo-toi-cest-bon-orion-goi-108g-3-goi-x-36g-gia-re-i2521139772.html")</f>
        <v>https://www.lazada.vn/products/banh-mi-nuong-gion-dut-lo-vi-bo-toi-cest-bon-orion-goi-108g-3-goi-x-36g-gia-re-i2521139772.html</v>
      </c>
      <c r="C9295" s="10" t="s">
        <v>9295</v>
      </c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>
      <c r="A9296" s="8">
        <v>14150.0</v>
      </c>
      <c r="B9296" s="9" t="str">
        <f>HYPERLINK("https://www.lazada.vn/products/hcm-1kg-cay-thach-zai-zai-mau-moi-mix-du-vi-hang-chuan-cong-ty-date-moi-do-an-vat-thach-zaizai-duc-hanh-i2031157148.html", "https://www.lazada.vn/products/hcm-1kg-cay-thach-zai-zai-mau-moi-mix-du-vi-hang-chuan-cong-ty-date-moi-do-an-vat-thach-zaizai-duc-hanh-i2031157148.html")</f>
        <v>https://www.lazada.vn/products/hcm-1kg-cay-thach-zai-zai-mau-moi-mix-du-vi-hang-chuan-cong-ty-date-moi-do-an-vat-thach-zaizai-duc-hanh-i2031157148.html</v>
      </c>
      <c r="C9296" s="10" t="s">
        <v>9296</v>
      </c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>
      <c r="A9297" s="8">
        <v>14151.0</v>
      </c>
      <c r="B9297" s="9" t="str">
        <f>HYPERLINK("https://www.lazada.vn/products/dau-tay-say-thang-hoa-trai-to-i3034896370.html", "https://www.lazada.vn/products/dau-tay-say-thang-hoa-trai-to-i3034896370.html")</f>
        <v>https://www.lazada.vn/products/dau-tay-say-thang-hoa-trai-to-i3034896370.html</v>
      </c>
      <c r="C9297" s="10" t="s">
        <v>9297</v>
      </c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>
      <c r="A9298" s="8">
        <v>14152.0</v>
      </c>
      <c r="B9298" s="9" t="str">
        <f>HYPERLINK("https://www.lazada.vn/products/b1-my-235-ml-xanh-i1582275370.html", "https://www.lazada.vn/products/b1-my-235-ml-xanh-i1582275370.html")</f>
        <v>https://www.lazada.vn/products/b1-my-235-ml-xanh-i1582275370.html</v>
      </c>
      <c r="C9298" s="10" t="s">
        <v>9298</v>
      </c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>
      <c r="A9299" s="8">
        <v>14153.0</v>
      </c>
      <c r="B9299" s="9" t="str">
        <f>HYPERLINK("https://www.lazada.vn/products/bia-trio-extra-stout-72-i2770311420.html", "https://www.lazada.vn/products/bia-trio-extra-stout-72-i2770311420.html")</f>
        <v>https://www.lazada.vn/products/bia-trio-extra-stout-72-i2770311420.html</v>
      </c>
      <c r="C9299" s="10" t="s">
        <v>9299</v>
      </c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>
      <c r="A9300" s="8">
        <v>14154.0</v>
      </c>
      <c r="B9300" s="9" t="str">
        <f>HYPERLINK("https://www.lazada.vn/products/black-mulberry-dried-fruit-wild-sand-free-no-wash-new-stock-freshly-picked-from-xinjiang-large-size-premium-quality-i2924882763.html", "https://www.lazada.vn/products/black-mulberry-dried-fruit-wild-sand-free-no-wash-new-stock-freshly-picked-from-xinjiang-large-size-premium-quality-i2924882763.html")</f>
        <v>https://www.lazada.vn/products/black-mulberry-dried-fruit-wild-sand-free-no-wash-new-stock-freshly-picked-from-xinjiang-large-size-premium-quality-i2924882763.html</v>
      </c>
      <c r="C9300" s="10" t="s">
        <v>9300</v>
      </c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>
      <c r="A9301" s="8">
        <v>14155.0</v>
      </c>
      <c r="B9301" s="9" t="str">
        <f>HYPERLINK("https://www.lazada.vn/products/keo-socola-beryls-dark-almond-hu-450gr-c-i2861262941.html", "https://www.lazada.vn/products/keo-socola-beryls-dark-almond-hu-450gr-c-i2861262941.html")</f>
        <v>https://www.lazada.vn/products/keo-socola-beryls-dark-almond-hu-450gr-c-i2861262941.html</v>
      </c>
      <c r="C9301" s="10" t="s">
        <v>9301</v>
      </c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>
      <c r="A9302" s="8">
        <v>14156.0</v>
      </c>
      <c r="B9302" s="9" t="str">
        <f>HYPERLINK("https://www.lazada.vn/products/coop-online-banh-socola-kitkat-chunky-3x38g-i2860403053.html", "https://www.lazada.vn/products/coop-online-banh-socola-kitkat-chunky-3x38g-i2860403053.html")</f>
        <v>https://www.lazada.vn/products/coop-online-banh-socola-kitkat-chunky-3x38g-i2860403053.html</v>
      </c>
      <c r="C9302" s="10" t="s">
        <v>9302</v>
      </c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>
      <c r="A9303" s="8">
        <v>14157.0</v>
      </c>
      <c r="B9303" s="9" t="str">
        <f>HYPERLINK("https://www.lazada.vn/products/coop-online-socola-den-macca-coop-select-thanh-80g-i2860400040.html", "https://www.lazada.vn/products/coop-online-socola-den-macca-coop-select-thanh-80g-i2860400040.html")</f>
        <v>https://www.lazada.vn/products/coop-online-socola-den-macca-coop-select-thanh-80g-i2860400040.html</v>
      </c>
      <c r="C9303" s="10" t="s">
        <v>9303</v>
      </c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>
      <c r="A9304" s="8">
        <v>14158.0</v>
      </c>
      <c r="B9304" s="9" t="str">
        <f>HYPERLINK("https://www.lazada.vn/products/3-goi-bot-cacao-criollo-huu-co-nguyen-chat-200gram-peru-chung-nhan-huu-co-my-usda-i940016969.html", "https://www.lazada.vn/products/3-goi-bot-cacao-criollo-huu-co-nguyen-chat-200gram-peru-chung-nhan-huu-co-my-usda-i940016969.html")</f>
        <v>https://www.lazada.vn/products/3-goi-bot-cacao-criollo-huu-co-nguyen-chat-200gram-peru-chung-nhan-huu-co-my-usda-i940016969.html</v>
      </c>
      <c r="C9304" s="10" t="s">
        <v>9304</v>
      </c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>
      <c r="A9305" s="8">
        <v>14159.0</v>
      </c>
      <c r="B9305" s="9" t="str">
        <f>HYPERLINK("https://www.lazada.vn/products/banh-gau-thai-lan-banh-gau-nhan-kem-hop-thiec-430g-b235-beegin-mart-i2891952262.html", "https://www.lazada.vn/products/banh-gau-thai-lan-banh-gau-nhan-kem-hop-thiec-430g-b235-beegin-mart-i2891952262.html")</f>
        <v>https://www.lazada.vn/products/banh-gau-thai-lan-banh-gau-nhan-kem-hop-thiec-430g-b235-beegin-mart-i2891952262.html</v>
      </c>
      <c r="C9305" s="10" t="s">
        <v>9305</v>
      </c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>
      <c r="A9306" s="8">
        <v>14160.0</v>
      </c>
      <c r="B9306" s="9" t="str">
        <f>HYPERLINK("https://www.lazada.vn/products/thung-mi-tom-hao-hao-chua-cay-mi-xao-30-goi-x-75g-shop-thu-quan-i2731926620.html", "https://www.lazada.vn/products/thung-mi-tom-hao-hao-chua-cay-mi-xao-30-goi-x-75g-shop-thu-quan-i2731926620.html")</f>
        <v>https://www.lazada.vn/products/thung-mi-tom-hao-hao-chua-cay-mi-xao-30-goi-x-75g-shop-thu-quan-i2731926620.html</v>
      </c>
      <c r="C9306" s="10" t="s">
        <v>9306</v>
      </c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>
      <c r="A9307" s="8">
        <v>14161.0</v>
      </c>
      <c r="B9307" s="9" t="str">
        <f>HYPERLINK("https://www.lazada.vn/products/ruou-nep-nguyen-chat-900ml-nha-nau-dung-de-nau-an-ngam-uong-i2409590787.html", "https://www.lazada.vn/products/ruou-nep-nguyen-chat-900ml-nha-nau-dung-de-nau-an-ngam-uong-i2409590787.html")</f>
        <v>https://www.lazada.vn/products/ruou-nep-nguyen-chat-900ml-nha-nau-dung-de-nau-an-ngam-uong-i2409590787.html</v>
      </c>
      <c r="C9307" s="10" t="s">
        <v>9307</v>
      </c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>
      <c r="A9308" s="8">
        <v>14162.0</v>
      </c>
      <c r="B9308" s="9" t="str">
        <f>HYPERLINK("https://www.lazada.vn/products/mi-to-xuc-xich-tron-sot-singapore-yes-mom-hop-110g-i2800612510.html", "https://www.lazada.vn/products/mi-to-xuc-xich-tron-sot-singapore-yes-mom-hop-110g-i2800612510.html")</f>
        <v>https://www.lazada.vn/products/mi-to-xuc-xich-tron-sot-singapore-yes-mom-hop-110g-i2800612510.html</v>
      </c>
      <c r="C9308" s="10" t="s">
        <v>9308</v>
      </c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>
      <c r="A9309" s="8">
        <v>14163.0</v>
      </c>
      <c r="B9309" s="9" t="str">
        <f>HYPERLINK("https://www.lazada.vn/products/nuoc-khoang-chanh-vinh-hao-lemona-chai-500ml-i1846992966.html", "https://www.lazada.vn/products/nuoc-khoang-chanh-vinh-hao-lemona-chai-500ml-i1846992966.html")</f>
        <v>https://www.lazada.vn/products/nuoc-khoang-chanh-vinh-hao-lemona-chai-500ml-i1846992966.html</v>
      </c>
      <c r="C9309" s="10" t="s">
        <v>9309</v>
      </c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>
      <c r="A9310" s="8">
        <v>14164.0</v>
      </c>
      <c r="B9310" s="9" t="str">
        <f>HYPERLINK("https://www.lazada.vn/products/hcmbap-rang-bo-sieu-to-sieu-khong-lo-i1424577745.html", "https://www.lazada.vn/products/hcmbap-rang-bo-sieu-to-sieu-khong-lo-i1424577745.html")</f>
        <v>https://www.lazada.vn/products/hcmbap-rang-bo-sieu-to-sieu-khong-lo-i1424577745.html</v>
      </c>
      <c r="C9310" s="10" t="s">
        <v>9310</v>
      </c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>
      <c r="A9311" s="8">
        <v>14165.0</v>
      </c>
      <c r="B9311" s="9" t="str">
        <f>HYPERLINK("https://www.lazada.vn/products/binh-tay-food-pho-chay-la-bo-de-goi-65grto-80gr-i2800362212.html", "https://www.lazada.vn/products/binh-tay-food-pho-chay-la-bo-de-goi-65grto-80gr-i2800362212.html")</f>
        <v>https://www.lazada.vn/products/binh-tay-food-pho-chay-la-bo-de-goi-65grto-80gr-i2800362212.html</v>
      </c>
      <c r="C9311" s="10" t="s">
        <v>9311</v>
      </c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>
      <c r="A9312" s="8">
        <v>14166.0</v>
      </c>
      <c r="B9312" s="9" t="str">
        <f>HYPERLINK("https://www.lazada.vn/products/ruou-nep-900ml-nha-nau-dung-de-nau-an-ngam-uong-thom-ngon-chat-luong-i2408898636.html", "https://www.lazada.vn/products/ruou-nep-900ml-nha-nau-dung-de-nau-an-ngam-uong-thom-ngon-chat-luong-i2408898636.html")</f>
        <v>https://www.lazada.vn/products/ruou-nep-900ml-nha-nau-dung-de-nau-an-ngam-uong-thom-ngon-chat-luong-i2408898636.html</v>
      </c>
      <c r="C9312" s="10" t="s">
        <v>9312</v>
      </c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>
      <c r="A9313" s="8">
        <v>14167.0</v>
      </c>
      <c r="B9313" s="9" t="str">
        <f>HYPERLINK("https://www.lazada.vn/products/bot-hat-sen-nguyen-chat-100-500g-i2613012750.html", "https://www.lazada.vn/products/bot-hat-sen-nguyen-chat-100-500g-i2613012750.html")</f>
        <v>https://www.lazada.vn/products/bot-hat-sen-nguyen-chat-100-500g-i2613012750.html</v>
      </c>
      <c r="C9313" s="10" t="s">
        <v>9313</v>
      </c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>
      <c r="A9314" s="8">
        <v>14168.0</v>
      </c>
      <c r="B9314" s="9" t="str">
        <f>HYPERLINK("https://www.lazada.vn/products/ca-phe-coldbrew-tui-loc-arabica-cau-dat-tien-loi-cho-nguoi-ban-ron-tu-message-coffee-hop-10-tui-x-20gr-i2619520404.html", "https://www.lazada.vn/products/ca-phe-coldbrew-tui-loc-arabica-cau-dat-tien-loi-cho-nguoi-ban-ron-tu-message-coffee-hop-10-tui-x-20gr-i2619520404.html")</f>
        <v>https://www.lazada.vn/products/ca-phe-coldbrew-tui-loc-arabica-cau-dat-tien-loi-cho-nguoi-ban-ron-tu-message-coffee-hop-10-tui-x-20gr-i2619520404.html</v>
      </c>
      <c r="C9314" s="10" t="s">
        <v>9314</v>
      </c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>
      <c r="A9315" s="8">
        <v>14169.0</v>
      </c>
      <c r="B9315" s="9" t="str">
        <f>HYPERLINK("https://www.lazada.vn/products/500g-banh-snack-oc-so-gion-ngon-mtfood-i2182427919.html", "https://www.lazada.vn/products/500g-banh-snack-oc-so-gion-ngon-mtfood-i2182427919.html")</f>
        <v>https://www.lazada.vn/products/500g-banh-snack-oc-so-gion-ngon-mtfood-i2182427919.html</v>
      </c>
      <c r="C9315" s="10" t="s">
        <v>9315</v>
      </c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>
      <c r="A9316" s="8">
        <v>14170.0</v>
      </c>
      <c r="B9316" s="9" t="str">
        <f>HYPERLINK("https://www.lazada.vn/products/banh-mi-hoa-cuc-banh-mi-tuoi-ngan-lop-festa-richy-120g-goi-3-chiec-date-35-ngay-tu-nsx-kh-can-nhac-khi-mua-sl-lon-i2520902215.html", "https://www.lazada.vn/products/banh-mi-hoa-cuc-banh-mi-tuoi-ngan-lop-festa-richy-120g-goi-3-chiec-date-35-ngay-tu-nsx-kh-can-nhac-khi-mua-sl-lon-i2520902215.html")</f>
        <v>https://www.lazada.vn/products/banh-mi-hoa-cuc-banh-mi-tuoi-ngan-lop-festa-richy-120g-goi-3-chiec-date-35-ngay-tu-nsx-kh-can-nhac-khi-mua-sl-lon-i2520902215.html</v>
      </c>
      <c r="C9316" s="10" t="s">
        <v>9316</v>
      </c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>
      <c r="A9317" s="8">
        <v>14171.0</v>
      </c>
      <c r="B9317" s="9" t="str">
        <f>HYPERLINK("https://www.lazada.vn/products/hop-3-vien-keo-vi-chanh-a7-anpha-my-i2658218118.html", "https://www.lazada.vn/products/hop-3-vien-keo-vi-chanh-a7-anpha-my-i2658218118.html")</f>
        <v>https://www.lazada.vn/products/hop-3-vien-keo-vi-chanh-a7-anpha-my-i2658218118.html</v>
      </c>
      <c r="C9317" s="10" t="s">
        <v>9317</v>
      </c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>
      <c r="A9318" s="8">
        <v>14172.0</v>
      </c>
      <c r="B9318" s="9" t="str">
        <f>HYPERLINK("https://www.lazada.vn/products/1kg-hu-tieu-sa-dec-dong-thap-hu-tieu-kho-hu-tieu-cuon-hu-tieu-vat-san-pham-nhu-hinh-i1702356528.html", "https://www.lazada.vn/products/1kg-hu-tieu-sa-dec-dong-thap-hu-tieu-kho-hu-tieu-cuon-hu-tieu-vat-san-pham-nhu-hinh-i1702356528.html")</f>
        <v>https://www.lazada.vn/products/1kg-hu-tieu-sa-dec-dong-thap-hu-tieu-kho-hu-tieu-cuon-hu-tieu-vat-san-pham-nhu-hinh-i1702356528.html</v>
      </c>
      <c r="C9318" s="10" t="s">
        <v>9318</v>
      </c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>
      <c r="A9319" s="8">
        <v>14173.0</v>
      </c>
      <c r="B9319" s="9" t="str">
        <f>HYPERLINK("https://www.lazada.vn/products/r-uou-soju-han-quoc-nami-blueberry-vi-viet-quat-360ml-i2614409153.html", "https://www.lazada.vn/products/r-uou-soju-han-quoc-nami-blueberry-vi-viet-quat-360ml-i2614409153.html")</f>
        <v>https://www.lazada.vn/products/r-uou-soju-han-quoc-nami-blueberry-vi-viet-quat-360ml-i2614409153.html</v>
      </c>
      <c r="C9319" s="10" t="s">
        <v>9319</v>
      </c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>
      <c r="A9320" s="8">
        <v>14174.0</v>
      </c>
      <c r="B9320" s="9" t="str">
        <f>HYPERLINK("https://www.lazada.vn/products/ruou-vang-do-ali-toscana-rosso-igt-2018-i2399483176.html", "https://www.lazada.vn/products/ruou-vang-do-ali-toscana-rosso-igt-2018-i2399483176.html")</f>
        <v>https://www.lazada.vn/products/ruou-vang-do-ali-toscana-rosso-igt-2018-i2399483176.html</v>
      </c>
      <c r="C9320" s="10" t="s">
        <v>9320</v>
      </c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>
      <c r="A9321" s="8">
        <v>14175.0</v>
      </c>
      <c r="B9321" s="9" t="str">
        <f>HYPERLINK("https://www.lazada.vn/products/banh-richy-karo-trung-tuoi-cha-bong-bich-6-chiec-date-45-ngay-tu-nsx-kh-can-nhac-khi-mua-sl-lon-i2520848430.html", "https://www.lazada.vn/products/banh-richy-karo-trung-tuoi-cha-bong-bich-6-chiec-date-45-ngay-tu-nsx-kh-can-nhac-khi-mua-sl-lon-i2520848430.html")</f>
        <v>https://www.lazada.vn/products/banh-richy-karo-trung-tuoi-cha-bong-bich-6-chiec-date-45-ngay-tu-nsx-kh-can-nhac-khi-mua-sl-lon-i2520848430.html</v>
      </c>
      <c r="C9321" s="10" t="s">
        <v>9321</v>
      </c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>
      <c r="A9322" s="8">
        <v>14176.0</v>
      </c>
      <c r="B9322" s="9" t="str">
        <f>HYPERLINK("https://www.lazada.vn/products/chao-bong-mai-750g-i1698966662.html", "https://www.lazada.vn/products/chao-bong-mai-750g-i1698966662.html")</f>
        <v>https://www.lazada.vn/products/chao-bong-mai-750g-i1698966662.html</v>
      </c>
      <c r="C9322" s="10" t="s">
        <v>9322</v>
      </c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>
      <c r="A9323" s="8">
        <v>14177.0</v>
      </c>
      <c r="B9323" s="9" t="str">
        <f>HYPERLINK("https://www.lazada.vn/products/soju-han-quoc-nami-360ml-12-nhap-khau-chinh-hang-i2614321638.html", "https://www.lazada.vn/products/soju-han-quoc-nami-360ml-12-nhap-khau-chinh-hang-i2614321638.html")</f>
        <v>https://www.lazada.vn/products/soju-han-quoc-nami-360ml-12-nhap-khau-chinh-hang-i2614321638.html</v>
      </c>
      <c r="C9323" s="10" t="s">
        <v>9323</v>
      </c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>
      <c r="A9324" s="8">
        <v>14178.0</v>
      </c>
      <c r="B9324" s="9" t="str">
        <f>HYPERLINK("https://www.lazada.vn/products/thach-trai-cay-orihiro-12-goi-24-goi-i2028485401.html", "https://www.lazada.vn/products/thach-trai-cay-orihiro-12-goi-24-goi-i2028485401.html")</f>
        <v>https://www.lazada.vn/products/thach-trai-cay-orihiro-12-goi-24-goi-i2028485401.html</v>
      </c>
      <c r="C9324" s="10" t="s">
        <v>9324</v>
      </c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>
      <c r="A9325" s="8">
        <v>14179.0</v>
      </c>
      <c r="B9325" s="9" t="str">
        <f>HYPERLINK("https://www.lazada.vn/products/df-300-lo-10ml-i1548814107.html", "https://www.lazada.vn/products/df-300-lo-10ml-i1548814107.html")</f>
        <v>https://www.lazada.vn/products/df-300-lo-10ml-i1548814107.html</v>
      </c>
      <c r="C9325" s="10" t="s">
        <v>9325</v>
      </c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>
      <c r="A9326" s="8">
        <v>14180.0</v>
      </c>
      <c r="B9326" s="9" t="str">
        <f>HYPERLINK("https://www.lazada.vn/products/sieu-toc-bia-cambodia-thung-24-lon-330ml-i2769934334.html", "https://www.lazada.vn/products/sieu-toc-bia-cambodia-thung-24-lon-330ml-i2769934334.html")</f>
        <v>https://www.lazada.vn/products/sieu-toc-bia-cambodia-thung-24-lon-330ml-i2769934334.html</v>
      </c>
      <c r="C9326" s="10" t="s">
        <v>9326</v>
      </c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>
      <c r="A9327" s="8">
        <v>14181.0</v>
      </c>
      <c r="B9327" s="9" t="str">
        <f>HYPERLINK("https://www.lazada.vn/products/snack-dried-coconut-slices-crispy-original-flavor-from-hainan-island-lychee-snack-dried-fruit-milk-block-mixed-dried-fruits-i2923860039.html", "https://www.lazada.vn/products/snack-dried-coconut-slices-crispy-original-flavor-from-hainan-island-lychee-snack-dried-fruit-milk-block-mixed-dried-fruits-i2923860039.html")</f>
        <v>https://www.lazada.vn/products/snack-dried-coconut-slices-crispy-original-flavor-from-hainan-island-lychee-snack-dried-fruit-milk-block-mixed-dried-fruits-i2923860039.html</v>
      </c>
      <c r="C9327" s="10" t="s">
        <v>9327</v>
      </c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>
      <c r="A9328" s="8">
        <v>14182.0</v>
      </c>
      <c r="B9328" s="9" t="str">
        <f>HYPERLINK("https://www.lazada.vn/products/bot-cacao-criollo-huu-co-200g-peru-nguyen-chat-2-goi-i939968206.html", "https://www.lazada.vn/products/bot-cacao-criollo-huu-co-200g-peru-nguyen-chat-2-goi-i939968206.html")</f>
        <v>https://www.lazada.vn/products/bot-cacao-criollo-huu-co-200g-peru-nguyen-chat-2-goi-i939968206.html</v>
      </c>
      <c r="C9328" s="10" t="s">
        <v>9328</v>
      </c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>
      <c r="A9329" s="8">
        <v>14183.0</v>
      </c>
      <c r="B9329" s="9" t="str">
        <f>HYPERLINK("https://www.lazada.vn/products/coop-online-socola-bar-nestle-milo-30g-i2860377160.html", "https://www.lazada.vn/products/coop-online-socola-bar-nestle-milo-30g-i2860377160.html")</f>
        <v>https://www.lazada.vn/products/coop-online-socola-bar-nestle-milo-30g-i2860377160.html</v>
      </c>
      <c r="C9329" s="10" t="s">
        <v>9329</v>
      </c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>
      <c r="A9330" s="8">
        <v>14184.0</v>
      </c>
      <c r="B9330" s="9" t="str">
        <f>HYPERLINK("https://www.lazada.vn/products/coop-online-banh-socola-kitkat-bites-40g-i2860351256.html", "https://www.lazada.vn/products/coop-online-banh-socola-kitkat-bites-40g-i2860351256.html")</f>
        <v>https://www.lazada.vn/products/coop-online-banh-socola-kitkat-bites-40g-i2860351256.html</v>
      </c>
      <c r="C9330" s="10" t="s">
        <v>9330</v>
      </c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>
      <c r="A9331" s="8">
        <v>14185.0</v>
      </c>
      <c r="B9331" s="9" t="str">
        <f>HYPERLINK("https://www.lazada.vn/products/combo-5-goi-mi-omachi-co-4-huong-vi-date-moi-i2731798000.html", "https://www.lazada.vn/products/combo-5-goi-mi-omachi-co-4-huong-vi-date-moi-i2731798000.html")</f>
        <v>https://www.lazada.vn/products/combo-5-goi-mi-omachi-co-4-huong-vi-date-moi-i2731798000.html</v>
      </c>
      <c r="C9331" s="10" t="s">
        <v>9331</v>
      </c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>
      <c r="A9332" s="8">
        <v>14186.0</v>
      </c>
      <c r="B9332" s="9" t="str">
        <f>HYPERLINK("https://www.lazada.vn/products/mi-xao-kho-indomie-mi-goreng-vi-dac-biet-goi-85g-i2731777002.html", "https://www.lazada.vn/products/mi-xao-kho-indomie-mi-goreng-vi-dac-biet-goi-85g-i2731777002.html")</f>
        <v>https://www.lazada.vn/products/mi-xao-kho-indomie-mi-goreng-vi-dac-biet-goi-85g-i2731777002.html</v>
      </c>
      <c r="C9332" s="10" t="s">
        <v>9332</v>
      </c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>
      <c r="A9333" s="8">
        <v>14187.0</v>
      </c>
      <c r="B9333" s="9" t="str">
        <f>HYPERLINK("https://www.lazada.vn/products/banh-gau-thai-lan-banh-gau-nhan-kem-hop-thiec-430g-b235-gia-ngan-food-i2891704836.html", "https://www.lazada.vn/products/banh-gau-thai-lan-banh-gau-nhan-kem-hop-thiec-430g-b235-gia-ngan-food-i2891704836.html")</f>
        <v>https://www.lazada.vn/products/banh-gau-thai-lan-banh-gau-nhan-kem-hop-thiec-430g-b235-gia-ngan-food-i2891704836.html</v>
      </c>
      <c r="C9333" s="10" t="s">
        <v>9333</v>
      </c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>
      <c r="A9334" s="8">
        <v>14188.0</v>
      </c>
      <c r="B9334" s="9" t="str">
        <f>HYPERLINK("https://www.lazada.vn/products/thung-24-lon-nuoc-soda-huong-gung-dry-ginger-ale-schweppes-320ml-i1821520192.html", "https://www.lazada.vn/products/thung-24-lon-nuoc-soda-huong-gung-dry-ginger-ale-schweppes-320ml-i1821520192.html")</f>
        <v>https://www.lazada.vn/products/thung-24-lon-nuoc-soda-huong-gung-dry-ginger-ale-schweppes-320ml-i1821520192.html</v>
      </c>
      <c r="C9334" s="10" t="s">
        <v>9334</v>
      </c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>
      <c r="A9335" s="8">
        <v>14189.0</v>
      </c>
      <c r="B9335" s="9" t="str">
        <f>HYPERLINK("https://www.lazada.vn/products/banh-gau-thai-lan-banh-gau-nhan-kem-hop-thiec-430g-b235-sieu-thi-beegin-i2891687325.html", "https://www.lazada.vn/products/banh-gau-thai-lan-banh-gau-nhan-kem-hop-thiec-430g-b235-sieu-thi-beegin-i2891687325.html")</f>
        <v>https://www.lazada.vn/products/banh-gau-thai-lan-banh-gau-nhan-kem-hop-thiec-430g-b235-sieu-thi-beegin-i2891687325.html</v>
      </c>
      <c r="C9335" s="10" t="s">
        <v>9335</v>
      </c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>
      <c r="A9336" s="8">
        <v>14190.0</v>
      </c>
      <c r="B9336" s="9" t="str">
        <f>HYPERLINK("https://www.lazada.vn/products/loc-6-lon-nuoc-soda-huong-gung-dry-ginger-ale-schweppes-320ml-i1821450932.html", "https://www.lazada.vn/products/loc-6-lon-nuoc-soda-huong-gung-dry-ginger-ale-schweppes-320ml-i1821450932.html")</f>
        <v>https://www.lazada.vn/products/loc-6-lon-nuoc-soda-huong-gung-dry-ginger-ale-schweppes-320ml-i1821450932.html</v>
      </c>
      <c r="C9336" s="10" t="s">
        <v>9336</v>
      </c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>
      <c r="A9337" s="8">
        <v>14191.0</v>
      </c>
      <c r="B9337" s="9" t="str">
        <f>HYPERLINK("https://www.lazada.vn/products/bot-hat-sen-nguyen-chat-500g-i2612947395.html", "https://www.lazada.vn/products/bot-hat-sen-nguyen-chat-500g-i2612947395.html")</f>
        <v>https://www.lazada.vn/products/bot-hat-sen-nguyen-chat-500g-i2612947395.html</v>
      </c>
      <c r="C9337" s="10" t="s">
        <v>9337</v>
      </c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>
      <c r="A9338" s="8">
        <v>14192.0</v>
      </c>
      <c r="B9338" s="9" t="str">
        <f>HYPERLINK("https://www.lazada.vn/products/hop-son-mai-1-chai-ruou-vang-cf-collefrisio-in-out-vang-ca-chep-i2399479232.html", "https://www.lazada.vn/products/hop-son-mai-1-chai-ruou-vang-cf-collefrisio-in-out-vang-ca-chep-i2399479232.html")</f>
        <v>https://www.lazada.vn/products/hop-son-mai-1-chai-ruou-vang-cf-collefrisio-in-out-vang-ca-chep-i2399479232.html</v>
      </c>
      <c r="C9338" s="10" t="s">
        <v>9338</v>
      </c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>
      <c r="A9339" s="8">
        <v>14193.0</v>
      </c>
      <c r="B9339" s="9" t="str">
        <f>HYPERLINK("https://www.lazada.vn/products/1-chai-240gam-bap-rang-bo-sieu-to-khong-lo-i1424095334.html", "https://www.lazada.vn/products/1-chai-240gam-bap-rang-bo-sieu-to-khong-lo-i1424095334.html")</f>
        <v>https://www.lazada.vn/products/1-chai-240gam-bap-rang-bo-sieu-to-khong-lo-i1424095334.html</v>
      </c>
      <c r="C9339" s="10" t="s">
        <v>9339</v>
      </c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>
      <c r="A9340" s="8">
        <v>14194.0</v>
      </c>
      <c r="B9340" s="9" t="str">
        <f>HYPERLINK("https://www.lazada.vn/products/hop-5-vien-keo-vi-chanh-a7-anpha-my-i2657996735.html", "https://www.lazada.vn/products/hop-5-vien-keo-vi-chanh-a7-anpha-my-i2657996735.html")</f>
        <v>https://www.lazada.vn/products/hop-5-vien-keo-vi-chanh-a7-anpha-my-i2657996735.html</v>
      </c>
      <c r="C9340" s="10" t="s">
        <v>9340</v>
      </c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>
      <c r="A9341" s="8">
        <v>14195.0</v>
      </c>
      <c r="B9341" s="9" t="str">
        <f>HYPERLINK("https://www.lazada.vn/products/combo-banh-karo-soi-ga-karo-gion-thom-ngon-banh-keo-richy-i2520822493.html", "https://www.lazada.vn/products/combo-banh-karo-soi-ga-karo-gion-thom-ngon-banh-keo-richy-i2520822493.html")</f>
        <v>https://www.lazada.vn/products/combo-banh-karo-soi-ga-karo-gion-thom-ngon-banh-keo-richy-i2520822493.html</v>
      </c>
      <c r="C9341" s="10" t="s">
        <v>9341</v>
      </c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>
      <c r="A9342" s="8">
        <v>14196.0</v>
      </c>
      <c r="B9342" s="9" t="str">
        <f>HYPERLINK("https://www.lazada.vn/products/tra-sam-dua-dac-san-da-nang-tui-500g-i2611716439.html", "https://www.lazada.vn/products/tra-sam-dua-dac-san-da-nang-tui-500g-i2611716439.html")</f>
        <v>https://www.lazada.vn/products/tra-sam-dua-dac-san-da-nang-tui-500g-i2611716439.html</v>
      </c>
      <c r="C9342" s="10" t="s">
        <v>9342</v>
      </c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>
      <c r="A9343" s="8">
        <v>14197.0</v>
      </c>
      <c r="B9343" s="9" t="str">
        <f>HYPERLINK("https://www.lazada.vn/products/tau-hu-ky-cuon-rong-bien-sot-ca-vang-dau-phu-truc-an-lien-giau-dinh-duong-thuc-pham-chay-binh-loan-200g-i1696586010.html", "https://www.lazada.vn/products/tau-hu-ky-cuon-rong-bien-sot-ca-vang-dau-phu-truc-an-lien-giau-dinh-duong-thuc-pham-chay-binh-loan-200g-i1696586010.html")</f>
        <v>https://www.lazada.vn/products/tau-hu-ky-cuon-rong-bien-sot-ca-vang-dau-phu-truc-an-lien-giau-dinh-duong-thuc-pham-chay-binh-loan-200g-i1696586010.html</v>
      </c>
      <c r="C9343" s="10" t="s">
        <v>9343</v>
      </c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>
      <c r="A9344" s="8">
        <v>14198.0</v>
      </c>
      <c r="B9344" s="9" t="str">
        <f>HYPERLINK("https://www.lazada.vn/products/ca-phe-sua-ngon-tran-quang-bich-lon-104kg-52-goi-dai-20g-i2619209646.html", "https://www.lazada.vn/products/ca-phe-sua-ngon-tran-quang-bich-lon-104kg-52-goi-dai-20g-i2619209646.html")</f>
        <v>https://www.lazada.vn/products/ca-phe-sua-ngon-tran-quang-bich-lon-104kg-52-goi-dai-20g-i2619209646.html</v>
      </c>
      <c r="C9344" s="10" t="s">
        <v>9344</v>
      </c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>
      <c r="A9345" s="8">
        <v>14199.0</v>
      </c>
      <c r="B9345" s="9" t="str">
        <f>HYPERLINK("https://www.lazada.vn/products/sirup-torani-bac-ha-trang-750ml-torani-peppermint-syrup-i2408187771.html", "https://www.lazada.vn/products/sirup-torani-bac-ha-trang-750ml-torani-peppermint-syrup-i2408187771.html")</f>
        <v>https://www.lazada.vn/products/sirup-torani-bac-ha-trang-750ml-torani-peppermint-syrup-i2408187771.html</v>
      </c>
      <c r="C9345" s="10" t="s">
        <v>9345</v>
      </c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>
      <c r="A9346" s="8">
        <v>14200.0</v>
      </c>
      <c r="B9346" s="9" t="str">
        <f>HYPERLINK("https://www.lazada.vn/products/thung-24-ly-mi-bo-vifon-24-ly-x-60g-i2798754409.html", "https://www.lazada.vn/products/thung-24-ly-mi-bo-vifon-24-ly-x-60g-i2798754409.html")</f>
        <v>https://www.lazada.vn/products/thung-24-ly-mi-bo-vifon-24-ly-x-60g-i2798754409.html</v>
      </c>
      <c r="C9346" s="10" t="s">
        <v>9346</v>
      </c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>
      <c r="A9347" s="8">
        <v>14201.0</v>
      </c>
      <c r="B9347" s="9" t="str">
        <f>HYPERLINK("https://www.lazada.vn/products/banh-trang-xi-ke-banh-trang-muoi-nhuyen-phoi-suong-tay-ninh-sieu-ngon-i2179716770.html", "https://www.lazada.vn/products/banh-trang-xi-ke-banh-trang-muoi-nhuyen-phoi-suong-tay-ninh-sieu-ngon-i2179716770.html")</f>
        <v>https://www.lazada.vn/products/banh-trang-xi-ke-banh-trang-muoi-nhuyen-phoi-suong-tay-ninh-sieu-ngon-i2179716770.html</v>
      </c>
      <c r="C9347" s="10" t="s">
        <v>9347</v>
      </c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>
      <c r="A9348" s="8">
        <v>14202.0</v>
      </c>
      <c r="B9348" s="9" t="str">
        <f>HYPERLINK("https://www.lazada.vn/products/05-kg-thach-zai-zai-duc-hanh-thanh-dai-i2024814363.html", "https://www.lazada.vn/products/05-kg-thach-zai-zai-duc-hanh-thanh-dai-i2024814363.html")</f>
        <v>https://www.lazada.vn/products/05-kg-thach-zai-zai-duc-hanh-thanh-dai-i2024814363.html</v>
      </c>
      <c r="C9348" s="10" t="s">
        <v>9348</v>
      </c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>
      <c r="A9349" s="8">
        <v>14203.0</v>
      </c>
      <c r="B9349" s="9" t="str">
        <f>HYPERLINK("https://www.lazada.vn/products/nuoc-thung-nuoc-uong-cao-cap-ion-kiem-fujiwa-cong-nghe-nhat-ban-thung-20-chai-680ml-i1541409843.html", "https://www.lazada.vn/products/nuoc-thung-nuoc-uong-cao-cap-ion-kiem-fujiwa-cong-nghe-nhat-ban-thung-20-chai-680ml-i1541409843.html")</f>
        <v>https://www.lazada.vn/products/nuoc-thung-nuoc-uong-cao-cap-ion-kiem-fujiwa-cong-nghe-nhat-ban-thung-20-chai-680ml-i1541409843.html</v>
      </c>
      <c r="C9349" s="10" t="s">
        <v>9349</v>
      </c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>
      <c r="A9350" s="8">
        <v>14204.0</v>
      </c>
      <c r="B9350" s="9" t="str">
        <f>HYPERLINK("https://www.lazada.vn/products/weide-night-banquet-bia-trang-thu-cong-bia-lua-mi-nguyen-chat-bia-vang-lage-fcl-uu-dai-dac-biet-huong-vi-thien-nga-i2764798102.html", "https://www.lazada.vn/products/weide-night-banquet-bia-trang-thu-cong-bia-lua-mi-nguyen-chat-bia-vang-lage-fcl-uu-dai-dac-biet-huong-vi-thien-nga-i2764798102.html")</f>
        <v>https://www.lazada.vn/products/weide-night-banquet-bia-trang-thu-cong-bia-lua-mi-nguyen-chat-bia-vang-lage-fcl-uu-dai-dac-biet-huong-vi-thien-nga-i2764798102.html</v>
      </c>
      <c r="C9350" s="10" t="s">
        <v>9350</v>
      </c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>
      <c r="A9351" s="8">
        <v>14205.0</v>
      </c>
      <c r="B9351" s="9" t="str">
        <f>HYPERLINK("https://www.lazada.vn/products/new-arrival-dried-goji-berries-from-xinjiang-crispy-sweet-non-fried-healthy-snack-authentic-chinese-speciality-product-i2923793555.html", "https://www.lazada.vn/products/new-arrival-dried-goji-berries-from-xinjiang-crispy-sweet-non-fried-healthy-snack-authentic-chinese-speciality-product-i2923793555.html")</f>
        <v>https://www.lazada.vn/products/new-arrival-dried-goji-berries-from-xinjiang-crispy-sweet-non-fried-healthy-snack-authentic-chinese-speciality-product-i2923793555.html</v>
      </c>
      <c r="C9351" s="10" t="s">
        <v>9351</v>
      </c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>
      <c r="A9352" s="8">
        <v>14206.0</v>
      </c>
      <c r="B9352" s="9" t="str">
        <f>HYPERLINK("https://www.lazada.vn/products/bot-cacao-criollo-huu-co-peru-nguyen-chat-200g-i939828124.html", "https://www.lazada.vn/products/bot-cacao-criollo-huu-co-peru-nguyen-chat-200g-i939828124.html")</f>
        <v>https://www.lazada.vn/products/bot-cacao-criollo-huu-co-peru-nguyen-chat-200g-i939828124.html</v>
      </c>
      <c r="C9352" s="10" t="s">
        <v>9352</v>
      </c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>
      <c r="A9353" s="8">
        <v>14207.0</v>
      </c>
      <c r="B9353" s="9" t="str">
        <f>HYPERLINK("https://www.lazada.vn/products/coop-online-choco-toblerone-dark-thanh-100g-i2860340290.html", "https://www.lazada.vn/products/coop-online-choco-toblerone-dark-thanh-100g-i2860340290.html")</f>
        <v>https://www.lazada.vn/products/coop-online-choco-toblerone-dark-thanh-100g-i2860340290.html</v>
      </c>
      <c r="C9353" s="10" t="s">
        <v>9353</v>
      </c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>
      <c r="A9354" s="8">
        <v>14208.0</v>
      </c>
      <c r="B9354" s="9" t="str">
        <f>HYPERLINK("https://www.lazada.vn/products/thung-40-goi-mi-xao-kho-indomie-vi-bo-cay-goi-80g-i2731742386.html", "https://www.lazada.vn/products/thung-40-goi-mi-xao-kho-indomie-vi-bo-cay-goi-80g-i2731742386.html")</f>
        <v>https://www.lazada.vn/products/thung-40-goi-mi-xao-kho-indomie-vi-bo-cay-goi-80g-i2731742386.html</v>
      </c>
      <c r="C9354" s="10" t="s">
        <v>9354</v>
      </c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>
      <c r="A9355" s="8">
        <v>14209.0</v>
      </c>
      <c r="B9355" s="9" t="str">
        <f>HYPERLINK("https://www.lazada.vn/products/banh-gau-thai-lan-banh-gau-nhan-kem-hop-thiec-430g-b235-beegin-food-i2891657521.html", "https://www.lazada.vn/products/banh-gau-thai-lan-banh-gau-nhan-kem-hop-thiec-430g-b235-beegin-food-i2891657521.html")</f>
        <v>https://www.lazada.vn/products/banh-gau-thai-lan-banh-gau-nhan-kem-hop-thiec-430g-b235-beegin-food-i2891657521.html</v>
      </c>
      <c r="C9355" s="10" t="s">
        <v>9355</v>
      </c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>
      <c r="A9356" s="8">
        <v>14210.0</v>
      </c>
      <c r="B9356" s="9" t="str">
        <f>HYPERLINK("https://www.lazada.vn/products/loc-6-chai-nuoc-ngot-vi-nguyen-ban-original-taste-coca-cola-225l-i1812164006.html", "https://www.lazada.vn/products/loc-6-chai-nuoc-ngot-vi-nguyen-ban-original-taste-coca-cola-225l-i1812164006.html")</f>
        <v>https://www.lazada.vn/products/loc-6-chai-nuoc-ngot-vi-nguyen-ban-original-taste-coca-cola-225l-i1812164006.html</v>
      </c>
      <c r="C9356" s="10" t="s">
        <v>9356</v>
      </c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>
      <c r="A9357" s="8">
        <v>14211.0</v>
      </c>
      <c r="B9357" s="9" t="str">
        <f>HYPERLINK("https://www.lazada.vn/products/mi-coc-modern-i2797440379.html", "https://www.lazada.vn/products/mi-coc-modern-i2797440379.html")</f>
        <v>https://www.lazada.vn/products/mi-coc-modern-i2797440379.html</v>
      </c>
      <c r="C9357" s="10" t="s">
        <v>9357</v>
      </c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>
      <c r="A9358" s="8">
        <v>14212.0</v>
      </c>
      <c r="B9358" s="9" t="str">
        <f>HYPERLINK("https://www.lazada.vn/products/lzd-bua-sang-bo-duong-doc-quyen-hericium-hericium-khoai-mo-bot-ngo-bot-ngo-mem-de-pha-tui-nho-doc-lap-i2612928646.html", "https://www.lazada.vn/products/lzd-bua-sang-bo-duong-doc-quyen-hericium-hericium-khoai-mo-bot-ngo-bot-ngo-mem-de-pha-tui-nho-doc-lap-i2612928646.html")</f>
        <v>https://www.lazada.vn/products/lzd-bua-sang-bo-duong-doc-quyen-hericium-hericium-khoai-mo-bot-ngo-bot-ngo-mem-de-pha-tui-nho-doc-lap-i2612928646.html</v>
      </c>
      <c r="C9358" s="10" t="s">
        <v>9358</v>
      </c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>
      <c r="A9359" s="8">
        <v>14213.0</v>
      </c>
      <c r="B9359" s="9" t="str">
        <f>HYPERLINK("https://www.lazada.vn/products/bap-rang-bo-mini-cute-i1409162866.html", "https://www.lazada.vn/products/bap-rang-bo-mini-cute-i1409162866.html")</f>
        <v>https://www.lazada.vn/products/bap-rang-bo-mini-cute-i1409162866.html</v>
      </c>
      <c r="C9359" s="10" t="s">
        <v>9359</v>
      </c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>
      <c r="A9360" s="8">
        <v>14214.0</v>
      </c>
      <c r="B9360" s="9" t="str">
        <f>HYPERLINK("https://www.lazada.vn/products/ruou-vang-chateau-dargent-minervois-750ml-i2399473228.html", "https://www.lazada.vn/products/ruou-vang-chateau-dargent-minervois-750ml-i2399473228.html")</f>
        <v>https://www.lazada.vn/products/ruou-vang-chateau-dargent-minervois-750ml-i2399473228.html</v>
      </c>
      <c r="C9360" s="10" t="s">
        <v>9360</v>
      </c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>
      <c r="A9361" s="8">
        <v>14215.0</v>
      </c>
      <c r="B9361" s="9" t="str">
        <f>HYPERLINK("https://www.lazada.vn/products/mut-pha-che-quyt-hoa-nhai-co-mieng-trai-cay-that-nguyen-lieu-pha-che-andros-chunky-1kg-i2407846446.html", "https://www.lazada.vn/products/mut-pha-che-quyt-hoa-nhai-co-mieng-trai-cay-that-nguyen-lieu-pha-che-andros-chunky-1kg-i2407846446.html")</f>
        <v>https://www.lazada.vn/products/mut-pha-che-quyt-hoa-nhai-co-mieng-trai-cay-that-nguyen-lieu-pha-che-andros-chunky-1kg-i2407846446.html</v>
      </c>
      <c r="C9361" s="10" t="s">
        <v>9361</v>
      </c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>
      <c r="A9362" s="8">
        <v>14216.0</v>
      </c>
      <c r="B9362" s="9" t="str">
        <f>HYPERLINK("https://www.lazada.vn/products/500g-banh-quay-dui-ga-gion-ngon-mtfood-i2179715546.html", "https://www.lazada.vn/products/500g-banh-quay-dui-ga-gion-ngon-mtfood-i2179715546.html")</f>
        <v>https://www.lazada.vn/products/500g-banh-quay-dui-ga-gion-ngon-mtfood-i2179715546.html</v>
      </c>
      <c r="C9362" s="10" t="s">
        <v>9362</v>
      </c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>
      <c r="A9363" s="8">
        <v>14217.0</v>
      </c>
      <c r="B9363" s="9" t="str">
        <f>HYPERLINK("https://www.lazada.vn/products/keo-gung-deo-gingerbon-ginger-candy-goi-125g-i2656781148.html", "https://www.lazada.vn/products/keo-gung-deo-gingerbon-ginger-candy-goi-125g-i2656781148.html")</f>
        <v>https://www.lazada.vn/products/keo-gung-deo-gingerbon-ginger-candy-goi-125g-i2656781148.html</v>
      </c>
      <c r="C9363" s="10" t="s">
        <v>9363</v>
      </c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>
      <c r="A9364" s="8">
        <v>14218.0</v>
      </c>
      <c r="B9364" s="9" t="str">
        <f>HYPERLINK("https://www.lazada.vn/products/500gram-ca-phe-pha-phin-chon-buon-me-thuot-i2619118396.html", "https://www.lazada.vn/products/500gram-ca-phe-pha-phin-chon-buon-me-thuot-i2619118396.html")</f>
        <v>https://www.lazada.vn/products/500gram-ca-phe-pha-phin-chon-buon-me-thuot-i2619118396.html</v>
      </c>
      <c r="C9364" s="10" t="s">
        <v>9364</v>
      </c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>
      <c r="A9365" s="8">
        <v>14219.0</v>
      </c>
      <c r="B9365" s="9" t="str">
        <f>HYPERLINK("https://www.lazada.vn/products/set-qua-tang-ruou-mo-nhat-umeshu-nakano-miiri-co-qua-720ml-i2611653099.html", "https://www.lazada.vn/products/set-qua-tang-ruou-mo-nhat-umeshu-nakano-miiri-co-qua-720ml-i2611653099.html")</f>
        <v>https://www.lazada.vn/products/set-qua-tang-ruou-mo-nhat-umeshu-nakano-miiri-co-qua-720ml-i2611653099.html</v>
      </c>
      <c r="C9365" s="10" t="s">
        <v>9365</v>
      </c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>
      <c r="A9366" s="8">
        <v>14220.0</v>
      </c>
      <c r="B9366" s="9" t="str">
        <f>HYPERLINK("https://www.lazada.vn/products/tau-hu-ky-xao-sa-ot-vang-dau-phu-truc-an-lien-giau-dinh-duong-thuc-pham-chay-binh-loan-200g-i1696513483.html", "https://www.lazada.vn/products/tau-hu-ky-xao-sa-ot-vang-dau-phu-truc-an-lien-giau-dinh-duong-thuc-pham-chay-binh-loan-200g-i1696513483.html")</f>
        <v>https://www.lazada.vn/products/tau-hu-ky-xao-sa-ot-vang-dau-phu-truc-an-lien-giau-dinh-duong-thuc-pham-chay-binh-loan-200g-i1696513483.html</v>
      </c>
      <c r="C9366" s="10" t="s">
        <v>9366</v>
      </c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>
      <c r="A9367" s="8">
        <v>14221.0</v>
      </c>
      <c r="B9367" s="9" t="str">
        <f>HYPERLINK("https://www.lazada.vn/products/combo-4-banh-mi-hoa-cuc-banh-mi-tuoi-ngan-lop-festa-richy-hsd-35-ngay-date-30-ngay-tu-nsx-kh-can-nhac-khi-mua-sl-lon-i2520822490.html", "https://www.lazada.vn/products/combo-4-banh-mi-hoa-cuc-banh-mi-tuoi-ngan-lop-festa-richy-hsd-35-ngay-date-30-ngay-tu-nsx-kh-can-nhac-khi-mua-sl-lon-i2520822490.html")</f>
        <v>https://www.lazada.vn/products/combo-4-banh-mi-hoa-cuc-banh-mi-tuoi-ngan-lop-festa-richy-hsd-35-ngay-date-30-ngay-tu-nsx-kh-can-nhac-khi-mua-sl-lon-i2520822490.html</v>
      </c>
      <c r="C9367" s="10" t="s">
        <v>9367</v>
      </c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>
      <c r="A9368" s="8">
        <v>14222.0</v>
      </c>
      <c r="B9368" s="9" t="str">
        <f>HYPERLINK("https://www.lazada.vn/products/hang-chinh-hang-thach-bi-do-chen-chen-vic-dep-da-mo-nam-no-va-san-chac-nguc-can-bang-noi-tiet-to-khang-nang-noi-sinh-tui-8-goi-i2024792492.html", "https://www.lazada.vn/products/hang-chinh-hang-thach-bi-do-chen-chen-vic-dep-da-mo-nam-no-va-san-chac-nguc-can-bang-noi-tiet-to-khang-nang-noi-sinh-tui-8-goi-i2024792492.html")</f>
        <v>https://www.lazada.vn/products/hang-chinh-hang-thach-bi-do-chen-chen-vic-dep-da-mo-nam-no-va-san-chac-nguc-can-bang-noi-tiet-to-khang-nang-noi-sinh-tui-8-goi-i2024792492.html</v>
      </c>
      <c r="C9368" s="10" t="s">
        <v>9368</v>
      </c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>
      <c r="A9369" s="8">
        <v>14223.0</v>
      </c>
      <c r="B9369" s="9" t="str">
        <f>HYPERLINK("https://www.lazada.vn/products/loc-6-chai-sting-huong-dau-tay-do-330ml-i1536986720.html", "https://www.lazada.vn/products/loc-6-chai-sting-huong-dau-tay-do-330ml-i1536986720.html")</f>
        <v>https://www.lazada.vn/products/loc-6-chai-sting-huong-dau-tay-do-330ml-i1536986720.html</v>
      </c>
      <c r="C9369" s="10" t="s">
        <v>9369</v>
      </c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>
      <c r="A9370" s="8">
        <v>14224.0</v>
      </c>
      <c r="B9370" s="9" t="str">
        <f>HYPERLINK("https://www.lazada.vn/products/xoai-say-deo-muoi-ot-250gr-hang-dac-biet-deo-thom-sieu-ngon-an-vat-bach-hoa-online-uy-tin-i2908290003.html", "https://www.lazada.vn/products/xoai-say-deo-muoi-ot-250gr-hang-dac-biet-deo-thom-sieu-ngon-an-vat-bach-hoa-online-uy-tin-i2908290003.html")</f>
        <v>https://www.lazada.vn/products/xoai-say-deo-muoi-ot-250gr-hang-dac-biet-deo-thom-sieu-ngon-an-vat-bach-hoa-online-uy-tin-i2908290003.html</v>
      </c>
      <c r="C9370" s="10" t="s">
        <v>9370</v>
      </c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>
      <c r="A9371" s="8">
        <v>14225.0</v>
      </c>
      <c r="B9371" s="9" t="str">
        <f>HYPERLINK("https://www.lazada.vn/products/bia-gau-bear-beer-extra-strong-12-duc-lon-500ml-thung-24-lon-i2764237143.html", "https://www.lazada.vn/products/bia-gau-bear-beer-extra-strong-12-duc-lon-500ml-thung-24-lon-i2764237143.html")</f>
        <v>https://www.lazada.vn/products/bia-gau-bear-beer-extra-strong-12-duc-lon-500ml-thung-24-lon-i2764237143.html</v>
      </c>
      <c r="C9371" s="10" t="s">
        <v>9371</v>
      </c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>
      <c r="A9372" s="8">
        <v>14226.0</v>
      </c>
      <c r="B9372" s="9" t="str">
        <f>HYPERLINK("https://www.lazada.vn/products/tui-80g-bot-cacao-sua-dua-heyday-dung-bot-sua-dua-nguyen-chat-khong-pha-them-30-cacao-nguyen-chat-khong-su-dung-huong-lieu-vi-socola-sua-dua-thom-beo-hap-dan-i932086326.html", "https://www.lazada.vn/products/tui-80g-bot-cacao-sua-dua-heyday-dung-bot-sua-dua-nguyen-chat-khong-pha-them-30-cacao-nguyen-chat-khong-su-dung-huong-lieu-vi-socola-sua-dua-thom-beo-hap-dan-i932086326.html")</f>
        <v>https://www.lazada.vn/products/tui-80g-bot-cacao-sua-dua-heyday-dung-bot-sua-dua-nguyen-chat-khong-pha-them-30-cacao-nguyen-chat-khong-su-dung-huong-lieu-vi-socola-sua-dua-thom-beo-hap-dan-i932086326.html</v>
      </c>
      <c r="C9372" s="10" t="s">
        <v>9372</v>
      </c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>
      <c r="A9373" s="8">
        <v>14227.0</v>
      </c>
      <c r="B9373" s="9" t="str">
        <f>HYPERLINK("https://www.lazada.vn/products/bot-cacao-nguyen-chat-viet-nam-khong-duong-heyday-origin-18-bo-cacao-tu-nhien-tui-50g-ho-tro-giam-can-keto-vi-socola-nguyen-ban-khong-huong-lieu-phu-gia-i932064249.html", "https://www.lazada.vn/products/bot-cacao-nguyen-chat-viet-nam-khong-duong-heyday-origin-18-bo-cacao-tu-nhien-tui-50g-ho-tro-giam-can-keto-vi-socola-nguyen-ban-khong-huong-lieu-phu-gia-i932064249.html")</f>
        <v>https://www.lazada.vn/products/bot-cacao-nguyen-chat-viet-nam-khong-duong-heyday-origin-18-bo-cacao-tu-nhien-tui-50g-ho-tro-giam-can-keto-vi-socola-nguyen-ban-khong-huong-lieu-phu-gia-i932064249.html</v>
      </c>
      <c r="C9373" s="10" t="s">
        <v>9373</v>
      </c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>
      <c r="A9374" s="8">
        <v>14228.0</v>
      </c>
      <c r="B9374" s="9" t="str">
        <f>HYPERLINK("https://www.lazada.vn/products/coop-online-banh-socola-kitkat-6-cay-x-17g-i2860339262.html", "https://www.lazada.vn/products/coop-online-banh-socola-kitkat-6-cay-x-17g-i2860339262.html")</f>
        <v>https://www.lazada.vn/products/coop-online-banh-socola-kitkat-6-cay-x-17g-i2860339262.html</v>
      </c>
      <c r="C9374" s="10" t="s">
        <v>9374</v>
      </c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>
      <c r="A9375" s="8">
        <v>14229.0</v>
      </c>
      <c r="B9375" s="9" t="str">
        <f>HYPERLINK("https://www.lazada.vn/products/banh-gau-thai-lan-banh-gau-nhan-kem-hop-thiec-430g-b235-beegin-food-shop-i2891561589.html", "https://www.lazada.vn/products/banh-gau-thai-lan-banh-gau-nhan-kem-hop-thiec-430g-b235-beegin-food-shop-i2891561589.html")</f>
        <v>https://www.lazada.vn/products/banh-gau-thai-lan-banh-gau-nhan-kem-hop-thiec-430g-b235-beegin-food-shop-i2891561589.html</v>
      </c>
      <c r="C9375" s="10" t="s">
        <v>9375</v>
      </c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>
      <c r="A9376" s="8">
        <v>14230.0</v>
      </c>
      <c r="B9376" s="9" t="str">
        <f>HYPERLINK("https://www.lazada.vn/products/loc-6-chai-nuoc-ngot-khong-duong-zero-sugar-coca-cola-15l-i1812142184.html", "https://www.lazada.vn/products/loc-6-chai-nuoc-ngot-khong-duong-zero-sugar-coca-cola-15l-i1812142184.html")</f>
        <v>https://www.lazada.vn/products/loc-6-chai-nuoc-ngot-khong-duong-zero-sugar-coca-cola-15l-i1812142184.html</v>
      </c>
      <c r="C9376" s="10" t="s">
        <v>9376</v>
      </c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>
      <c r="A9377" s="8">
        <v>14231.0</v>
      </c>
      <c r="B9377" s="9" t="str">
        <f>HYPERLINK("https://www.lazada.vn/products/thung-40-goi-mi-xao-kho-indomie-mi-goreng-vi-dac-biet-goi-85g-i2731730393.html", "https://www.lazada.vn/products/thung-40-goi-mi-xao-kho-indomie-mi-goreng-vi-dac-biet-goi-85g-i2731730393.html")</f>
        <v>https://www.lazada.vn/products/thung-40-goi-mi-xao-kho-indomie-mi-goreng-vi-dac-biet-goi-85g-i2731730393.html</v>
      </c>
      <c r="C9377" s="10" t="s">
        <v>9377</v>
      </c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>
      <c r="A9378" s="8">
        <v>14232.0</v>
      </c>
      <c r="B9378" s="9" t="str">
        <f>HYPERLINK("https://www.lazada.vn/products/banh-gau-thai-lan-banh-gau-nhan-kem-hop-thiec-430g-b235-an-vat-beegin-i2891549527.html", "https://www.lazada.vn/products/banh-gau-thai-lan-banh-gau-nhan-kem-hop-thiec-430g-b235-an-vat-beegin-i2891549527.html")</f>
        <v>https://www.lazada.vn/products/banh-gau-thai-lan-banh-gau-nhan-kem-hop-thiec-430g-b235-an-vat-beegin-i2891549527.html</v>
      </c>
      <c r="C9378" s="10" t="s">
        <v>9378</v>
      </c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>
      <c r="A9379" s="8">
        <v>14233.0</v>
      </c>
      <c r="B9379" s="9" t="str">
        <f>HYPERLINK("https://www.lazada.vn/products/thung-40-goi-mi-xao-kho-indomie-mi-goreng-rasa-iga-penyet-vi-suon-goi-80g-i2731720443.html", "https://www.lazada.vn/products/thung-40-goi-mi-xao-kho-indomie-mi-goreng-rasa-iga-penyet-vi-suon-goi-80g-i2731720443.html")</f>
        <v>https://www.lazada.vn/products/thung-40-goi-mi-xao-kho-indomie-mi-goreng-rasa-iga-penyet-vi-suon-goi-80g-i2731720443.html</v>
      </c>
      <c r="C9379" s="10" t="s">
        <v>9379</v>
      </c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>
      <c r="A9380" s="8">
        <v>14234.0</v>
      </c>
      <c r="B9380" s="9" t="str">
        <f>HYPERLINK("https://www.lazada.vn/products/thung-24-chai-nuoc-ngot-khong-duong-zero-sugar-coca-cola-600ml-i1810152520.html", "https://www.lazada.vn/products/thung-24-chai-nuoc-ngot-khong-duong-zero-sugar-coca-cola-600ml-i1810152520.html")</f>
        <v>https://www.lazada.vn/products/thung-24-chai-nuoc-ngot-khong-duong-zero-sugar-coca-cola-600ml-i1810152520.html</v>
      </c>
      <c r="C9380" s="10" t="s">
        <v>9380</v>
      </c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>
      <c r="A9381" s="8">
        <v>14235.0</v>
      </c>
      <c r="B9381" s="9" t="str">
        <f>HYPERLINK("https://www.lazada.vn/products/ly-my-hao-hao-chua-cay-67g-i2797336836.html", "https://www.lazada.vn/products/ly-my-hao-hao-chua-cay-67g-i2797336836.html")</f>
        <v>https://www.lazada.vn/products/ly-my-hao-hao-chua-cay-67g-i2797336836.html</v>
      </c>
      <c r="C9381" s="10" t="s">
        <v>9381</v>
      </c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>
      <c r="A9382" s="8">
        <v>14236.0</v>
      </c>
      <c r="B9382" s="9" t="str">
        <f>HYPERLINK("https://www.lazada.vn/products/xot-mang-cau-pha-che-lam-tu-trai-cay-that-andros-fruit-mix-nguyen-lieu-pha-che-820ml-i2407801074.html", "https://www.lazada.vn/products/xot-mang-cau-pha-che-lam-tu-trai-cay-that-andros-fruit-mix-nguyen-lieu-pha-che-820ml-i2407801074.html")</f>
        <v>https://www.lazada.vn/products/xot-mang-cau-pha-che-lam-tu-trai-cay-that-andros-fruit-mix-nguyen-lieu-pha-che-820ml-i2407801074.html</v>
      </c>
      <c r="C9382" s="10" t="s">
        <v>9382</v>
      </c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>
      <c r="A9383" s="8">
        <v>14237.0</v>
      </c>
      <c r="B9383" s="9" t="str">
        <f>HYPERLINK("https://www.lazada.vn/products/combo-2-bich-vang-phap-3-lit-i2611615181.html", "https://www.lazada.vn/products/combo-2-bich-vang-phap-3-lit-i2611615181.html")</f>
        <v>https://www.lazada.vn/products/combo-2-bich-vang-phap-3-lit-i2611615181.html</v>
      </c>
      <c r="C9383" s="10" t="s">
        <v>9383</v>
      </c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>
      <c r="A9384" s="8">
        <v>14238.0</v>
      </c>
      <c r="B9384" s="9" t="str">
        <f>HYPERLINK("https://www.lazada.vn/products/bong-ngo-khong-duong-94-fat-free-orville-redenbachers-keto-eat-clean-an-kieng-microwave-popcorn-no-sugar-i1404969903.html", "https://www.lazada.vn/products/bong-ngo-khong-duong-94-fat-free-orville-redenbachers-keto-eat-clean-an-kieng-microwave-popcorn-no-sugar-i1404969903.html")</f>
        <v>https://www.lazada.vn/products/bong-ngo-khong-duong-94-fat-free-orville-redenbachers-keto-eat-clean-an-kieng-microwave-popcorn-no-sugar-i1404969903.html</v>
      </c>
      <c r="C9384" s="10" t="s">
        <v>9384</v>
      </c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>
      <c r="A9385" s="8">
        <v>14239.0</v>
      </c>
      <c r="B9385" s="9" t="str">
        <f>HYPERLINK("https://www.lazada.vn/products/bot-beo-do-tai-ky-1kg-nau-cot-dua-ga-ran-i2611914024.html", "https://www.lazada.vn/products/bot-beo-do-tai-ky-1kg-nau-cot-dua-ga-ran-i2611914024.html")</f>
        <v>https://www.lazada.vn/products/bot-beo-do-tai-ky-1kg-nau-cot-dua-ga-ran-i2611914024.html</v>
      </c>
      <c r="C9385" s="10" t="s">
        <v>9385</v>
      </c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>
      <c r="A9386" s="8">
        <v>14240.0</v>
      </c>
      <c r="B9386" s="9" t="str">
        <f>HYPERLINK("https://www.lazada.vn/products/tau-hu-ky-sua-vang-dau-dong-lon-an-lien-thom-ngon-thuc-pham-chay-binh-loan-200gr-i1696495484.html", "https://www.lazada.vn/products/tau-hu-ky-sua-vang-dau-dong-lon-an-lien-thom-ngon-thuc-pham-chay-binh-loan-200gr-i1696495484.html")</f>
        <v>https://www.lazada.vn/products/tau-hu-ky-sua-vang-dau-dong-lon-an-lien-thom-ngon-thuc-pham-chay-binh-loan-200gr-i1696495484.html</v>
      </c>
      <c r="C9386" s="10" t="s">
        <v>9386</v>
      </c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>
      <c r="A9387" s="8">
        <v>14241.0</v>
      </c>
      <c r="B9387" s="9" t="str">
        <f>HYPERLINK("https://www.lazada.vn/products/hop-100g-keo-sap-ong-nhan-trai-cay-rung-thom-lung-i2656169589.html", "https://www.lazada.vn/products/hop-100g-keo-sap-ong-nhan-trai-cay-rung-thom-lung-i2656169589.html")</f>
        <v>https://www.lazada.vn/products/hop-100g-keo-sap-ong-nhan-trai-cay-rung-thom-lung-i2656169589.html</v>
      </c>
      <c r="C9387" s="10" t="s">
        <v>9387</v>
      </c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>
      <c r="A9388" s="8">
        <v>14242.0</v>
      </c>
      <c r="B9388" s="9" t="str">
        <f>HYPERLINK("https://www.lazada.vn/products/combo-800gr-banh-trang-phoi-suong-sa-te-muoi-tom-hanh-phi-bo-beo-i2177469372.html", "https://www.lazada.vn/products/combo-800gr-banh-trang-phoi-suong-sa-te-muoi-tom-hanh-phi-bo-beo-i2177469372.html")</f>
        <v>https://www.lazada.vn/products/combo-800gr-banh-trang-phoi-suong-sa-te-muoi-tom-hanh-phi-bo-beo-i2177469372.html</v>
      </c>
      <c r="C9388" s="10" t="s">
        <v>9388</v>
      </c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>
      <c r="A9389" s="8">
        <v>14243.0</v>
      </c>
      <c r="B9389" s="9" t="str">
        <f>HYPERLINK("https://www.lazada.vn/products/ruou-vang-do-siglo-reserva-i2399472176.html", "https://www.lazada.vn/products/ruou-vang-do-siglo-reserva-i2399472176.html")</f>
        <v>https://www.lazada.vn/products/ruou-vang-do-siglo-reserva-i2399472176.html</v>
      </c>
      <c r="C9389" s="10" t="s">
        <v>9389</v>
      </c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>
      <c r="A9390" s="8">
        <v>14244.0</v>
      </c>
      <c r="B9390" s="9" t="str">
        <f>HYPERLINK("https://www.lazada.vn/products/banh-25kg-doi-truong-heo-co-cuon-thung-xanh-giao-tphcm-i2520551003.html", "https://www.lazada.vn/products/banh-25kg-doi-truong-heo-co-cuon-thung-xanh-giao-tphcm-i2520551003.html")</f>
        <v>https://www.lazada.vn/products/banh-25kg-doi-truong-heo-co-cuon-thung-xanh-giao-tphcm-i2520551003.html</v>
      </c>
      <c r="C9390" s="10" t="s">
        <v>9390</v>
      </c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>
      <c r="A9391" s="8">
        <v>14245.0</v>
      </c>
      <c r="B9391" s="9" t="str">
        <f>HYPERLINK("https://www.lazada.vn/products/1-kg-ca-phe-combo-2-bich-moi-bich-500gr-ca-phe-pha-phin-chon-do-buon-me-thuoc-date-moi-12-thang-i2616295219.html", "https://www.lazada.vn/products/1-kg-ca-phe-combo-2-bich-moi-bich-500gr-ca-phe-pha-phin-chon-do-buon-me-thuoc-date-moi-12-thang-i2616295219.html")</f>
        <v>https://www.lazada.vn/products/1-kg-ca-phe-combo-2-bich-moi-bich-500gr-ca-phe-pha-phin-chon-do-buon-me-thuoc-date-moi-12-thang-i2616295219.html</v>
      </c>
      <c r="C9391" s="10" t="s">
        <v>9391</v>
      </c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>
      <c r="A9392" s="8">
        <v>14246.0</v>
      </c>
      <c r="B9392" s="9" t="str">
        <f>HYPERLINK("https://www.lazada.vn/products/thach-pudding-chua-ngot-thom-ngon-500gram-i2017860473.html", "https://www.lazada.vn/products/thach-pudding-chua-ngot-thom-ngon-500gram-i2017860473.html")</f>
        <v>https://www.lazada.vn/products/thach-pudding-chua-ngot-thom-ngon-500gram-i2017860473.html</v>
      </c>
      <c r="C9392" s="10" t="s">
        <v>9392</v>
      </c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>
      <c r="A9393" s="8">
        <v>14247.0</v>
      </c>
      <c r="B9393" s="9" t="str">
        <f>HYPERLINK("https://www.lazada.vn/products/hcmnuoc-tang-luc-lipovitan-vi-mat-ong-loc-6-lon-i1510152082.html", "https://www.lazada.vn/products/hcmnuoc-tang-luc-lipovitan-vi-mat-ong-loc-6-lon-i1510152082.html")</f>
        <v>https://www.lazada.vn/products/hcmnuoc-tang-luc-lipovitan-vi-mat-ong-loc-6-lon-i1510152082.html</v>
      </c>
      <c r="C9393" s="10" t="s">
        <v>9393</v>
      </c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>
      <c r="A9394" s="8">
        <v>14248.0</v>
      </c>
      <c r="B9394" s="9" t="str">
        <f>HYPERLINK("https://www.lazada.vn/products/xoai-say-deo-gia-si-250g500g-sieu-ngon-an-vat-bach-hoa-online-uy-tin-i2908113817.html", "https://www.lazada.vn/products/xoai-say-deo-gia-si-250g500g-sieu-ngon-an-vat-bach-hoa-online-uy-tin-i2908113817.html")</f>
        <v>https://www.lazada.vn/products/xoai-say-deo-gia-si-250g500g-sieu-ngon-an-vat-bach-hoa-online-uy-tin-i2908113817.html</v>
      </c>
      <c r="C9394" s="10" t="s">
        <v>9394</v>
      </c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>
      <c r="A9395" s="8">
        <v>14249.0</v>
      </c>
      <c r="B9395" s="9" t="str">
        <f>HYPERLINK("https://www.lazada.vn/products/bia-gau-bear-beer-dark-wheat-54-duc-lon-500ml-thung-24-lon-i2764138403.html", "https://www.lazada.vn/products/bia-gau-bear-beer-dark-wheat-54-duc-lon-500ml-thung-24-lon-i2764138403.html")</f>
        <v>https://www.lazada.vn/products/bia-gau-bear-beer-dark-wheat-54-duc-lon-500ml-thung-24-lon-i2764138403.html</v>
      </c>
      <c r="C9395" s="10" t="s">
        <v>9395</v>
      </c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>
      <c r="A9396" s="8">
        <v>14250.0</v>
      </c>
      <c r="B9396" s="9" t="str">
        <f>HYPERLINK("https://www.lazada.vn/products/tui-80g-bot-cacao-sua-3in1-heyday-classic-them-30-cacao-nguyen-chat-dung-sua-tach-beo-dam-vi-socola-nguyen-ban-khong-dung-huong-lieu-heyday-cacao-i932062508.html", "https://www.lazada.vn/products/tui-80g-bot-cacao-sua-3in1-heyday-classic-them-30-cacao-nguyen-chat-dung-sua-tach-beo-dam-vi-socola-nguyen-ban-khong-dung-huong-lieu-heyday-cacao-i932062508.html")</f>
        <v>https://www.lazada.vn/products/tui-80g-bot-cacao-sua-3in1-heyday-classic-them-30-cacao-nguyen-chat-dung-sua-tach-beo-dam-vi-socola-nguyen-ban-khong-dung-huong-lieu-heyday-cacao-i932062508.html</v>
      </c>
      <c r="C9396" s="10" t="s">
        <v>9396</v>
      </c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>
      <c r="A9397" s="8">
        <v>14251.0</v>
      </c>
      <c r="B9397" s="9" t="str">
        <f>HYPERLINK("https://www.lazada.vn/products/mi-lau-thai-koreno-chuan-vi-mi-cay-cap-do-7-goi-74g-shop_japangood-i2731693558.html", "https://www.lazada.vn/products/mi-lau-thai-koreno-chuan-vi-mi-cay-cap-do-7-goi-74g-shop_japangood-i2731693558.html")</f>
        <v>https://www.lazada.vn/products/mi-lau-thai-koreno-chuan-vi-mi-cay-cap-do-7-goi-74g-shop_japangood-i2731693558.html</v>
      </c>
      <c r="C9397" s="10" t="s">
        <v>9397</v>
      </c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>
      <c r="A9398" s="8">
        <v>14252.0</v>
      </c>
      <c r="B9398" s="9" t="str">
        <f>HYPERLINK("https://www.lazada.vn/products/cacao-criollo-huu-co-peru-nguyen-chat-200g-i909192406.html", "https://www.lazada.vn/products/cacao-criollo-huu-co-peru-nguyen-chat-200g-i909192406.html")</f>
        <v>https://www.lazada.vn/products/cacao-criollo-huu-co-peru-nguyen-chat-200g-i909192406.html</v>
      </c>
      <c r="C9398" s="10" t="s">
        <v>9398</v>
      </c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>
      <c r="A9399" s="8">
        <v>14253.0</v>
      </c>
      <c r="B9399" s="9" t="str">
        <f>HYPERLINK("https://www.lazada.vn/products/coop-online-chocolate-nestle-kitkat-thanh-35g-i2860328324.html", "https://www.lazada.vn/products/coop-online-chocolate-nestle-kitkat-thanh-35g-i2860328324.html")</f>
        <v>https://www.lazada.vn/products/coop-online-chocolate-nestle-kitkat-thanh-35g-i2860328324.html</v>
      </c>
      <c r="C9399" s="10" t="s">
        <v>9399</v>
      </c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>
      <c r="A9400" s="8">
        <v>14254.0</v>
      </c>
      <c r="B9400" s="9" t="str">
        <f>HYPERLINK("https://www.lazada.vn/products/loc-6-chai-nuoc-ngot-huong-vi-nguyen-ban-giam-duong-original-taste-coca-cola-15l-i1810125814.html", "https://www.lazada.vn/products/loc-6-chai-nuoc-ngot-huong-vi-nguyen-ban-giam-duong-original-taste-coca-cola-15l-i1810125814.html")</f>
        <v>https://www.lazada.vn/products/loc-6-chai-nuoc-ngot-huong-vi-nguyen-ban-giam-duong-original-taste-coca-cola-15l-i1810125814.html</v>
      </c>
      <c r="C9400" s="10" t="s">
        <v>9400</v>
      </c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>
      <c r="A9401" s="8">
        <v>14255.0</v>
      </c>
      <c r="B9401" s="9" t="str">
        <f>HYPERLINK("https://www.lazada.vn/products/banh-gau-vfoods-thai-lan-nhan-que-caybong-khom-i2890399507.html", "https://www.lazada.vn/products/banh-gau-vfoods-thai-lan-nhan-que-caybong-khom-i2890399507.html")</f>
        <v>https://www.lazada.vn/products/banh-gau-vfoods-thai-lan-nhan-que-caybong-khom-i2890399507.html</v>
      </c>
      <c r="C9401" s="10" t="s">
        <v>9401</v>
      </c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>
      <c r="A9402" s="8">
        <v>14256.0</v>
      </c>
      <c r="B9402" s="9" t="str">
        <f>HYPERLINK("https://www.lazada.vn/products/hcm1kg-dau-ha-lan-toi-ot-gion-ngon-dam-vi-i1342387086.html", "https://www.lazada.vn/products/hcm1kg-dau-ha-lan-toi-ot-gion-ngon-dam-vi-i1342387086.html")</f>
        <v>https://www.lazada.vn/products/hcm1kg-dau-ha-lan-toi-ot-gion-ngon-dam-vi-i1342387086.html</v>
      </c>
      <c r="C9402" s="10" t="s">
        <v>9402</v>
      </c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>
      <c r="A9403" s="8">
        <v>14257.0</v>
      </c>
      <c r="B9403" s="9" t="str">
        <f>HYPERLINK("https://www.lazada.vn/products/mi-spaghetti-lut-huu-co-markal-500g-i2793693757.html", "https://www.lazada.vn/products/mi-spaghetti-lut-huu-co-markal-500g-i2793693757.html")</f>
        <v>https://www.lazada.vn/products/mi-spaghetti-lut-huu-co-markal-500g-i2793693757.html</v>
      </c>
      <c r="C9403" s="10" t="s">
        <v>9403</v>
      </c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>
      <c r="A9404" s="8">
        <v>14258.0</v>
      </c>
      <c r="B9404" s="9" t="str">
        <f>HYPERLINK("https://www.lazada.vn/products/nuoc-khoang-chanh-muoi-quang-hanh-1-chai-i2611614404.html", "https://www.lazada.vn/products/nuoc-khoang-chanh-muoi-quang-hanh-1-chai-i2611614404.html")</f>
        <v>https://www.lazada.vn/products/nuoc-khoang-chanh-muoi-quang-hanh-1-chai-i2611614404.html</v>
      </c>
      <c r="C9404" s="10" t="s">
        <v>9404</v>
      </c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>
      <c r="A9405" s="8">
        <v>14259.0</v>
      </c>
      <c r="B9405" s="9" t="str">
        <f>HYPERLINK("https://www.lazada.vn/products/xot-chanh-day-pha-che-lam-tu-trai-cay-that-andros-fruit-mix-nguyen-lieu-pha-che-820ml-i2407503867.html", "https://www.lazada.vn/products/xot-chanh-day-pha-che-lam-tu-trai-cay-that-andros-fruit-mix-nguyen-lieu-pha-che-820ml-i2407503867.html")</f>
        <v>https://www.lazada.vn/products/xot-chanh-day-pha-che-lam-tu-trai-cay-that-andros-fruit-mix-nguyen-lieu-pha-che-820ml-i2407503867.html</v>
      </c>
      <c r="C9405" s="10" t="s">
        <v>9405</v>
      </c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>
      <c r="A9406" s="8">
        <v>14260.0</v>
      </c>
      <c r="B9406" s="9" t="str">
        <f>HYPERLINK("https://www.lazada.vn/products/mi-tre-em-enaak-danh-cho-cac-ban-nho-va-nguoi-lon-i2792285677.html", "https://www.lazada.vn/products/mi-tre-em-enaak-danh-cho-cac-ban-nho-va-nguoi-lon-i2792285677.html")</f>
        <v>https://www.lazada.vn/products/mi-tre-em-enaak-danh-cho-cac-ban-nho-va-nguoi-lon-i2792285677.html</v>
      </c>
      <c r="C9406" s="10" t="s">
        <v>9406</v>
      </c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>
      <c r="A9407" s="8">
        <v>14261.0</v>
      </c>
      <c r="B9407" s="9" t="str">
        <f>HYPERLINK("https://www.lazada.vn/products/meat-additive-transglutaminase-meat-glue-food-grade-transglutaminase-enzyme-tg-100g-1kg-i2611290902.html", "https://www.lazada.vn/products/meat-additive-transglutaminase-meat-glue-food-grade-transglutaminase-enzyme-tg-100g-1kg-i2611290902.html")</f>
        <v>https://www.lazada.vn/products/meat-additive-transglutaminase-meat-glue-food-grade-transglutaminase-enzyme-tg-100g-1kg-i2611290902.html</v>
      </c>
      <c r="C9407" s="10" t="s">
        <v>9407</v>
      </c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>
      <c r="A9408" s="8">
        <v>14262.0</v>
      </c>
      <c r="B9408" s="9" t="str">
        <f>HYPERLINK("https://www.lazada.vn/products/combo-2-bich-vang-chile-3-lit-nhap-khau-chinh-hang-i2611528954.html", "https://www.lazada.vn/products/combo-2-bich-vang-chile-3-lit-nhap-khau-chinh-hang-i2611528954.html")</f>
        <v>https://www.lazada.vn/products/combo-2-bich-vang-chile-3-lit-nhap-khau-chinh-hang-i2611528954.html</v>
      </c>
      <c r="C9408" s="10" t="s">
        <v>9408</v>
      </c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>
      <c r="A9409" s="8">
        <v>14263.0</v>
      </c>
      <c r="B9409" s="9" t="str">
        <f>HYPERLINK("https://www.lazada.vn/products/syrup-vai-freshy-lychee-710ml-i2406877323.html", "https://www.lazada.vn/products/syrup-vai-freshy-lychee-710ml-i2406877323.html")</f>
        <v>https://www.lazada.vn/products/syrup-vai-freshy-lychee-710ml-i2406877323.html</v>
      </c>
      <c r="C9409" s="10" t="s">
        <v>9409</v>
      </c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>
      <c r="A9410" s="8">
        <v>14264.0</v>
      </c>
      <c r="B9410" s="9" t="str">
        <f>HYPERLINK("https://www.lazada.vn/products/hop-100g-keo-sap-ong-nhan-trai-cay-rung-thom-lung-hot-tiktok-i2656128172.html", "https://www.lazada.vn/products/hop-100g-keo-sap-ong-nhan-trai-cay-rung-thom-lung-hot-tiktok-i2656128172.html")</f>
        <v>https://www.lazada.vn/products/hop-100g-keo-sap-ong-nhan-trai-cay-rung-thom-lung-hot-tiktok-i2656128172.html</v>
      </c>
      <c r="C9410" s="10" t="s">
        <v>9410</v>
      </c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>
      <c r="A9411" s="8">
        <v>14265.0</v>
      </c>
      <c r="B9411" s="9" t="str">
        <f>HYPERLINK("https://www.lazada.vn/products/ruou-vang-do-comte-alexandre-red-i2399469225.html", "https://www.lazada.vn/products/ruou-vang-do-comte-alexandre-red-i2399469225.html")</f>
        <v>https://www.lazada.vn/products/ruou-vang-do-comte-alexandre-red-i2399469225.html</v>
      </c>
      <c r="C9411" s="10" t="s">
        <v>9411</v>
      </c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>
      <c r="A9412" s="8">
        <v>14266.0</v>
      </c>
      <c r="B9412" s="9" t="str">
        <f>HYPERLINK("https://www.lazada.vn/products/combo-4-banh-bong-lan-tam-giac-ngan-lop-2-vi-dingpan-100g-an-vat-beegin-i2517736203.html", "https://www.lazada.vn/products/combo-4-banh-bong-lan-tam-giac-ngan-lop-2-vi-dingpan-100g-an-vat-beegin-i2517736203.html")</f>
        <v>https://www.lazada.vn/products/combo-4-banh-bong-lan-tam-giac-ngan-lop-2-vi-dingpan-100g-an-vat-beegin-i2517736203.html</v>
      </c>
      <c r="C9412" s="10" t="s">
        <v>9412</v>
      </c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>
      <c r="A9413" s="8">
        <v>14267.0</v>
      </c>
      <c r="B9413" s="9" t="str">
        <f>HYPERLINK("https://www.lazada.vn/products/bich-500gr-ca-phe-pha-phin-chon-do-buon-me-thuoc-date-moi-12-thang-i2616277433.html", "https://www.lazada.vn/products/bich-500gr-ca-phe-pha-phin-chon-do-buon-me-thuoc-date-moi-12-thang-i2616277433.html")</f>
        <v>https://www.lazada.vn/products/bich-500gr-ca-phe-pha-phin-chon-do-buon-me-thuoc-date-moi-12-thang-i2616277433.html</v>
      </c>
      <c r="C9413" s="10" t="s">
        <v>9413</v>
      </c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>
      <c r="A9414" s="8">
        <v>14268.0</v>
      </c>
      <c r="B9414" s="9" t="str">
        <f>HYPERLINK("https://www.lazada.vn/products/tau-hu-ky-nam-moi-250gr-vang-dau-thuc-pham-chay-binh-loan-i1696494288.html", "https://www.lazada.vn/products/tau-hu-ky-nam-moi-250gr-vang-dau-thuc-pham-chay-binh-loan-i1696494288.html")</f>
        <v>https://www.lazada.vn/products/tau-hu-ky-nam-moi-250gr-vang-dau-thuc-pham-chay-binh-loan-i1696494288.html</v>
      </c>
      <c r="C9414" s="10" t="s">
        <v>9414</v>
      </c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>
      <c r="A9415" s="8">
        <v>14269.0</v>
      </c>
      <c r="B9415" s="9" t="str">
        <f>HYPERLINK("https://www.lazada.vn/products/set-banh-trang-muoi-tep-hanh-phi400g-combo-banh-trang-phoi-suong-muoi-nhuyen-bo-beo-sot-tac-top-mo-sieu-ngon-i2174924739.html", "https://www.lazada.vn/products/set-banh-trang-muoi-tep-hanh-phi400g-combo-banh-trang-phoi-suong-muoi-nhuyen-bo-beo-sot-tac-top-mo-sieu-ngon-i2174924739.html")</f>
        <v>https://www.lazada.vn/products/set-banh-trang-muoi-tep-hanh-phi400g-combo-banh-trang-phoi-suong-muoi-nhuyen-bo-beo-sot-tac-top-mo-sieu-ngon-i2174924739.html</v>
      </c>
      <c r="C9415" s="10" t="s">
        <v>9415</v>
      </c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>
      <c r="A9416" s="8">
        <v>14270.0</v>
      </c>
      <c r="B9416" s="9" t="str">
        <f>HYPERLINK("https://www.lazada.vn/products/combo-4-banh-bong-lan-tam-giac-ngan-lop-2-vi-dingpan-100g-beegin-food-store-i2517703399.html", "https://www.lazada.vn/products/combo-4-banh-bong-lan-tam-giac-ngan-lop-2-vi-dingpan-100g-beegin-food-store-i2517703399.html")</f>
        <v>https://www.lazada.vn/products/combo-4-banh-bong-lan-tam-giac-ngan-lop-2-vi-dingpan-100g-beegin-food-store-i2517703399.html</v>
      </c>
      <c r="C9416" s="10" t="s">
        <v>9416</v>
      </c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>
      <c r="A9417" s="8">
        <v>14271.0</v>
      </c>
      <c r="B9417" s="9" t="str">
        <f>HYPERLINK("https://www.lazada.vn/products/hop-15-goi-ca-phe-gung-vipp-x10-dep-da-giu-dang-huong-vi-thom-ngon-cua-ca-phe-i2616197484.html", "https://www.lazada.vn/products/hop-15-goi-ca-phe-gung-vipp-x10-dep-da-giu-dang-huong-vi-thom-ngon-cua-ca-phe-i2616197484.html")</f>
        <v>https://www.lazada.vn/products/hop-15-goi-ca-phe-gung-vipp-x10-dep-da-giu-dang-huong-vi-thom-ngon-cua-ca-phe-i2616197484.html</v>
      </c>
      <c r="C9417" s="10" t="s">
        <v>9417</v>
      </c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>
      <c r="A9418" s="8">
        <v>14272.0</v>
      </c>
      <c r="B9418" s="9" t="str">
        <f>HYPERLINK("https://www.lazada.vn/products/thach-pudding-chua-ngot-thom-ngon-1kg-i2017735846.html", "https://www.lazada.vn/products/thach-pudding-chua-ngot-thom-ngon-1kg-i2017735846.html")</f>
        <v>https://www.lazada.vn/products/thach-pudding-chua-ngot-thom-ngon-1kg-i2017735846.html</v>
      </c>
      <c r="C9418" s="10" t="s">
        <v>9418</v>
      </c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>
      <c r="A9419" s="8">
        <v>14273.0</v>
      </c>
      <c r="B9419" s="9" t="str">
        <f>HYPERLINK("https://www.lazada.vn/products/nuoc-tang-luc-asahi-monster-energy-chai-hong-x-355-ml-nhat-ban-i1508556889.html", "https://www.lazada.vn/products/nuoc-tang-luc-asahi-monster-energy-chai-hong-x-355-ml-nhat-ban-i1508556889.html")</f>
        <v>https://www.lazada.vn/products/nuoc-tang-luc-asahi-monster-energy-chai-hong-x-355-ml-nhat-ban-i1508556889.html</v>
      </c>
      <c r="C9419" s="10" t="s">
        <v>9419</v>
      </c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>
      <c r="A9420" s="8">
        <v>14274.0</v>
      </c>
      <c r="B9420" s="9" t="str">
        <f>HYPERLINK("https://www.lazada.vn/products/bia-viiking-strong-12-duc-lon-500ml-thung-24-lon-i2764081695.html", "https://www.lazada.vn/products/bia-viiking-strong-12-duc-lon-500ml-thung-24-lon-i2764081695.html")</f>
        <v>https://www.lazada.vn/products/bia-viiking-strong-12-duc-lon-500ml-thung-24-lon-i2764081695.html</v>
      </c>
      <c r="C9420" s="10" t="s">
        <v>9420</v>
      </c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>
      <c r="A9421" s="8">
        <v>14275.0</v>
      </c>
      <c r="B9421" s="9" t="str">
        <f>HYPERLINK("https://www.lazada.vn/products/trai-cay-say-vinamit-100g-i2831451980.html", "https://www.lazada.vn/products/trai-cay-say-vinamit-100g-i2831451980.html")</f>
        <v>https://www.lazada.vn/products/trai-cay-say-vinamit-100g-i2831451980.html</v>
      </c>
      <c r="C9421" s="10" t="s">
        <v>9421</v>
      </c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>
      <c r="A9422" s="8">
        <v>14276.0</v>
      </c>
      <c r="B9422" s="9" t="str">
        <f>HYPERLINK("https://www.lazada.vn/products/siro-socola-hieu-hershey-chai-1kg36g-i861664905.html", "https://www.lazada.vn/products/siro-socola-hieu-hershey-chai-1kg36g-i861664905.html")</f>
        <v>https://www.lazada.vn/products/siro-socola-hieu-hershey-chai-1kg36g-i861664905.html</v>
      </c>
      <c r="C9422" s="10" t="s">
        <v>9422</v>
      </c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>
      <c r="A9423" s="8">
        <v>14277.0</v>
      </c>
      <c r="B9423" s="9" t="str">
        <f>HYPERLINK("https://www.lazada.vn/products/cb-2-hop-banh-quy-kokola-olezz-choco-100gr-i2812166271.html", "https://www.lazada.vn/products/cb-2-hop-banh-quy-kokola-olezz-choco-100gr-i2812166271.html")</f>
        <v>https://www.lazada.vn/products/cb-2-hop-banh-quy-kokola-olezz-choco-100gr-i2812166271.html</v>
      </c>
      <c r="C9423" s="10" t="s">
        <v>9423</v>
      </c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>
      <c r="A9424" s="8">
        <v>14278.0</v>
      </c>
      <c r="B9424" s="9" t="str">
        <f>HYPERLINK("https://www.lazada.vn/products/ba-roi-sot-mam-toi-say-gion-dam-vi-co-video-i2731638294.html", "https://www.lazada.vn/products/ba-roi-sot-mam-toi-say-gion-dam-vi-co-video-i2731638294.html")</f>
        <v>https://www.lazada.vn/products/ba-roi-sot-mam-toi-say-gion-dam-vi-co-video-i2731638294.html</v>
      </c>
      <c r="C9424" s="10" t="s">
        <v>9424</v>
      </c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>
      <c r="A9425" s="8">
        <v>14279.0</v>
      </c>
      <c r="B9425" s="9" t="str">
        <f>HYPERLINK("https://www.lazada.vn/products/coop-online-choco-kitakat-chunky-thanh-38g-i2860282485.html", "https://www.lazada.vn/products/coop-online-choco-kitakat-chunky-thanh-38g-i2860282485.html")</f>
        <v>https://www.lazada.vn/products/coop-online-choco-kitakat-chunky-thanh-38g-i2860282485.html</v>
      </c>
      <c r="C9425" s="10" t="s">
        <v>9425</v>
      </c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>
      <c r="A9426" s="8">
        <v>14280.0</v>
      </c>
      <c r="B9426" s="9" t="str">
        <f>HYPERLINK("https://www.lazada.vn/products/01-loc-6-ly-mi-ly-an-lien-mama-brand-thailand-i2792151579.html", "https://www.lazada.vn/products/01-loc-6-ly-mi-ly-an-lien-mama-brand-thailand-i2792151579.html")</f>
        <v>https://www.lazada.vn/products/01-loc-6-ly-mi-ly-an-lien-mama-brand-thailand-i2792151579.html</v>
      </c>
      <c r="C9426" s="10" t="s">
        <v>9426</v>
      </c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>
      <c r="A9427" s="8">
        <v>14281.0</v>
      </c>
      <c r="B9427" s="9" t="str">
        <f>HYPERLINK("https://www.lazada.vn/products/banh-ngan-lop-phu-duong-va-nhan-kem-hat-phi-matilde-vicenzi-cua-italy-i2885297827.html", "https://www.lazada.vn/products/banh-ngan-lop-phu-duong-va-nhan-kem-hat-phi-matilde-vicenzi-cua-italy-i2885297827.html")</f>
        <v>https://www.lazada.vn/products/banh-ngan-lop-phu-duong-va-nhan-kem-hat-phi-matilde-vicenzi-cua-italy-i2885297827.html</v>
      </c>
      <c r="C9427" s="10" t="s">
        <v>9427</v>
      </c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>
      <c r="A9428" s="8">
        <v>14282.0</v>
      </c>
      <c r="B9428" s="9" t="str">
        <f>HYPERLINK("https://www.lazada.vn/products/bot-san-day-organic-nguyen-chat-100-cam-ket-khong-pha-tron-giai-nhiet-i2610778536.html", "https://www.lazada.vn/products/bot-san-day-organic-nguyen-chat-100-cam-ket-khong-pha-tron-giai-nhiet-i2610778536.html")</f>
        <v>https://www.lazada.vn/products/bot-san-day-organic-nguyen-chat-100-cam-ket-khong-pha-tron-giai-nhiet-i2610778536.html</v>
      </c>
      <c r="C9428" s="10" t="s">
        <v>9428</v>
      </c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>
      <c r="A9429" s="8">
        <v>14283.0</v>
      </c>
      <c r="B9429" s="9" t="str">
        <f>HYPERLINK("https://www.lazada.vn/products/thung-24-lon-nuoc-ngot-khong-duong-zero-sugar-coca-cola-320ml-i1809944149.html", "https://www.lazada.vn/products/thung-24-lon-nuoc-ngot-khong-duong-zero-sugar-coca-cola-320ml-i1809944149.html")</f>
        <v>https://www.lazada.vn/products/thung-24-lon-nuoc-ngot-khong-duong-zero-sugar-coca-cola-320ml-i1809944149.html</v>
      </c>
      <c r="C9429" s="10" t="s">
        <v>9429</v>
      </c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>
      <c r="A9430" s="8">
        <v>14284.0</v>
      </c>
      <c r="B9430" s="9" t="str">
        <f>HYPERLINK("https://www.lazada.vn/products/ngo-hat-no-bap-rang-bo-500g-i1252229128.html", "https://www.lazada.vn/products/ngo-hat-no-bap-rang-bo-500g-i1252229128.html")</f>
        <v>https://www.lazada.vn/products/ngo-hat-no-bap-rang-bo-500g-i1252229128.html</v>
      </c>
      <c r="C9430" s="10" t="s">
        <v>9430</v>
      </c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>
      <c r="A9431" s="8">
        <v>14285.0</v>
      </c>
      <c r="B9431" s="9" t="str">
        <f>HYPERLINK("https://www.lazada.vn/products/banh-karo-pho-mai-hoang-kim-goi-26g-i2881506135.html", "https://www.lazada.vn/products/banh-karo-pho-mai-hoang-kim-goi-26g-i2881506135.html")</f>
        <v>https://www.lazada.vn/products/banh-karo-pho-mai-hoang-kim-goi-26g-i2881506135.html</v>
      </c>
      <c r="C9431" s="10" t="s">
        <v>9431</v>
      </c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>
      <c r="A9432" s="8">
        <v>14286.0</v>
      </c>
      <c r="B9432" s="9" t="str">
        <f>HYPERLINK("https://www.lazada.vn/products/100g-bap-nep-no-tuoi-tho-sieu-ngon-i988390166.html", "https://www.lazada.vn/products/100g-bap-nep-no-tuoi-tho-sieu-ngon-i988390166.html")</f>
        <v>https://www.lazada.vn/products/100g-bap-nep-no-tuoi-tho-sieu-ngon-i988390166.html</v>
      </c>
      <c r="C9432" s="10" t="s">
        <v>9432</v>
      </c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>
      <c r="A9433" s="8">
        <v>14287.0</v>
      </c>
      <c r="B9433" s="9" t="str">
        <f>HYPERLINK("https://www.lazada.vn/products/bong-ngo-han-quoc-vi-mat-ong-240g-i948758763.html", "https://www.lazada.vn/products/bong-ngo-han-quoc-vi-mat-ong-240g-i948758763.html")</f>
        <v>https://www.lazada.vn/products/bong-ngo-han-quoc-vi-mat-ong-240g-i948758763.html</v>
      </c>
      <c r="C9433" s="10" t="s">
        <v>9433</v>
      </c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>
      <c r="A9434" s="8">
        <v>14288.0</v>
      </c>
      <c r="B9434" s="9" t="str">
        <f>HYPERLINK("https://www.lazada.vn/products/vang-trang-phap-francis-gillot-sauvignon-blanc-bao-gom-hop-dung-i2610788027.html", "https://www.lazada.vn/products/vang-trang-phap-francis-gillot-sauvignon-blanc-bao-gom-hop-dung-i2610788027.html")</f>
        <v>https://www.lazada.vn/products/vang-trang-phap-francis-gillot-sauvignon-blanc-bao-gom-hop-dung-i2610788027.html</v>
      </c>
      <c r="C9434" s="10" t="s">
        <v>9434</v>
      </c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>
      <c r="A9435" s="8">
        <v>14289.0</v>
      </c>
      <c r="B9435" s="9" t="str">
        <f>HYPERLINK("https://www.lazada.vn/products/si-1-lo-100thanhkeo-gum-thoi-bubble-i2655902081.html", "https://www.lazada.vn/products/si-1-lo-100thanhkeo-gum-thoi-bubble-i2655902081.html")</f>
        <v>https://www.lazada.vn/products/si-1-lo-100thanhkeo-gum-thoi-bubble-i2655902081.html</v>
      </c>
      <c r="C9435" s="10" t="s">
        <v>9435</v>
      </c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>
      <c r="A9436" s="8">
        <v>14290.0</v>
      </c>
      <c r="B9436" s="9" t="str">
        <f>HYPERLINK("https://www.lazada.vn/products/tau-hu-ky-kho-nuoc-dua-vang-dau-tau-hu-ky-thuc-pham-chay-binh-loan-200gr-i1696432680.html", "https://www.lazada.vn/products/tau-hu-ky-kho-nuoc-dua-vang-dau-tau-hu-ky-thuc-pham-chay-binh-loan-200gr-i1696432680.html")</f>
        <v>https://www.lazada.vn/products/tau-hu-ky-kho-nuoc-dua-vang-dau-tau-hu-ky-thuc-pham-chay-binh-loan-200gr-i1696432680.html</v>
      </c>
      <c r="C9436" s="10" t="s">
        <v>9436</v>
      </c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>
      <c r="A9437" s="8">
        <v>14291.0</v>
      </c>
      <c r="B9437" s="9" t="str">
        <f>HYPERLINK("https://www.lazada.vn/products/hop-son-mai-1-chai-ruou-vang-valdivieso-caballo-loco-grand-cru-maipo-andes-i2399466170.html", "https://www.lazada.vn/products/hop-son-mai-1-chai-ruou-vang-valdivieso-caballo-loco-grand-cru-maipo-andes-i2399466170.html")</f>
        <v>https://www.lazada.vn/products/hop-son-mai-1-chai-ruou-vang-valdivieso-caballo-loco-grand-cru-maipo-andes-i2399466170.html</v>
      </c>
      <c r="C9437" s="10" t="s">
        <v>9437</v>
      </c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>
      <c r="A9438" s="8">
        <v>14292.0</v>
      </c>
      <c r="B9438" s="9" t="str">
        <f>HYPERLINK("https://www.lazada.vn/products/vang-ngot-y-sole-ditalia-semi-10-5-nhap-khau-i2610750466.html", "https://www.lazada.vn/products/vang-ngot-y-sole-ditalia-semi-10-5-nhap-khau-i2610750466.html")</f>
        <v>https://www.lazada.vn/products/vang-ngot-y-sole-ditalia-semi-10-5-nhap-khau-i2610750466.html</v>
      </c>
      <c r="C9438" s="10" t="s">
        <v>9438</v>
      </c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>
      <c r="A9439" s="8">
        <v>14293.0</v>
      </c>
      <c r="B9439" s="9" t="str">
        <f>HYPERLINK("https://www.lazada.vn/products/syrup-pha-che-shott-vi-trai-cay-tuoi-chai-1-lit-nguyen-lieu-pha-che-do-uong-i2406279420.html", "https://www.lazada.vn/products/syrup-pha-che-shott-vi-trai-cay-tuoi-chai-1-lit-nguyen-lieu-pha-che-do-uong-i2406279420.html")</f>
        <v>https://www.lazada.vn/products/syrup-pha-che-shott-vi-trai-cay-tuoi-chai-1-lit-nguyen-lieu-pha-che-do-uong-i2406279420.html</v>
      </c>
      <c r="C9439" s="10" t="s">
        <v>9439</v>
      </c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>
      <c r="A9440" s="8">
        <v>14294.0</v>
      </c>
      <c r="B9440" s="9" t="str">
        <f>HYPERLINK("https://www.lazada.vn/products/banh-korky-pho-mai-cheese-cracker-1kg-banh-keo-an-vat-cho-moi-do-tuoi-i2808754166.html", "https://www.lazada.vn/products/banh-korky-pho-mai-cheese-cracker-1kg-banh-keo-an-vat-cho-moi-do-tuoi-i2808754166.html")</f>
        <v>https://www.lazada.vn/products/banh-korky-pho-mai-cheese-cracker-1kg-banh-keo-an-vat-cho-moi-do-tuoi-i2808754166.html</v>
      </c>
      <c r="C9440" s="10" t="s">
        <v>9440</v>
      </c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>
      <c r="A9441" s="8">
        <v>14295.0</v>
      </c>
      <c r="B9441" s="9" t="str">
        <f>HYPERLINK("https://www.lazada.vn/products/combo-4-banh-bong-lan-tam-giac-ngan-lop-2-vi-dingpan-100g-beegin-mart-i2517647724.html", "https://www.lazada.vn/products/combo-4-banh-bong-lan-tam-giac-ngan-lop-2-vi-dingpan-100g-beegin-mart-i2517647724.html")</f>
        <v>https://www.lazada.vn/products/combo-4-banh-bong-lan-tam-giac-ngan-lop-2-vi-dingpan-100g-beegin-mart-i2517647724.html</v>
      </c>
      <c r="C9441" s="10" t="s">
        <v>9441</v>
      </c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>
      <c r="A9442" s="8">
        <v>14296.0</v>
      </c>
      <c r="B9442" s="9" t="str">
        <f>HYPERLINK("https://www.lazada.vn/products/banh-me-cay-man-huy-ny-goi-250gr-banh-me-man-quang-ngai-ut-duyen-76-dac-san-i2174605648.html", "https://www.lazada.vn/products/banh-me-cay-man-huy-ny-goi-250gr-banh-me-man-quang-ngai-ut-duyen-76-dac-san-i2174605648.html")</f>
        <v>https://www.lazada.vn/products/banh-me-cay-man-huy-ny-goi-250gr-banh-me-man-quang-ngai-ut-duyen-76-dac-san-i2174605648.html</v>
      </c>
      <c r="C9442" s="10" t="s">
        <v>9442</v>
      </c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>
      <c r="A9443" s="8">
        <v>14297.0</v>
      </c>
      <c r="B9443" s="9" t="str">
        <f>HYPERLINK("https://www.lazada.vn/products/combo-6-goi-ca-phe-chon-3kg-2-thuong-hang-2-ban-me-2-79-i2613960836.html", "https://www.lazada.vn/products/combo-6-goi-ca-phe-chon-3kg-2-thuong-hang-2-ban-me-2-79-i2613960836.html")</f>
        <v>https://www.lazada.vn/products/combo-6-goi-ca-phe-chon-3kg-2-thuong-hang-2-ban-me-2-79-i2613960836.html</v>
      </c>
      <c r="C9443" s="10" t="s">
        <v>9443</v>
      </c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>
      <c r="A9444" s="8">
        <v>14298.0</v>
      </c>
      <c r="B9444" s="9" t="str">
        <f>HYPERLINK("https://www.lazada.vn/products/1-tui-850g-keo-thach-rau-cau-zaizai-vietfoods-cot-trai-cay-tuoi-fruit-gel-du-vi-hang-viet-nam-chat-luong-tot-i2017400473.html", "https://www.lazada.vn/products/1-tui-850g-keo-thach-rau-cau-zaizai-vietfoods-cot-trai-cay-tuoi-fruit-gel-du-vi-hang-viet-nam-chat-luong-tot-i2017400473.html")</f>
        <v>https://www.lazada.vn/products/1-tui-850g-keo-thach-rau-cau-zaizai-vietfoods-cot-trai-cay-tuoi-fruit-gel-du-vi-hang-viet-nam-chat-luong-tot-i2017400473.html</v>
      </c>
      <c r="C9444" s="10" t="s">
        <v>9444</v>
      </c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>
      <c r="A9445" s="8">
        <v>14299.0</v>
      </c>
      <c r="B9445" s="9" t="str">
        <f>HYPERLINK("https://www.lazada.vn/products/combo-10-tui-oishi-nuoc-tang-luc-vi-dau-t-rexx-190mltui-an-vat-sumo-snack-i1488212600.html", "https://www.lazada.vn/products/combo-10-tui-oishi-nuoc-tang-luc-vi-dau-t-rexx-190mltui-an-vat-sumo-snack-i1488212600.html")</f>
        <v>https://www.lazada.vn/products/combo-10-tui-oishi-nuoc-tang-luc-vi-dau-t-rexx-190mltui-an-vat-sumo-snack-i1488212600.html</v>
      </c>
      <c r="C9445" s="10" t="s">
        <v>9445</v>
      </c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>
      <c r="A9446" s="8">
        <v>14300.0</v>
      </c>
      <c r="B9446" s="9" t="str">
        <f>HYPERLINK("https://www.lazada.vn/products/bia-gau-bear-beer-strong-77-duc-lon-500ml-thung-24-lon-i2763989992.html", "https://www.lazada.vn/products/bia-gau-bear-beer-strong-77-duc-lon-500ml-thung-24-lon-i2763989992.html")</f>
        <v>https://www.lazada.vn/products/bia-gau-bear-beer-strong-77-duc-lon-500ml-thung-24-lon-i2763989992.html</v>
      </c>
      <c r="C9446" s="10" t="s">
        <v>9446</v>
      </c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>
      <c r="A9447" s="8">
        <v>14301.0</v>
      </c>
      <c r="B9447" s="9" t="str">
        <f>HYPERLINK("https://www.lazada.vn/products/trai-cay-say-vinamit-100g-i2831449995.html", "https://www.lazada.vn/products/trai-cay-say-vinamit-100g-i2831449995.html")</f>
        <v>https://www.lazada.vn/products/trai-cay-say-vinamit-100g-i2831449995.html</v>
      </c>
      <c r="C9447" s="10" t="s">
        <v>9447</v>
      </c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>
      <c r="A9448" s="8">
        <v>14302.0</v>
      </c>
      <c r="B9448" s="9" t="str">
        <f>HYPERLINK("https://www.lazada.vn/products/yen-mach-uc-nguyen-chat-3-trong-1-them-vi-hat-chia-450g-i855950645.html", "https://www.lazada.vn/products/yen-mach-uc-nguyen-chat-3-trong-1-them-vi-hat-chia-450g-i855950645.html")</f>
        <v>https://www.lazada.vn/products/yen-mach-uc-nguyen-chat-3-trong-1-them-vi-hat-chia-450g-i855950645.html</v>
      </c>
      <c r="C9448" s="10" t="s">
        <v>9448</v>
      </c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>
      <c r="A9449" s="8">
        <v>14303.0</v>
      </c>
      <c r="B9449" s="9" t="str">
        <f>HYPERLINK("https://www.lazada.vn/products/my-somen-cho-tre-em-100g-i2791410935.html", "https://www.lazada.vn/products/my-somen-cho-tre-em-100g-i2791410935.html")</f>
        <v>https://www.lazada.vn/products/my-somen-cho-tre-em-100g-i2791410935.html</v>
      </c>
      <c r="C9449" s="10" t="s">
        <v>9449</v>
      </c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>
      <c r="A9450" s="8">
        <v>14304.0</v>
      </c>
      <c r="B9450" s="9" t="str">
        <f>HYPERLINK("https://www.lazada.vn/products/bot-rau-ma-dau-xanh-can-tay-nuoc-cot-dua-i2610522437.html", "https://www.lazada.vn/products/bot-rau-ma-dau-xanh-can-tay-nuoc-cot-dua-i2610522437.html")</f>
        <v>https://www.lazada.vn/products/bot-rau-ma-dau-xanh-can-tay-nuoc-cot-dua-i2610522437.html</v>
      </c>
      <c r="C9450" s="10" t="s">
        <v>9450</v>
      </c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>
      <c r="A9451" s="8">
        <v>14305.0</v>
      </c>
      <c r="B9451" s="9" t="str">
        <f>HYPERLINK("https://www.lazada.vn/products/banh-dua-pineapple-cake-yeou-bin-175g-i2877455741.html", "https://www.lazada.vn/products/banh-dua-pineapple-cake-yeou-bin-175g-i2877455741.html")</f>
        <v>https://www.lazada.vn/products/banh-dua-pineapple-cake-yeou-bin-175g-i2877455741.html</v>
      </c>
      <c r="C9451" s="10" t="s">
        <v>9451</v>
      </c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>
      <c r="A9452" s="8">
        <v>14306.0</v>
      </c>
      <c r="B9452" s="9" t="str">
        <f>HYPERLINK("https://www.lazada.vn/products/thung-24-chai-nuoc-ngot-khong-duong-zero-sugar-coca-cola-390ml-i1809864942.html", "https://www.lazada.vn/products/thung-24-chai-nuoc-ngot-khong-duong-zero-sugar-coca-cola-390ml-i1809864942.html")</f>
        <v>https://www.lazada.vn/products/thung-24-chai-nuoc-ngot-khong-duong-zero-sugar-coca-cola-390ml-i1809864942.html</v>
      </c>
      <c r="C9452" s="10" t="s">
        <v>9452</v>
      </c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>
      <c r="A9453" s="8">
        <v>14307.0</v>
      </c>
      <c r="B9453" s="9" t="str">
        <f>HYPERLINK("https://www.lazada.vn/products/thung-40-goi-mi-xao-kho-indomie-mi-goreng-pedas-vi-cay-nong-79g-i2731635818.html", "https://www.lazada.vn/products/thung-40-goi-mi-xao-kho-indomie-mi-goreng-pedas-vi-cay-nong-79g-i2731635818.html")</f>
        <v>https://www.lazada.vn/products/thung-40-goi-mi-xao-kho-indomie-mi-goreng-pedas-vi-cay-nong-79g-i2731635818.html</v>
      </c>
      <c r="C9453" s="10" t="s">
        <v>9453</v>
      </c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>
      <c r="A9454" s="8">
        <v>14308.0</v>
      </c>
      <c r="B9454" s="9" t="str">
        <f>HYPERLINK("https://www.lazada.vn/products/loc-6-lon-nuoc-ngot-sa-xi-zero-khong-duong-chuong-duong-320ml-i1808049710.html", "https://www.lazada.vn/products/loc-6-lon-nuoc-ngot-sa-xi-zero-khong-duong-chuong-duong-320ml-i1808049710.html")</f>
        <v>https://www.lazada.vn/products/loc-6-lon-nuoc-ngot-sa-xi-zero-khong-duong-chuong-duong-320ml-i1808049710.html</v>
      </c>
      <c r="C9454" s="10" t="s">
        <v>9454</v>
      </c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>
      <c r="A9455" s="8">
        <v>14309.0</v>
      </c>
      <c r="B9455" s="9" t="str">
        <f>HYPERLINK("https://www.lazada.vn/products/mi-xao-kho-indomie-mi-goreng-pedas-vi-cay-nong-goi-79g-i2731620929.html", "https://www.lazada.vn/products/mi-xao-kho-indomie-mi-goreng-pedas-vi-cay-nong-goi-79g-i2731620929.html")</f>
        <v>https://www.lazada.vn/products/mi-xao-kho-indomie-mi-goreng-pedas-vi-cay-nong-goi-79g-i2731620929.html</v>
      </c>
      <c r="C9455" s="10" t="s">
        <v>9455</v>
      </c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>
      <c r="A9456" s="8">
        <v>14310.0</v>
      </c>
      <c r="B9456" s="9" t="str">
        <f>HYPERLINK("https://www.lazada.vn/products/coop-online-chocolate-kitkat-green-tea-thanh-35g-i2860258578.html", "https://www.lazada.vn/products/coop-online-chocolate-kitkat-green-tea-thanh-35g-i2860258578.html")</f>
        <v>https://www.lazada.vn/products/coop-online-chocolate-kitkat-green-tea-thanh-35g-i2860258578.html</v>
      </c>
      <c r="C9456" s="10" t="s">
        <v>9456</v>
      </c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>
      <c r="A9457" s="8">
        <v>14311.0</v>
      </c>
      <c r="B9457" s="9" t="str">
        <f>HYPERLINK("https://www.lazada.vn/products/si-1-lo-74vien-keo-big-babol-co-nhan-i2655853308.html", "https://www.lazada.vn/products/si-1-lo-74vien-keo-big-babol-co-nhan-i2655853308.html")</f>
        <v>https://www.lazada.vn/products/si-1-lo-74vien-keo-big-babol-co-nhan-i2655853308.html</v>
      </c>
      <c r="C9457" s="10" t="s">
        <v>9457</v>
      </c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>
      <c r="A9458" s="8">
        <v>14312.0</v>
      </c>
      <c r="B9458" s="9" t="str">
        <f>HYPERLINK("https://www.lazada.vn/products/vang-ngot-y-morata-semi-nhap-khau-bao-gom-hop-dung-i2610716296.html", "https://www.lazada.vn/products/vang-ngot-y-morata-semi-nhap-khau-bao-gom-hop-dung-i2610716296.html")</f>
        <v>https://www.lazada.vn/products/vang-ngot-y-morata-semi-nhap-khau-bao-gom-hop-dung-i2610716296.html</v>
      </c>
      <c r="C9458" s="10" t="s">
        <v>9458</v>
      </c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>
      <c r="A9459" s="8">
        <v>14313.0</v>
      </c>
      <c r="B9459" s="9" t="str">
        <f>HYPERLINK("https://www.lazada.vn/products/coop-online-chocolate-den-snickers-hanh-nhan-40g-i2860254581.html", "https://www.lazada.vn/products/coop-online-chocolate-den-snickers-hanh-nhan-40g-i2860254581.html")</f>
        <v>https://www.lazada.vn/products/coop-online-chocolate-den-snickers-hanh-nhan-40g-i2860254581.html</v>
      </c>
      <c r="C9459" s="10" t="s">
        <v>9459</v>
      </c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>
      <c r="A9460" s="8">
        <v>14314.0</v>
      </c>
      <c r="B9460" s="9" t="str">
        <f>HYPERLINK("https://www.lazada.vn/products/bong-ngo-han-quoc-110g-vi-mat-ong-i945914886.html", "https://www.lazada.vn/products/bong-ngo-han-quoc-110g-vi-mat-ong-i945914886.html")</f>
        <v>https://www.lazada.vn/products/bong-ngo-han-quoc-110g-vi-mat-ong-i945914886.html</v>
      </c>
      <c r="C9460" s="10" t="s">
        <v>9460</v>
      </c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>
      <c r="A9461" s="8">
        <v>14315.0</v>
      </c>
      <c r="B9461" s="9" t="str">
        <f>HYPERLINK("https://www.lazada.vn/products/vien-tao-sua-ong-chua-hand-made-nha-bot-i1692477703.html", "https://www.lazada.vn/products/vien-tao-sua-ong-chua-hand-made-nha-bot-i1692477703.html")</f>
        <v>https://www.lazada.vn/products/vien-tao-sua-ong-chua-hand-made-nha-bot-i1692477703.html</v>
      </c>
      <c r="C9461" s="10" t="s">
        <v>9461</v>
      </c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>
      <c r="A9462" s="8">
        <v>14316.0</v>
      </c>
      <c r="B9462" s="9" t="str">
        <f>HYPERLINK("https://www.lazada.vn/products/vang-ngot-y-morata-semi-nhap-khau-chinh-hang-i2610647574.html", "https://www.lazada.vn/products/vang-ngot-y-morata-semi-nhap-khau-chinh-hang-i2610647574.html")</f>
        <v>https://www.lazada.vn/products/vang-ngot-y-morata-semi-nhap-khau-chinh-hang-i2610647574.html</v>
      </c>
      <c r="C9462" s="10" t="s">
        <v>9462</v>
      </c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>
      <c r="A9463" s="8">
        <v>14317.0</v>
      </c>
      <c r="B9463" s="9" t="str">
        <f>HYPERLINK("https://www.lazada.vn/products/nuoc-cot-thit-ga-thuong-hang-chai-thuy-tinh-580gram-i1691743572.html", "https://www.lazada.vn/products/nuoc-cot-thit-ga-thuong-hang-chai-thuy-tinh-580gram-i1691743572.html")</f>
        <v>https://www.lazada.vn/products/nuoc-cot-thit-ga-thuong-hang-chai-thuy-tinh-580gram-i1691743572.html</v>
      </c>
      <c r="C9463" s="10" t="s">
        <v>9463</v>
      </c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>
      <c r="A9464" s="8">
        <v>14318.0</v>
      </c>
      <c r="B9464" s="9" t="str">
        <f>HYPERLINK("https://www.lazada.vn/products/hcmbap-xoc-mam-an-la-nghien-lon-pet-350g-sang-trong-hop-ve-sinh-mon-qua-an-vat-tuyet-voi-moi-ngay-susuto-shop-i835838763.html", "https://www.lazada.vn/products/hcmbap-xoc-mam-an-la-nghien-lon-pet-350g-sang-trong-hop-ve-sinh-mon-qua-an-vat-tuyet-voi-moi-ngay-susuto-shop-i835838763.html")</f>
        <v>https://www.lazada.vn/products/hcmbap-xoc-mam-an-la-nghien-lon-pet-350g-sang-trong-hop-ve-sinh-mon-qua-an-vat-tuyet-voi-moi-ngay-susuto-shop-i835838763.html</v>
      </c>
      <c r="C9464" s="10" t="s">
        <v>9464</v>
      </c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>
      <c r="A9465" s="8">
        <v>14319.0</v>
      </c>
      <c r="B9465" s="9" t="str">
        <f>HYPERLINK("https://www.lazada.vn/products/cao-atiso-nau-nuoc-sam-nuoc-mat-i2609052703.html", "https://www.lazada.vn/products/cao-atiso-nau-nuoc-sam-nuoc-mat-i2609052703.html")</f>
        <v>https://www.lazada.vn/products/cao-atiso-nau-nuoc-sam-nuoc-mat-i2609052703.html</v>
      </c>
      <c r="C9465" s="10" t="s">
        <v>9465</v>
      </c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>
      <c r="A9466" s="8">
        <v>14320.0</v>
      </c>
      <c r="B9466" s="9" t="str">
        <f>HYPERLINK("https://www.lazada.vn/products/tom-chua-co-ri-500g-noi-tieng-xu-hue-i1689510078.html", "https://www.lazada.vn/products/tom-chua-co-ri-500g-noi-tieng-xu-hue-i1689510078.html")</f>
        <v>https://www.lazada.vn/products/tom-chua-co-ri-500g-noi-tieng-xu-hue-i1689510078.html</v>
      </c>
      <c r="C9466" s="10" t="s">
        <v>9466</v>
      </c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>
      <c r="A9467" s="8">
        <v>14321.0</v>
      </c>
      <c r="B9467" s="9" t="str">
        <f>HYPERLINK("https://www.lazada.vn/products/siro-ho-astex-i2404210587.html", "https://www.lazada.vn/products/siro-ho-astex-i2404210587.html")</f>
        <v>https://www.lazada.vn/products/siro-ho-astex-i2404210587.html</v>
      </c>
      <c r="C9467" s="10" t="s">
        <v>9467</v>
      </c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>
      <c r="A9468" s="8">
        <v>14322.0</v>
      </c>
      <c r="B9468" s="9" t="str">
        <f>HYPERLINK("https://www.lazada.vn/products/siro-sam-dua-mama-rosa-700ml-i2402404013.html", "https://www.lazada.vn/products/siro-sam-dua-mama-rosa-700ml-i2402404013.html")</f>
        <v>https://www.lazada.vn/products/siro-sam-dua-mama-rosa-700ml-i2402404013.html</v>
      </c>
      <c r="C9468" s="10" t="s">
        <v>9468</v>
      </c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>
      <c r="A9469" s="8">
        <v>14323.0</v>
      </c>
      <c r="B9469" s="9" t="str">
        <f>HYPERLINK("https://www.lazada.vn/products/banh-quy-dong-tien-bo-sua-banh-quy-dong-tien-mix-vi-noi-dia-500g-banh-an-vat-thom-ngon-i2808626541.html", "https://www.lazada.vn/products/banh-quy-dong-tien-bo-sua-banh-quy-dong-tien-mix-vi-noi-dia-500g-banh-an-vat-thom-ngon-i2808626541.html")</f>
        <v>https://www.lazada.vn/products/banh-quy-dong-tien-bo-sua-banh-quy-dong-tien-mix-vi-noi-dia-500g-banh-an-vat-thom-ngon-i2808626541.html</v>
      </c>
      <c r="C9469" s="10" t="s">
        <v>9469</v>
      </c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>
      <c r="A9470" s="8">
        <v>14324.0</v>
      </c>
      <c r="B9470" s="9" t="str">
        <f>HYPERLINK("https://www.lazada.vn/products/combo-4-banh-bong-lan-tam-giac-ngan-lop-2-vi-dingpan-100g-beegin-food-shop-i2517641315.html", "https://www.lazada.vn/products/combo-4-banh-bong-lan-tam-giac-ngan-lop-2-vi-dingpan-100g-beegin-food-shop-i2517641315.html")</f>
        <v>https://www.lazada.vn/products/combo-4-banh-bong-lan-tam-giac-ngan-lop-2-vi-dingpan-100g-beegin-food-shop-i2517641315.html</v>
      </c>
      <c r="C9470" s="10" t="s">
        <v>9470</v>
      </c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>
      <c r="A9471" s="8">
        <v>14325.0</v>
      </c>
      <c r="B9471" s="9" t="str">
        <f>HYPERLINK("https://www.lazada.vn/products/ca-phe-hat-specialty-ethiopia-bensa-sidama-della-natural-grade-1-stupiducks-specialty-coffee-i2612211480.html", "https://www.lazada.vn/products/ca-phe-hat-specialty-ethiopia-bensa-sidama-della-natural-grade-1-stupiducks-specialty-coffee-i2612211480.html")</f>
        <v>https://www.lazada.vn/products/ca-phe-hat-specialty-ethiopia-bensa-sidama-della-natural-grade-1-stupiducks-specialty-coffee-i2612211480.html</v>
      </c>
      <c r="C9471" s="10" t="s">
        <v>9471</v>
      </c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>
      <c r="A9472" s="8">
        <v>14326.0</v>
      </c>
      <c r="B9472" s="9" t="str">
        <f>HYPERLINK("https://www.lazada.vn/products/bich-6-goi-snack-tam-cay-mix-bim-bim-que-cay-vi-ot-cay-thai-lan-goi-to-60g-i2169138839.html", "https://www.lazada.vn/products/bich-6-goi-snack-tam-cay-mix-bim-bim-que-cay-vi-ot-cay-thai-lan-goi-to-60g-i2169138839.html")</f>
        <v>https://www.lazada.vn/products/bich-6-goi-snack-tam-cay-mix-bim-bim-que-cay-vi-ot-cay-thai-lan-goi-to-60g-i2169138839.html</v>
      </c>
      <c r="C9472" s="10" t="s">
        <v>9472</v>
      </c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>
      <c r="A9473" s="8">
        <v>14327.0</v>
      </c>
      <c r="B9473" s="9" t="str">
        <f>HYPERLINK("https://www.lazada.vn/products/1-goi-thach-rau-cau-vietfoods-trai-cay-tuoi-fruit-gel-i2016226850.html", "https://www.lazada.vn/products/1-goi-thach-rau-cau-vietfoods-trai-cay-tuoi-fruit-gel-i2016226850.html")</f>
        <v>https://www.lazada.vn/products/1-goi-thach-rau-cau-vietfoods-trai-cay-tuoi-fruit-gel-i2016226850.html</v>
      </c>
      <c r="C9473" s="10" t="s">
        <v>9473</v>
      </c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>
      <c r="A9474" s="8">
        <v>14328.0</v>
      </c>
      <c r="B9474" s="9" t="str">
        <f>HYPERLINK("https://www.lazada.vn/products/bot-pha-bu-nuoc-bu-khoang-ion-drink-bu-dien-giai-22-goi-hang-nhat-chinh-hang-nhieu-vi-bot-pha-nuoc-uong-fine-japan-bu-dien-giai-iondrink-704g-32gx22-goi-de-uong-giam-met-moi-tang-cuong-the-luc-i1483773504.html", "https://www.lazada.vn/products/bot-pha-bu-nuoc-bu-khoang-ion-drink-bu-dien-giai-22-goi-hang-nhat-chinh-hang-nhieu-vi-bot-pha-nuoc-uong-fine-japan-bu-dien-giai-iondrink-704g-32gx22-goi-de-uong-giam-met-moi-tang-cuong-the-luc-i1483773504.html")</f>
        <v>https://www.lazada.vn/products/bot-pha-bu-nuoc-bu-khoang-ion-drink-bu-dien-giai-22-goi-hang-nhat-chinh-hang-nhieu-vi-bot-pha-nuoc-uong-fine-japan-bu-dien-giai-iondrink-704g-32gx22-goi-de-uong-giam-met-moi-tang-cuong-the-luc-i1483773504.html</v>
      </c>
      <c r="C9474" s="10" t="s">
        <v>9474</v>
      </c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>
      <c r="A9475" s="8">
        <v>14329.0</v>
      </c>
      <c r="B9475" s="9" t="str">
        <f>HYPERLINK("https://www.lazada.vn/products/khoai-mon-say-vinamit-250g-i2831397796.html", "https://www.lazada.vn/products/khoai-mon-say-vinamit-250g-i2831397796.html")</f>
        <v>https://www.lazada.vn/products/khoai-mon-say-vinamit-250g-i2831397796.html</v>
      </c>
      <c r="C9475" s="10" t="s">
        <v>9475</v>
      </c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>
      <c r="A9476" s="8">
        <v>14330.0</v>
      </c>
      <c r="B9476" s="9" t="str">
        <f>HYPERLINK("https://www.lazada.vn/products/sieu-toc-bia-cambodia-2-thung-330ml-i2763571312.html", "https://www.lazada.vn/products/sieu-toc-bia-cambodia-2-thung-330ml-i2763571312.html")</f>
        <v>https://www.lazada.vn/products/sieu-toc-bia-cambodia-2-thung-330ml-i2763571312.html</v>
      </c>
      <c r="C9476" s="10" t="s">
        <v>9476</v>
      </c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>
      <c r="A9477" s="8">
        <v>14331.0</v>
      </c>
      <c r="B9477" s="9" t="str">
        <f>HYPERLINK("https://www.lazada.vn/products/acecook-combo-2-mi-ly-modern-vi-lau-thai-tom-65gr-i2790075065.html", "https://www.lazada.vn/products/acecook-combo-2-mi-ly-modern-vi-lau-thai-tom-65gr-i2790075065.html")</f>
        <v>https://www.lazada.vn/products/acecook-combo-2-mi-ly-modern-vi-lau-thai-tom-65gr-i2790075065.html</v>
      </c>
      <c r="C9477" s="10" t="s">
        <v>9477</v>
      </c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>
      <c r="A9478" s="8">
        <v>14332.0</v>
      </c>
      <c r="B9478" s="9" t="str">
        <f>HYPERLINK("https://www.lazada.vn/products/combo-4-tui-bot-cacao-peru-criollo-huu-co-khong-duong-200g-nguon-thien-nhien-i855910135.html", "https://www.lazada.vn/products/combo-4-tui-bot-cacao-peru-criollo-huu-co-khong-duong-200g-nguon-thien-nhien-i855910135.html")</f>
        <v>https://www.lazada.vn/products/combo-4-tui-bot-cacao-peru-criollo-huu-co-khong-duong-200g-nguon-thien-nhien-i855910135.html</v>
      </c>
      <c r="C9478" s="10" t="s">
        <v>9478</v>
      </c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>
      <c r="A9479" s="8">
        <v>14333.0</v>
      </c>
      <c r="B9479" s="9" t="str">
        <f>HYPERLINK("https://www.lazada.vn/products/morinaga-co-banh-quy-macrobi-2-loai-van-chuyen-tu-nhat-banchat-luong-nhat-banthuong-hieu-nhat-ban-i2874392039.html", "https://www.lazada.vn/products/morinaga-co-banh-quy-macrobi-2-loai-van-chuyen-tu-nhat-banchat-luong-nhat-banthuong-hieu-nhat-ban-i2874392039.html")</f>
        <v>https://www.lazada.vn/products/morinaga-co-banh-quy-macrobi-2-loai-van-chuyen-tu-nhat-banchat-luong-nhat-banthuong-hieu-nhat-ban-i2874392039.html</v>
      </c>
      <c r="C9479" s="10" t="s">
        <v>9479</v>
      </c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>
      <c r="A9480" s="8">
        <v>14334.0</v>
      </c>
      <c r="B9480" s="9" t="str">
        <f>HYPERLINK("https://www.lazada.vn/products/nuoc-ngot-pepsi-cola-loc-6-chai-loai-600ml-i1802856883.html", "https://www.lazada.vn/products/nuoc-ngot-pepsi-cola-loc-6-chai-loai-600ml-i1802856883.html")</f>
        <v>https://www.lazada.vn/products/nuoc-ngot-pepsi-cola-loc-6-chai-loai-600ml-i1802856883.html</v>
      </c>
      <c r="C9480" s="10" t="s">
        <v>9480</v>
      </c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>
      <c r="A9481" s="8">
        <v>14335.0</v>
      </c>
      <c r="B9481" s="9" t="str">
        <f>HYPERLINK("https://www.lazada.vn/products/bot-ha-thu-o-do-250g-500g-i2609994279.html", "https://www.lazada.vn/products/bot-ha-thu-o-do-250g-500g-i2609994279.html")</f>
        <v>https://www.lazada.vn/products/bot-ha-thu-o-do-250g-500g-i2609994279.html</v>
      </c>
      <c r="C9481" s="10" t="s">
        <v>9481</v>
      </c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>
      <c r="A9482" s="8">
        <v>14336.0</v>
      </c>
      <c r="B9482" s="9" t="str">
        <f>HYPERLINK("https://www.lazada.vn/products/20h-243-293-tang-ngay-olong-combo-2-hop-thiec-banh-quy-yen-mach-quaker-400g-3-vi-hanh-nhan-socola-nho-kho-i2874363644.html", "https://www.lazada.vn/products/20h-243-293-tang-ngay-olong-combo-2-hop-thiec-banh-quy-yen-mach-quaker-400g-3-vi-hanh-nhan-socola-nho-kho-i2874363644.html")</f>
        <v>https://www.lazada.vn/products/20h-243-293-tang-ngay-olong-combo-2-hop-thiec-banh-quy-yen-mach-quaker-400g-3-vi-hanh-nhan-socola-nho-kho-i2874363644.html</v>
      </c>
      <c r="C9482" s="10" t="s">
        <v>9482</v>
      </c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>
      <c r="A9483" s="8">
        <v>14337.0</v>
      </c>
      <c r="B9483" s="9" t="str">
        <f>HYPERLINK("https://www.lazada.vn/products/thung-24-lon-nuoc-ngot-coca-cola-plus-320ml-i1800631569.html", "https://www.lazada.vn/products/thung-24-lon-nuoc-ngot-coca-cola-plus-320ml-i1800631569.html")</f>
        <v>https://www.lazada.vn/products/thung-24-lon-nuoc-ngot-coca-cola-plus-320ml-i1800631569.html</v>
      </c>
      <c r="C9483" s="10" t="s">
        <v>9483</v>
      </c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>
      <c r="A9484" s="8">
        <v>14338.0</v>
      </c>
      <c r="B9484" s="9" t="str">
        <f>HYPERLINK("https://www.lazada.vn/products/thung-mi-chay-la-bo-de-30-goi-i2730865116.html", "https://www.lazada.vn/products/thung-mi-chay-la-bo-de-30-goi-i2730865116.html")</f>
        <v>https://www.lazada.vn/products/thung-mi-chay-la-bo-de-30-goi-i2730865116.html</v>
      </c>
      <c r="C9484" s="10" t="s">
        <v>9484</v>
      </c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>
      <c r="A9485" s="8">
        <v>14339.0</v>
      </c>
      <c r="B9485" s="9" t="str">
        <f>HYPERLINK("https://www.lazada.vn/products/bich-24chiec-keo-gum-thoi-bubup-3-mau-i2655709781.html", "https://www.lazada.vn/products/bich-24chiec-keo-gum-thoi-bubup-3-mau-i2655709781.html")</f>
        <v>https://www.lazada.vn/products/bich-24chiec-keo-gum-thoi-bubup-3-mau-i2655709781.html</v>
      </c>
      <c r="C9485" s="10" t="s">
        <v>9485</v>
      </c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>
      <c r="A9486" s="8">
        <v>14340.0</v>
      </c>
      <c r="B9486" s="9" t="str">
        <f>HYPERLINK("https://www.lazada.vn/products/com-chay-tien-vua-i2167393171.html", "https://www.lazada.vn/products/com-chay-tien-vua-i2167393171.html")</f>
        <v>https://www.lazada.vn/products/com-chay-tien-vua-i2167393171.html</v>
      </c>
      <c r="C9486" s="10" t="s">
        <v>9486</v>
      </c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>
      <c r="A9487" s="8">
        <v>14341.0</v>
      </c>
      <c r="B9487" s="9" t="str">
        <f>HYPERLINK("https://www.lazada.vn/products/coop-online-chocolate-dau-phong-mm-37g-i2860207757.html", "https://www.lazada.vn/products/coop-online-chocolate-dau-phong-mm-37g-i2860207757.html")</f>
        <v>https://www.lazada.vn/products/coop-online-chocolate-dau-phong-mm-37g-i2860207757.html</v>
      </c>
      <c r="C9487" s="10" t="s">
        <v>9487</v>
      </c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>
      <c r="A9488" s="8">
        <v>14342.0</v>
      </c>
      <c r="B9488" s="9" t="str">
        <f>HYPERLINK("https://www.lazada.vn/products/1kg-thach-san-day-nau-che-tra-sua-i2608407747.html", "https://www.lazada.vn/products/1kg-thach-san-day-nau-che-tra-sua-i2608407747.html")</f>
        <v>https://www.lazada.vn/products/1kg-thach-san-day-nau-che-tra-sua-i2608407747.html</v>
      </c>
      <c r="C9488" s="10" t="s">
        <v>9488</v>
      </c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>
      <c r="A9489" s="8">
        <v>14343.0</v>
      </c>
      <c r="B9489" s="9" t="str">
        <f>HYPERLINK("https://www.lazada.vn/products/bap-cay-say-hanh-gion-tan-goi-500g-i727400160.html", "https://www.lazada.vn/products/bap-cay-say-hanh-gion-tan-goi-500g-i727400160.html")</f>
        <v>https://www.lazada.vn/products/bap-cay-say-hanh-gion-tan-goi-500g-i727400160.html</v>
      </c>
      <c r="C9489" s="10" t="s">
        <v>9489</v>
      </c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>
      <c r="A9490" s="8">
        <v>14344.0</v>
      </c>
      <c r="B9490" s="9" t="str">
        <f>HYPERLINK("https://www.lazada.vn/products/gung-hong-gari-250gram-i1687418029.html", "https://www.lazada.vn/products/gung-hong-gari-250gram-i1687418029.html")</f>
        <v>https://www.lazada.vn/products/gung-hong-gari-250gram-i1687418029.html</v>
      </c>
      <c r="C9490" s="10" t="s">
        <v>9490</v>
      </c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>
      <c r="A9491" s="8">
        <v>14345.0</v>
      </c>
      <c r="B9491" s="9" t="str">
        <f>HYPERLINK("https://www.lazada.vn/products/set-nguyen-lieu-lam-socola-dubai-hot-hit-day-du-nguyen-lieu-va-dung-cu-cho-5-thanh-to-ngon-i2860149017.html", "https://www.lazada.vn/products/set-nguyen-lieu-lam-socola-dubai-hot-hit-day-du-nguyen-lieu-va-dung-cu-cho-5-thanh-to-ngon-i2860149017.html")</f>
        <v>https://www.lazada.vn/products/set-nguyen-lieu-lam-socola-dubai-hot-hit-day-du-nguyen-lieu-va-dung-cu-cho-5-thanh-to-ngon-i2860149017.html</v>
      </c>
      <c r="C9491" s="10" t="s">
        <v>9491</v>
      </c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>
      <c r="A9492" s="8">
        <v>14346.0</v>
      </c>
      <c r="B9492" s="9" t="str">
        <f>HYPERLINK("https://www.lazada.vn/products/1-hu-450g-chao-mon-vinh-phong-pha-san-beo-ngon-i1685185987.html", "https://www.lazada.vn/products/1-hu-450g-chao-mon-vinh-phong-pha-san-beo-ngon-i1685185987.html")</f>
        <v>https://www.lazada.vn/products/1-hu-450g-chao-mon-vinh-phong-pha-san-beo-ngon-i1685185987.html</v>
      </c>
      <c r="C9492" s="10" t="s">
        <v>9492</v>
      </c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>
      <c r="A9493" s="8">
        <v>14347.0</v>
      </c>
      <c r="B9493" s="9" t="str">
        <f>HYPERLINK("https://www.lazada.vn/products/1kg-bap-cay-say-hanh-gion-tan-i727394487.html", "https://www.lazada.vn/products/1kg-bap-cay-say-hanh-gion-tan-i727394487.html")</f>
        <v>https://www.lazada.vn/products/1kg-bap-cay-say-hanh-gion-tan-i727394487.html</v>
      </c>
      <c r="C9493" s="10" t="s">
        <v>9493</v>
      </c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>
      <c r="A9494" s="8">
        <v>14348.0</v>
      </c>
      <c r="B9494" s="9" t="str">
        <f>HYPERLINK("https://www.lazada.vn/products/bacardi-carta-blanca-superior-white-rum-i2928564038.html", "https://www.lazada.vn/products/bacardi-carta-blanca-superior-white-rum-i2928564038.html")</f>
        <v>https://www.lazada.vn/products/bacardi-carta-blanca-superior-white-rum-i2928564038.html</v>
      </c>
      <c r="C9494" s="10" t="s">
        <v>9494</v>
      </c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>
      <c r="A9495" s="8">
        <v>14349.0</v>
      </c>
      <c r="B9495" s="9" t="str">
        <f>HYPERLINK("https://www.lazada.vn/products/ru-ou-nep-than-175-vol-de-nhat-go-den-long-an-chai-500ml-i2402380425.html", "https://www.lazada.vn/products/ru-ou-nep-than-175-vol-de-nhat-go-den-long-an-chai-500ml-i2402380425.html")</f>
        <v>https://www.lazada.vn/products/ru-ou-nep-than-175-vol-de-nhat-go-den-long-an-chai-500ml-i2402380425.html</v>
      </c>
      <c r="C9495" s="10" t="s">
        <v>9495</v>
      </c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>
      <c r="A9496" s="8">
        <v>14350.0</v>
      </c>
      <c r="B9496" s="9" t="str">
        <f>HYPERLINK("https://www.lazada.vn/products/banh-quy-dong-tien-bo-sua-banh-quy-dong-tien-mix-vi-noi-dia-1kg-banh-an-vat-thom-ngon-i2808600623.html", "https://www.lazada.vn/products/banh-quy-dong-tien-bo-sua-banh-quy-dong-tien-mix-vi-noi-dia-1kg-banh-an-vat-thom-ngon-i2808600623.html")</f>
        <v>https://www.lazada.vn/products/banh-quy-dong-tien-bo-sua-banh-quy-dong-tien-mix-vi-noi-dia-1kg-banh-an-vat-thom-ngon-i2808600623.html</v>
      </c>
      <c r="C9496" s="10" t="s">
        <v>9496</v>
      </c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>
      <c r="A9497" s="8">
        <v>14351.0</v>
      </c>
      <c r="B9497" s="9" t="str">
        <f>HYPERLINK("https://www.lazada.vn/products/nescafe-hop-red-cup-30gr-15-goi-ca-phe-hoa-tan-thailand-nestle-red-cup-coffee-i2611345020.html", "https://www.lazada.vn/products/nescafe-hop-red-cup-30gr-15-goi-ca-phe-hoa-tan-thailand-nestle-red-cup-coffee-i2611345020.html")</f>
        <v>https://www.lazada.vn/products/nescafe-hop-red-cup-30gr-15-goi-ca-phe-hoa-tan-thailand-nestle-red-cup-coffee-i2611345020.html</v>
      </c>
      <c r="C9497" s="10" t="s">
        <v>9497</v>
      </c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>
      <c r="A9498" s="8">
        <v>14352.0</v>
      </c>
      <c r="B9498" s="9" t="str">
        <f>HYPERLINK("https://www.lazada.vn/products/combo-4-banh-bong-lan-tam-giac-ngan-lop-2-vi-dingpan-100g-gia-ngan-food-i2517632873.html", "https://www.lazada.vn/products/combo-4-banh-bong-lan-tam-giac-ngan-lop-2-vi-dingpan-100g-gia-ngan-food-i2517632873.html")</f>
        <v>https://www.lazada.vn/products/combo-4-banh-bong-lan-tam-giac-ngan-lop-2-vi-dingpan-100g-gia-ngan-food-i2517632873.html</v>
      </c>
      <c r="C9498" s="10" t="s">
        <v>9498</v>
      </c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>
      <c r="A9499" s="8">
        <v>14353.0</v>
      </c>
      <c r="B9499" s="9" t="str">
        <f>HYPERLINK("https://www.lazada.vn/products/muc-bento-thai-lan-i2924832416.html", "https://www.lazada.vn/products/muc-bento-thai-lan-i2924832416.html")</f>
        <v>https://www.lazada.vn/products/muc-bento-thai-lan-i2924832416.html</v>
      </c>
      <c r="C9499" s="10" t="s">
        <v>9499</v>
      </c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>
      <c r="A9500" s="8">
        <v>14354.0</v>
      </c>
      <c r="B9500" s="9" t="str">
        <f>HYPERLINK("https://www.lazada.vn/products/keo-thach-rau-cau-vietfoods-du-vi-800g-1-tui-48-50-cai-an-toan-ngon-thom-danh-cho-tre-em-i2014253950.html", "https://www.lazada.vn/products/keo-thach-rau-cau-vietfoods-du-vi-800g-1-tui-48-50-cai-an-toan-ngon-thom-danh-cho-tre-em-i2014253950.html")</f>
        <v>https://www.lazada.vn/products/keo-thach-rau-cau-vietfoods-du-vi-800g-1-tui-48-50-cai-an-toan-ngon-thom-danh-cho-tre-em-i2014253950.html</v>
      </c>
      <c r="C9500" s="10" t="s">
        <v>9500</v>
      </c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>
      <c r="A9501" s="8">
        <v>14355.0</v>
      </c>
      <c r="B9501" s="9" t="str">
        <f>HYPERLINK("https://www.lazada.vn/products/giao-hcm-tra-bi-dao-wonderfarm-1-loc-6-lon-i1467450094.html", "https://www.lazada.vn/products/giao-hcm-tra-bi-dao-wonderfarm-1-loc-6-lon-i1467450094.html")</f>
        <v>https://www.lazada.vn/products/giao-hcm-tra-bi-dao-wonderfarm-1-loc-6-lon-i1467450094.html</v>
      </c>
      <c r="C9501" s="10" t="s">
        <v>9501</v>
      </c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>
      <c r="A9502" s="8">
        <v>14356.0</v>
      </c>
      <c r="B9502" s="9" t="str">
        <f>HYPERLINK("https://www.lazada.vn/products/bia-oettinger-pils-47-nhap-khau-duc-1-lon-500ml-i2757414273.html", "https://www.lazada.vn/products/bia-oettinger-pils-47-nhap-khau-duc-1-lon-500ml-i2757414273.html")</f>
        <v>https://www.lazada.vn/products/bia-oettinger-pils-47-nhap-khau-duc-1-lon-500ml-i2757414273.html</v>
      </c>
      <c r="C9502" s="10" t="s">
        <v>9502</v>
      </c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>
      <c r="A9503" s="8">
        <v>14357.0</v>
      </c>
      <c r="B9503" s="9" t="str">
        <f>HYPERLINK("https://www.lazada.vn/products/bo-sung-loi-khuan-sua-dong-kho-khoi-qua-le-va-mam-xoi-kho-trai-cay-kho-nhe-nhang-an-nhe-giai-tri-thuc-pham-chuc-nang-i2831138419.html", "https://www.lazada.vn/products/bo-sung-loi-khuan-sua-dong-kho-khoi-qua-le-va-mam-xoi-kho-trai-cay-kho-nhe-nhang-an-nhe-giai-tri-thuc-pham-chuc-nang-i2831138419.html")</f>
        <v>https://www.lazada.vn/products/bo-sung-loi-khuan-sua-dong-kho-khoi-qua-le-va-mam-xoi-kho-trai-cay-kho-nhe-nhang-an-nhe-giai-tri-thuc-pham-chuc-nang-i2831138419.html</v>
      </c>
      <c r="C9503" s="10" t="s">
        <v>9503</v>
      </c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>
      <c r="A9504" s="8">
        <v>14358.0</v>
      </c>
      <c r="B9504" s="9" t="str">
        <f>HYPERLINK("https://www.lazada.vn/products/bot-ha-thu-o-do-100g-200g-300g-i2609993301.html", "https://www.lazada.vn/products/bot-ha-thu-o-do-100g-200g-300g-i2609993301.html")</f>
        <v>https://www.lazada.vn/products/bot-ha-thu-o-do-100g-200g-300g-i2609993301.html</v>
      </c>
      <c r="C9504" s="10" t="s">
        <v>9504</v>
      </c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>
      <c r="A9505" s="8">
        <v>14359.0</v>
      </c>
      <c r="B9505" s="9" t="str">
        <f>HYPERLINK("https://www.lazada.vn/products/ngu-coc-an-kieng-best-choice-them-vi-gao-lut-480g-phu-hop-voi-nguoi-tieu-duong-nguoi-an-kieng-giam-can-i855236295.html", "https://www.lazada.vn/products/ngu-coc-an-kieng-best-choice-them-vi-gao-lut-480g-phu-hop-voi-nguoi-tieu-duong-nguoi-an-kieng-giam-can-i855236295.html")</f>
        <v>https://www.lazada.vn/products/ngu-coc-an-kieng-best-choice-them-vi-gao-lut-480g-phu-hop-voi-nguoi-tieu-duong-nguoi-an-kieng-giam-can-i855236295.html</v>
      </c>
      <c r="C9505" s="10" t="s">
        <v>9505</v>
      </c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>
      <c r="A9506" s="8">
        <v>14360.0</v>
      </c>
      <c r="B9506" s="9" t="str">
        <f>HYPERLINK("https://www.lazada.vn/products/mi-ly-chay-handy-hao-hao-thung-24-ly-66g-i2790033334.html", "https://www.lazada.vn/products/mi-ly-chay-handy-hao-hao-thung-24-ly-66g-i2790033334.html")</f>
        <v>https://www.lazada.vn/products/mi-ly-chay-handy-hao-hao-thung-24-ly-66g-i2790033334.html</v>
      </c>
      <c r="C9506" s="10" t="s">
        <v>9506</v>
      </c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>
      <c r="A9507" s="8">
        <v>14361.0</v>
      </c>
      <c r="B9507" s="9" t="str">
        <f>HYPERLINK("https://www.lazada.vn/products/bot-cacao-peru-criollo-huu-co-khong-duong-tui-200g-nguon-thien-nhien-i853796451.html", "https://www.lazada.vn/products/bot-cacao-peru-criollo-huu-co-khong-duong-tui-200g-nguon-thien-nhien-i853796451.html")</f>
        <v>https://www.lazada.vn/products/bot-cacao-peru-criollo-huu-co-khong-duong-tui-200g-nguon-thien-nhien-i853796451.html</v>
      </c>
      <c r="C9507" s="10" t="s">
        <v>9507</v>
      </c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>
      <c r="A9508" s="8">
        <v>14362.0</v>
      </c>
      <c r="B9508" s="9" t="str">
        <f>HYPERLINK("https://www.lazada.vn/products/thung-24-lon-nuoc-ngot-coca-cola-light-320ml-i1800627818.html", "https://www.lazada.vn/products/thung-24-lon-nuoc-ngot-coca-cola-light-320ml-i1800627818.html")</f>
        <v>https://www.lazada.vn/products/thung-24-lon-nuoc-ngot-coca-cola-light-320ml-i1800627818.html</v>
      </c>
      <c r="C9508" s="10" t="s">
        <v>9508</v>
      </c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>
      <c r="A9509" s="8">
        <v>14363.0</v>
      </c>
      <c r="B9509" s="9" t="str">
        <f>HYPERLINK("https://www.lazada.vn/products/thung-24-chai-nuoc-ngot-vi-nguyen-ban-original-taste-coca-cola-600ml-i1796478329.html", "https://www.lazada.vn/products/thung-24-chai-nuoc-ngot-vi-nguyen-ban-original-taste-coca-cola-600ml-i1796478329.html")</f>
        <v>https://www.lazada.vn/products/thung-24-chai-nuoc-ngot-vi-nguyen-ban-original-taste-coca-cola-600ml-i1796478329.html</v>
      </c>
      <c r="C9509" s="10" t="s">
        <v>9509</v>
      </c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>
      <c r="A9510" s="8">
        <v>14364.0</v>
      </c>
      <c r="B9510" s="9" t="str">
        <f>HYPERLINK("https://www.lazada.vn/products/bot-cacao-pha-sua-nestle-nesquik-chocolate-cua-my-1275kg-i838724142.html", "https://www.lazada.vn/products/bot-cacao-pha-sua-nestle-nesquik-chocolate-cua-my-1275kg-i838724142.html")</f>
        <v>https://www.lazada.vn/products/bot-cacao-pha-sua-nestle-nesquik-chocolate-cua-my-1275kg-i838724142.html</v>
      </c>
      <c r="C9510" s="10" t="s">
        <v>9510</v>
      </c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>
      <c r="A9511" s="8">
        <v>14365.0</v>
      </c>
      <c r="B9511" s="9" t="str">
        <f>HYPERLINK("https://www.lazada.vn/products/hang-chon-banh-tao-do-tan-cuong-kep-sua-lac-da-nhan-hat-dieu-thom-ngon-nhan-sua-mem-deo-it-ngot-i2874273396.html", "https://www.lazada.vn/products/hang-chon-banh-tao-do-tan-cuong-kep-sua-lac-da-nhan-hat-dieu-thom-ngon-nhan-sua-mem-deo-it-ngot-i2874273396.html")</f>
        <v>https://www.lazada.vn/products/hang-chon-banh-tao-do-tan-cuong-kep-sua-lac-da-nhan-hat-dieu-thom-ngon-nhan-sua-mem-deo-it-ngot-i2874273396.html</v>
      </c>
      <c r="C9511" s="10" t="s">
        <v>9511</v>
      </c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>
      <c r="A9512" s="8">
        <v>14366.0</v>
      </c>
      <c r="B9512" s="9" t="str">
        <f>HYPERLINK("https://www.lazada.vn/products/keo-sam-xtreme-candy-chinh-hang-cai-tien-cao-cap-malaysia-cuc-manh-date-moi-i2655641223.html", "https://www.lazada.vn/products/keo-sam-xtreme-candy-chinh-hang-cai-tien-cao-cap-malaysia-cuc-manh-date-moi-i2655641223.html")</f>
        <v>https://www.lazada.vn/products/keo-sam-xtreme-candy-chinh-hang-cai-tien-cao-cap-malaysia-cuc-manh-date-moi-i2655641223.html</v>
      </c>
      <c r="C9512" s="10" t="s">
        <v>9512</v>
      </c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>
      <c r="A9513" s="8">
        <v>14367.0</v>
      </c>
      <c r="B9513" s="9" t="str">
        <f>HYPERLINK("https://www.lazada.vn/products/combo-khuyen-mai-khi-mua-2kg-vien-ha-thu-o-mat-ong-rung-tang-1-cao-ha-thu-o-nguyen-chat-i2607248225.html", "https://www.lazada.vn/products/combo-khuyen-mai-khi-mua-2kg-vien-ha-thu-o-mat-ong-rung-tang-1-cao-ha-thu-o-nguyen-chat-i2607248225.html")</f>
        <v>https://www.lazada.vn/products/combo-khuyen-mai-khi-mua-2kg-vien-ha-thu-o-mat-ong-rung-tang-1-cao-ha-thu-o-nguyen-chat-i2607248225.html</v>
      </c>
      <c r="C9513" s="10" t="s">
        <v>9513</v>
      </c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>
      <c r="A9514" s="8">
        <v>14368.0</v>
      </c>
      <c r="B9514" s="9" t="str">
        <f>HYPERLINK("https://www.lazada.vn/products/1-thung-gom-24-ly-mi-handy-hao-hao-tom-chua-cay-ly-67g-i2728771252.html", "https://www.lazada.vn/products/1-thung-gom-24-ly-mi-handy-hao-hao-tom-chua-cay-ly-67g-i2728771252.html")</f>
        <v>https://www.lazada.vn/products/1-thung-gom-24-ly-mi-handy-hao-hao-tom-chua-cay-ly-67g-i2728771252.html</v>
      </c>
      <c r="C9514" s="10" t="s">
        <v>9514</v>
      </c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>
      <c r="A9515" s="8">
        <v>14369.0</v>
      </c>
      <c r="B9515" s="9" t="str">
        <f>HYPERLINK("https://www.lazada.vn/products/hcmtui-ngo-my-dung-no-bap-rang-bo-1kg-i552204794.html", "https://www.lazada.vn/products/hcmtui-ngo-my-dung-no-bap-rang-bo-1kg-i552204794.html")</f>
        <v>https://www.lazada.vn/products/hcmtui-ngo-my-dung-no-bap-rang-bo-1kg-i552204794.html</v>
      </c>
      <c r="C9515" s="10" t="s">
        <v>9515</v>
      </c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>
      <c r="A9516" s="8">
        <v>14370.0</v>
      </c>
      <c r="B9516" s="9" t="str">
        <f>HYPERLINK("https://www.lazada.vn/products/banh-trang-sate-tac-muoi-nhuyen-sieu-cay-an-vat-ogi-food-i2163243549.html", "https://www.lazada.vn/products/banh-trang-sate-tac-muoi-nhuyen-sieu-cay-an-vat-ogi-food-i2163243549.html")</f>
        <v>https://www.lazada.vn/products/banh-trang-sate-tac-muoi-nhuyen-sieu-cay-an-vat-ogi-food-i2163243549.html</v>
      </c>
      <c r="C9516" s="10" t="s">
        <v>9516</v>
      </c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>
      <c r="A9517" s="8">
        <v>14371.0</v>
      </c>
      <c r="B9517" s="9" t="str">
        <f>HYPERLINK("https://www.lazada.vn/products/hang-uc-keo-socola-nhan-dau-phong-caramel-mashmallow-snickers-fun-size-goi-12-thanh-roi-i2859540517.html", "https://www.lazada.vn/products/hang-uc-keo-socola-nhan-dau-phong-caramel-mashmallow-snickers-fun-size-goi-12-thanh-roi-i2859540517.html")</f>
        <v>https://www.lazada.vn/products/hang-uc-keo-socola-nhan-dau-phong-caramel-mashmallow-snickers-fun-size-goi-12-thanh-roi-i2859540517.html</v>
      </c>
      <c r="C9517" s="10" t="s">
        <v>9517</v>
      </c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>
      <c r="A9518" s="8">
        <v>14372.0</v>
      </c>
      <c r="B9518" s="9" t="str">
        <f>HYPERLINK("https://www.lazada.vn/products/chao-mon-nuoc-cot-dua-800g-i1683669316.html", "https://www.lazada.vn/products/chao-mon-nuoc-cot-dua-800g-i1683669316.html")</f>
        <v>https://www.lazada.vn/products/chao-mon-nuoc-cot-dua-800g-i1683669316.html</v>
      </c>
      <c r="C9518" s="10" t="s">
        <v>9518</v>
      </c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>
      <c r="A9519" s="8">
        <v>14373.0</v>
      </c>
      <c r="B9519" s="9" t="str">
        <f>HYPERLINK("https://www.lazada.vn/products/siro-thom-dua-mama-rosa-pineapple-700ml-i2401946701.html", "https://www.lazada.vn/products/siro-thom-dua-mama-rosa-pineapple-700ml-i2401946701.html")</f>
        <v>https://www.lazada.vn/products/siro-thom-dua-mama-rosa-pineapple-700ml-i2401946701.html</v>
      </c>
      <c r="C9519" s="10" t="s">
        <v>9519</v>
      </c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>
      <c r="A9520" s="8">
        <v>14374.0</v>
      </c>
      <c r="B9520" s="9" t="str">
        <f>HYPERLINK("https://www.lazada.vn/products/combo-4-banh-bong-lan-tam-giac-ngan-lop-2-vi-dingpan-beegin-food-i2517466853.html", "https://www.lazada.vn/products/combo-4-banh-bong-lan-tam-giac-ngan-lop-2-vi-dingpan-beegin-food-i2517466853.html")</f>
        <v>https://www.lazada.vn/products/combo-4-banh-bong-lan-tam-giac-ngan-lop-2-vi-dingpan-beegin-food-i2517466853.html</v>
      </c>
      <c r="C9520" s="10" t="s">
        <v>9520</v>
      </c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>
      <c r="A9521" s="8">
        <v>14375.0</v>
      </c>
      <c r="B9521" s="9" t="str">
        <f>HYPERLINK("https://www.lazada.vn/products/cafe-mam-xoi-giam-can-rasperry-coffee-ho-tro-dieu-chinh-can-nang-giam-mo-bung-men-xu-ly-trang-da-i2611210985.html", "https://www.lazada.vn/products/cafe-mam-xoi-giam-can-rasperry-coffee-ho-tro-dieu-chinh-can-nang-giam-mo-bung-men-xu-ly-trang-da-i2611210985.html")</f>
        <v>https://www.lazada.vn/products/cafe-mam-xoi-giam-can-rasperry-coffee-ho-tro-dieu-chinh-can-nang-giam-mo-bung-men-xu-ly-trang-da-i2611210985.html</v>
      </c>
      <c r="C9521" s="10" t="s">
        <v>9521</v>
      </c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>
      <c r="A9522" s="8">
        <v>14376.0</v>
      </c>
      <c r="B9522" s="9" t="str">
        <f>HYPERLINK("https://www.lazada.vn/products/banh-gao-an-orion-vi-tao-bien-vi-tu-nhienkhoai-langvung-i2807694109.html", "https://www.lazada.vn/products/banh-gao-an-orion-vi-tao-bien-vi-tu-nhienkhoai-langvung-i2807694109.html")</f>
        <v>https://www.lazada.vn/products/banh-gao-an-orion-vi-tao-bien-vi-tu-nhienkhoai-langvung-i2807694109.html</v>
      </c>
      <c r="C9522" s="10" t="s">
        <v>9522</v>
      </c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>
      <c r="A9523" s="8">
        <v>14377.0</v>
      </c>
      <c r="B9523" s="9" t="str">
        <f>HYPERLINK("https://www.lazada.vn/products/quang-chau-moi-chon-cay-olives-trung-quoc-trung-quoc-tich-hop-nuoc-man-thanh-liet-thuc-an-de-thuong-cho-nguoi-met-nhiet-doi-i2923908018.html", "https://www.lazada.vn/products/quang-chau-moi-chon-cay-olives-trung-quoc-trung-quoc-tich-hop-nuoc-man-thanh-liet-thuc-an-de-thuong-cho-nguoi-met-nhiet-doi-i2923908018.html")</f>
        <v>https://www.lazada.vn/products/quang-chau-moi-chon-cay-olives-trung-quoc-trung-quoc-tich-hop-nuoc-man-thanh-liet-thuc-an-de-thuong-cho-nguoi-met-nhiet-doi-i2923908018.html</v>
      </c>
      <c r="C9523" s="10" t="s">
        <v>9523</v>
      </c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>
      <c r="A9524" s="8">
        <v>14378.0</v>
      </c>
      <c r="B9524" s="9" t="str">
        <f>HYPERLINK("https://www.lazada.vn/products/thach-san-day-nau-che-tra-sua-1kg-i2013991025.html", "https://www.lazada.vn/products/thach-san-day-nau-che-tra-sua-1kg-i2013991025.html")</f>
        <v>https://www.lazada.vn/products/thach-san-day-nau-che-tra-sua-1kg-i2013991025.html</v>
      </c>
      <c r="C9524" s="10" t="s">
        <v>9524</v>
      </c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>
      <c r="A9525" s="8">
        <v>14379.0</v>
      </c>
      <c r="B9525" s="9" t="str">
        <f>HYPERLINK("https://www.lazada.vn/products/tang-luc-wake-up-247-1loc-6-chai-i1467036044.html", "https://www.lazada.vn/products/tang-luc-wake-up-247-1loc-6-chai-i1467036044.html")</f>
        <v>https://www.lazada.vn/products/tang-luc-wake-up-247-1loc-6-chai-i1467036044.html</v>
      </c>
      <c r="C9525" s="10" t="s">
        <v>9525</v>
      </c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>
      <c r="A9526" s="8">
        <v>14380.0</v>
      </c>
      <c r="B9526" s="9" t="str">
        <f>HYPERLINK("https://www.lazada.vn/products/bia-oettinger-pils-47-nhap-khau-duc-1-lon-500ml-i2757228811.html", "https://www.lazada.vn/products/bia-oettinger-pils-47-nhap-khau-duc-1-lon-500ml-i2757228811.html")</f>
        <v>https://www.lazada.vn/products/bia-oettinger-pils-47-nhap-khau-duc-1-lon-500ml-i2757228811.html</v>
      </c>
      <c r="C9526" s="10" t="s">
        <v>9526</v>
      </c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>
      <c r="A9527" s="8">
        <v>14381.0</v>
      </c>
      <c r="B9527" s="9" t="str">
        <f>HYPERLINK("https://www.lazada.vn/products/date-11-2025-trai-sung-huu-co-say-happy-village-organic-sun-dried-figs-113kg-my-i2830937342.html", "https://www.lazada.vn/products/date-11-2025-trai-sung-huu-co-say-happy-village-organic-sun-dried-figs-113kg-my-i2830937342.html")</f>
        <v>https://www.lazada.vn/products/date-11-2025-trai-sung-huu-co-say-happy-village-organic-sun-dried-figs-113kg-my-i2830937342.html</v>
      </c>
      <c r="C9527" s="10" t="s">
        <v>9527</v>
      </c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>
      <c r="A9528" s="8">
        <v>14382.0</v>
      </c>
      <c r="B9528" s="9" t="str">
        <f>HYPERLINK("https://www.lazada.vn/products/bot-ha-thu-o-do-100g-200g-300g-i2609958544.html", "https://www.lazada.vn/products/bot-ha-thu-o-do-100g-200g-300g-i2609958544.html")</f>
        <v>https://www.lazada.vn/products/bot-ha-thu-o-do-100g-200g-300g-i2609958544.html</v>
      </c>
      <c r="C9528" s="10" t="s">
        <v>9528</v>
      </c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>
      <c r="A9529" s="8">
        <v>14383.0</v>
      </c>
      <c r="B9529" s="9" t="str">
        <f>HYPERLINK("https://www.lazada.vn/products/1kg-bot-cacao-sua-yeswinwin-dam-vi-chan-that-tu-cacao-nguyen-chat-2-lon-x-500gr-yeswinwin-i821382310.html", "https://www.lazada.vn/products/1kg-bot-cacao-sua-yeswinwin-dam-vi-chan-that-tu-cacao-nguyen-chat-2-lon-x-500gr-yeswinwin-i821382310.html")</f>
        <v>https://www.lazada.vn/products/1kg-bot-cacao-sua-yeswinwin-dam-vi-chan-that-tu-cacao-nguyen-chat-2-lon-x-500gr-yeswinwin-i821382310.html</v>
      </c>
      <c r="C9529" s="10" t="s">
        <v>9529</v>
      </c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>
      <c r="A9530" s="8">
        <v>14384.0</v>
      </c>
      <c r="B9530" s="9" t="str">
        <f>HYPERLINK("https://www.lazada.vn/products/thuc-uong-chocolate-tu-pha-kem-keo-xop-marshmallow-aik-cheong-nhap-khau-malaysia-i818628170.html", "https://www.lazada.vn/products/thuc-uong-chocolate-tu-pha-kem-keo-xop-marshmallow-aik-cheong-nhap-khau-malaysia-i818628170.html")</f>
        <v>https://www.lazada.vn/products/thuc-uong-chocolate-tu-pha-kem-keo-xop-marshmallow-aik-cheong-nhap-khau-malaysia-i818628170.html</v>
      </c>
      <c r="C9530" s="10" t="s">
        <v>9530</v>
      </c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>
      <c r="A9531" s="8">
        <v>14385.0</v>
      </c>
      <c r="B9531" s="9" t="str">
        <f>HYPERLINK("https://www.lazada.vn/products/ca-cao-nguyen-chat-hoa-tan-3in1gama-hop-216gr-top-cacao-ban-chay-i797456754.html", "https://www.lazada.vn/products/ca-cao-nguyen-chat-hoa-tan-3in1gama-hop-216gr-top-cacao-ban-chay-i797456754.html")</f>
        <v>https://www.lazada.vn/products/ca-cao-nguyen-chat-hoa-tan-3in1gama-hop-216gr-top-cacao-ban-chay-i797456754.html</v>
      </c>
      <c r="C9531" s="10" t="s">
        <v>9531</v>
      </c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>
      <c r="A9532" s="8">
        <v>14386.0</v>
      </c>
      <c r="B9532" s="9" t="str">
        <f>HYPERLINK("https://www.lazada.vn/products/thung-24-chai-nuoc-ngot-vi-nguyen-ban-original-taste-coca-cola-390ml-i1796455334.html", "https://www.lazada.vn/products/thung-24-chai-nuoc-ngot-vi-nguyen-ban-original-taste-coca-cola-390ml-i1796455334.html")</f>
        <v>https://www.lazada.vn/products/thung-24-chai-nuoc-ngot-vi-nguyen-ban-original-taste-coca-cola-390ml-i1796455334.html</v>
      </c>
      <c r="C9532" s="10" t="s">
        <v>9532</v>
      </c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>
      <c r="A9533" s="8">
        <v>14387.0</v>
      </c>
      <c r="B9533" s="9" t="str">
        <f>HYPERLINK("https://www.lazada.vn/products/banh-xa-lam-dua-nuong-tui-6-cai-do-an-vat-tuoi-tho-i2873811354.html", "https://www.lazada.vn/products/banh-xa-lam-dua-nuong-tui-6-cai-do-an-vat-tuoi-tho-i2873811354.html")</f>
        <v>https://www.lazada.vn/products/banh-xa-lam-dua-nuong-tui-6-cai-do-an-vat-tuoi-tho-i2873811354.html</v>
      </c>
      <c r="C9533" s="10" t="s">
        <v>9533</v>
      </c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>
      <c r="A9534" s="8">
        <v>14388.0</v>
      </c>
      <c r="B9534" s="9" t="str">
        <f>HYPERLINK("https://www.lazada.vn/products/mi-handy-hao-hao-tom-chua-cay-ly-67g-i2728372988.html", "https://www.lazada.vn/products/mi-handy-hao-hao-tom-chua-cay-ly-67g-i2728372988.html")</f>
        <v>https://www.lazada.vn/products/mi-handy-hao-hao-tom-chua-cay-ly-67g-i2728372988.html</v>
      </c>
      <c r="C9534" s="10" t="s">
        <v>9534</v>
      </c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>
      <c r="A9535" s="8">
        <v>14389.0</v>
      </c>
      <c r="B9535" s="9" t="str">
        <f>HYPERLINK("https://www.lazada.vn/products/la-dinh-lang-tuoi-1kg-500g-i2607228963.html", "https://www.lazada.vn/products/la-dinh-lang-tuoi-1kg-500g-i2607228963.html")</f>
        <v>https://www.lazada.vn/products/la-dinh-lang-tuoi-1kg-500g-i2607228963.html</v>
      </c>
      <c r="C9535" s="10" t="s">
        <v>9535</v>
      </c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>
      <c r="A9536" s="8">
        <v>14390.0</v>
      </c>
      <c r="B9536" s="9" t="str">
        <f>HYPERLINK("https://www.lazada.vn/products/socola-nama-socola-tuoi-noi-dia-trung-ngon-xoan-luoi-hop-408g-i2858983248.html", "https://www.lazada.vn/products/socola-nama-socola-tuoi-noi-dia-trung-ngon-xoan-luoi-hop-408g-i2858983248.html")</f>
        <v>https://www.lazada.vn/products/socola-nama-socola-tuoi-noi-dia-trung-ngon-xoan-luoi-hop-408g-i2858983248.html</v>
      </c>
      <c r="C9536" s="10" t="s">
        <v>9536</v>
      </c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>
      <c r="A9537" s="8">
        <v>14391.0</v>
      </c>
      <c r="B9537" s="9" t="str">
        <f>HYPERLINK("https://www.lazada.vn/products/mi-sa-te-miliket-giay-vang-goi-65g-i2728249794.html", "https://www.lazada.vn/products/mi-sa-te-miliket-giay-vang-goi-65g-i2728249794.html")</f>
        <v>https://www.lazada.vn/products/mi-sa-te-miliket-giay-vang-goi-65g-i2728249794.html</v>
      </c>
      <c r="C9537" s="10" t="s">
        <v>9537</v>
      </c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>
      <c r="A9538" s="8">
        <v>14392.0</v>
      </c>
      <c r="B9538" s="9" t="str">
        <f>HYPERLINK("https://www.lazada.vn/products/banh-trang-deo-cay-350g-7-cai-xap-dac-san-tay-ninh-noi-tieng-i2156385787.html", "https://www.lazada.vn/products/banh-trang-deo-cay-350g-7-cai-xap-dac-san-tay-ninh-noi-tieng-i2156385787.html")</f>
        <v>https://www.lazada.vn/products/banh-trang-deo-cay-350g-7-cai-xap-dac-san-tay-ninh-noi-tieng-i2156385787.html</v>
      </c>
      <c r="C9538" s="10" t="s">
        <v>9538</v>
      </c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>
      <c r="A9539" s="8">
        <v>14393.0</v>
      </c>
      <c r="B9539" s="9" t="str">
        <f>HYPERLINK("https://www.lazada.vn/products/d-408g-i2858838763.html", "https://www.lazada.vn/products/d-408g-i2858838763.html")</f>
        <v>https://www.lazada.vn/products/d-408g-i2858838763.html</v>
      </c>
      <c r="C9539" s="10" t="s">
        <v>9539</v>
      </c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>
      <c r="A9540" s="8">
        <v>14394.0</v>
      </c>
      <c r="B9540" s="9" t="str">
        <f>HYPERLINK("https://www.lazada.vn/products/keo-sam-vang-spinach-malaysia-huong-ca-phe-i2655571652.html", "https://www.lazada.vn/products/keo-sam-vang-spinach-malaysia-huong-ca-phe-i2655571652.html")</f>
        <v>https://www.lazada.vn/products/keo-sam-vang-spinach-malaysia-huong-ca-phe-i2655571652.html</v>
      </c>
      <c r="C9540" s="10" t="s">
        <v>9540</v>
      </c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>
      <c r="A9541" s="8">
        <v>14395.0</v>
      </c>
      <c r="B9541" s="9" t="str">
        <f>HYPERLINK("https://www.lazada.vn/products/mao-dai-ha-tho-10-nam-tinh-khiet-co-thung-go-hoac-thung-giay-6chai-i2399743853.html", "https://www.lazada.vn/products/mao-dai-ha-tho-10-nam-tinh-khiet-co-thung-go-hoac-thung-giay-6chai-i2399743853.html")</f>
        <v>https://www.lazada.vn/products/mao-dai-ha-tho-10-nam-tinh-khiet-co-thung-go-hoac-thung-giay-6chai-i2399743853.html</v>
      </c>
      <c r="C9541" s="10" t="s">
        <v>9541</v>
      </c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>
      <c r="A9542" s="8">
        <v>14396.0</v>
      </c>
      <c r="B9542" s="9" t="str">
        <f>HYPERLINK("https://www.lazada.vn/products/mam-ba-khia-tron-san-700g-i1682367136.html", "https://www.lazada.vn/products/mam-ba-khia-tron-san-700g-i1682367136.html")</f>
        <v>https://www.lazada.vn/products/mam-ba-khia-tron-san-700g-i1682367136.html</v>
      </c>
      <c r="C9542" s="10" t="s">
        <v>9542</v>
      </c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>
      <c r="A9543" s="8">
        <v>14397.0</v>
      </c>
      <c r="B9543" s="9" t="str">
        <f>HYPERLINK("https://www.lazada.vn/products/luon-co-san-hang-ca-phe-culi-500gr-phuc-long-i2608917375.html", "https://www.lazada.vn/products/luon-co-san-hang-ca-phe-culi-500gr-phuc-long-i2608917375.html")</f>
        <v>https://www.lazada.vn/products/luon-co-san-hang-ca-phe-culi-500gr-phuc-long-i2608917375.html</v>
      </c>
      <c r="C9543" s="10" t="s">
        <v>9543</v>
      </c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>
      <c r="A9544" s="8">
        <v>14398.0</v>
      </c>
      <c r="B9544" s="9" t="str">
        <f>HYPERLINK("https://www.lazada.vn/products/banh-quy-vui-nhon-ococo-nhap-khau-nhat-ban-cho-be-yeu-tap-an-dam-308g-i2807505308.html", "https://www.lazada.vn/products/banh-quy-vui-nhon-ococo-nhap-khau-nhat-ban-cho-be-yeu-tap-an-dam-308g-i2807505308.html")</f>
        <v>https://www.lazada.vn/products/banh-quy-vui-nhon-ococo-nhap-khau-nhat-ban-cho-be-yeu-tap-an-dam-308g-i2807505308.html</v>
      </c>
      <c r="C9544" s="10" t="s">
        <v>9544</v>
      </c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>
      <c r="A9545" s="8">
        <v>14399.0</v>
      </c>
      <c r="B9545" s="9" t="str">
        <f>HYPERLINK("https://www.lazada.vn/products/combo-5goi-banh-mi-tuoi-takoyaki-xot-nhat-ban-kido-55grgoi-i2516199005.html", "https://www.lazada.vn/products/combo-5goi-banh-mi-tuoi-takoyaki-xot-nhat-ban-kido-55grgoi-i2516199005.html")</f>
        <v>https://www.lazada.vn/products/combo-5goi-banh-mi-tuoi-takoyaki-xot-nhat-ban-kido-55grgoi-i2516199005.html</v>
      </c>
      <c r="C9545" s="10" t="s">
        <v>9545</v>
      </c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>
      <c r="A9546" s="8">
        <v>14400.0</v>
      </c>
      <c r="B9546" s="9" t="str">
        <f>HYPERLINK("https://www.lazada.vn/products/wild-yunnan-olive-dried-fruit-oil-maternity-morning-sickness-relief-snack-nutritional-supplement-food-from-dehong-dai-jingpo-autonomous-prefecture-i2923890283.html", "https://www.lazada.vn/products/wild-yunnan-olive-dried-fruit-oil-maternity-morning-sickness-relief-snack-nutritional-supplement-food-from-dehong-dai-jingpo-autonomous-prefecture-i2923890283.html")</f>
        <v>https://www.lazada.vn/products/wild-yunnan-olive-dried-fruit-oil-maternity-morning-sickness-relief-snack-nutritional-supplement-food-from-dehong-dai-jingpo-autonomous-prefecture-i2923890283.html</v>
      </c>
      <c r="C9546" s="10" t="s">
        <v>9546</v>
      </c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>
      <c r="A9547" s="8">
        <v>14401.0</v>
      </c>
      <c r="B9547" s="9" t="str">
        <f>HYPERLINK("https://www.lazada.vn/products/thach-san-day-nau-che-tra-sua-500g-i2013931394.html", "https://www.lazada.vn/products/thach-san-day-nau-che-tra-sua-500g-i2013931394.html")</f>
        <v>https://www.lazada.vn/products/thach-san-day-nau-che-tra-sua-500g-i2013931394.html</v>
      </c>
      <c r="C9547" s="10" t="s">
        <v>9547</v>
      </c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>
      <c r="A9548" s="8">
        <v>14402.0</v>
      </c>
      <c r="B9548" s="9" t="str">
        <f>HYPERLINK("https://www.lazada.vn/products/combo-loc-10-chai-nuoc-tang-luc-m150-thai-lan-i1462161039.html", "https://www.lazada.vn/products/combo-loc-10-chai-nuoc-tang-luc-m150-thai-lan-i1462161039.html")</f>
        <v>https://www.lazada.vn/products/combo-loc-10-chai-nuoc-tang-luc-m150-thai-lan-i1462161039.html</v>
      </c>
      <c r="C9548" s="10" t="s">
        <v>9548</v>
      </c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>
      <c r="A9549" s="8">
        <v>14403.0</v>
      </c>
      <c r="B9549" s="9" t="str">
        <f>HYPERLINK("https://www.lazada.vn/products/bia-trung-quoc-keng-1-lit-thom-ngon-hang-cao-cap-bia-liquan-bia-lao-gia-bia-thien-nga-bia-tien-de-i2749078310.html", "https://www.lazada.vn/products/bia-trung-quoc-keng-1-lit-thom-ngon-hang-cao-cap-bia-liquan-bia-lao-gia-bia-thien-nga-bia-tien-de-i2749078310.html")</f>
        <v>https://www.lazada.vn/products/bia-trung-quoc-keng-1-lit-thom-ngon-hang-cao-cap-bia-liquan-bia-lao-gia-bia-thien-nga-bia-tien-de-i2749078310.html</v>
      </c>
      <c r="C9549" s="10" t="s">
        <v>9549</v>
      </c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>
      <c r="A9550" s="8">
        <v>14404.0</v>
      </c>
      <c r="B9550" s="9" t="str">
        <f>HYPERLINK("https://www.lazada.vn/products/bang-do-pirome-quai-vat-t-t-t-t-t-tao-gile-tao-gile-tao-gile-tao-gile-tao-gile-tao-gile-tao-gile-tao-gile-i2830786722.html", "https://www.lazada.vn/products/bang-do-pirome-quai-vat-t-t-t-t-t-tao-gile-tao-gile-tao-gile-tao-gile-tao-gile-tao-gile-tao-gile-tao-gile-i2830786722.html")</f>
        <v>https://www.lazada.vn/products/bang-do-pirome-quai-vat-t-t-t-t-t-tao-gile-tao-gile-tao-gile-tao-gile-tao-gile-tao-gile-tao-gile-tao-gile-i2830786722.html</v>
      </c>
      <c r="C9550" s="10" t="s">
        <v>9550</v>
      </c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>
      <c r="A9551" s="8">
        <v>14405.0</v>
      </c>
      <c r="B9551" s="9" t="str">
        <f>HYPERLINK("https://www.lazada.vn/products/bot-ha-thu-o-do-500g-1kg-i2609939604.html", "https://www.lazada.vn/products/bot-ha-thu-o-do-500g-1kg-i2609939604.html")</f>
        <v>https://www.lazada.vn/products/bot-ha-thu-o-do-500g-1kg-i2609939604.html</v>
      </c>
      <c r="C9551" s="10" t="s">
        <v>9551</v>
      </c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>
      <c r="A9552" s="8">
        <v>14406.0</v>
      </c>
      <c r="B9552" s="9" t="str">
        <f>HYPERLINK("https://www.lazada.vn/products/bot-cacao-mario-cao-cap-nguyen-lieu-nhap-khau-huong-vi-dam-da-phu-hop-gu-thuong-thuc-manh-500-gram-i767674743.html", "https://www.lazada.vn/products/bot-cacao-mario-cao-cap-nguyen-lieu-nhap-khau-huong-vi-dam-da-phu-hop-gu-thuong-thuc-manh-500-gram-i767674743.html")</f>
        <v>https://www.lazada.vn/products/bot-cacao-mario-cao-cap-nguyen-lieu-nhap-khau-huong-vi-dam-da-phu-hop-gu-thuong-thuc-manh-500-gram-i767674743.html</v>
      </c>
      <c r="C9552" s="10" t="s">
        <v>9552</v>
      </c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>
      <c r="A9553" s="8">
        <v>14407.0</v>
      </c>
      <c r="B9553" s="9" t="str">
        <f>HYPERLINK("https://www.lazada.vn/products/thung-24-lon-nuoc-ngot-vi-nguyen-ban-original-taste-coca-cola-235ml-i1796401136.html", "https://www.lazada.vn/products/thung-24-lon-nuoc-ngot-vi-nguyen-ban-original-taste-coca-cola-235ml-i1796401136.html")</f>
        <v>https://www.lazada.vn/products/thung-24-lon-nuoc-ngot-vi-nguyen-ban-original-taste-coca-cola-235ml-i1796401136.html</v>
      </c>
      <c r="C9553" s="10" t="s">
        <v>9553</v>
      </c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>
      <c r="A9554" s="8">
        <v>14408.0</v>
      </c>
      <c r="B9554" s="9" t="str">
        <f>HYPERLINK("https://www.lazada.vn/products/thung-20-bich-combo-5-bich50-caybanh-gao-cuon-want-want-vi-rong-bienvi-pho-maivi-trung-muoivi-bap-180g-sieu-ngon-i2870285013.html", "https://www.lazada.vn/products/thung-20-bich-combo-5-bich50-caybanh-gao-cuon-want-want-vi-rong-bienvi-pho-maivi-trung-muoivi-bap-180g-sieu-ngon-i2870285013.html")</f>
        <v>https://www.lazada.vn/products/thung-20-bich-combo-5-bich50-caybanh-gao-cuon-want-want-vi-rong-bienvi-pho-maivi-trung-muoivi-bap-180g-sieu-ngon-i2870285013.html</v>
      </c>
      <c r="C9554" s="10" t="s">
        <v>9554</v>
      </c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>
      <c r="A9555" s="8">
        <v>14409.0</v>
      </c>
      <c r="B9555" s="9" t="str">
        <f>HYPERLINK("https://www.lazada.vn/products/thung-30-goi-mi-sa-te-miliket-giay-vang-65g-i2728235881.html", "https://www.lazada.vn/products/thung-30-goi-mi-sa-te-miliket-giay-vang-65g-i2728235881.html")</f>
        <v>https://www.lazada.vn/products/thung-30-goi-mi-sa-te-miliket-giay-vang-65g-i2728235881.html</v>
      </c>
      <c r="C9555" s="10" t="s">
        <v>9555</v>
      </c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>
      <c r="A9556" s="8">
        <v>14410.0</v>
      </c>
      <c r="B9556" s="9" t="str">
        <f>HYPERLINK("https://www.lazada.vn/products/cao-atiso-bich-300gr-ptm-i2605801177.html", "https://www.lazada.vn/products/cao-atiso-bich-300gr-ptm-i2605801177.html")</f>
        <v>https://www.lazada.vn/products/cao-atiso-bich-300gr-ptm-i2605801177.html</v>
      </c>
      <c r="C9556" s="10" t="s">
        <v>9556</v>
      </c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>
      <c r="A9557" s="8">
        <v>14411.0</v>
      </c>
      <c r="B9557" s="9" t="str">
        <f>HYPERLINK("https://www.lazada.vn/products/noi-dia-nhat-hang-san-premium-kitkat-kitkat-cao-cap-nhieu-vi-i2858614607.html", "https://www.lazada.vn/products/noi-dia-nhat-hang-san-premium-kitkat-kitkat-cao-cap-nhieu-vi-i2858614607.html")</f>
        <v>https://www.lazada.vn/products/noi-dia-nhat-hang-san-premium-kitkat-kitkat-cao-cap-nhieu-vi-i2858614607.html</v>
      </c>
      <c r="C9557" s="10" t="s">
        <v>9557</v>
      </c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>
      <c r="A9558" s="8">
        <v>14412.0</v>
      </c>
      <c r="B9558" s="9" t="str">
        <f>HYPERLINK("https://www.lazada.vn/products/combo-tam-bo-kiem-gom-5-nem-nuong-5-snack-sashimi-5-snack-bo-kobe-snack-do-an-vat-viet-nam-i2155352887.html", "https://www.lazada.vn/products/combo-tam-bo-kiem-gom-5-nem-nuong-5-snack-sashimi-5-snack-bo-kobe-snack-do-an-vat-viet-nam-i2155352887.html")</f>
        <v>https://www.lazada.vn/products/combo-tam-bo-kiem-gom-5-nem-nuong-5-snack-sashimi-5-snack-bo-kobe-snack-do-an-vat-viet-nam-i2155352887.html</v>
      </c>
      <c r="C9558" s="10" t="s">
        <v>9558</v>
      </c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>
      <c r="A9559" s="8">
        <v>14413.0</v>
      </c>
      <c r="B9559" s="9" t="str">
        <f>HYPERLINK("https://www.lazada.vn/products/keo-dua-la-dua-dac-san-ben-tre-hop-48vien-i2655443867.html", "https://www.lazada.vn/products/keo-dua-la-dua-dac-san-ben-tre-hop-48vien-i2655443867.html")</f>
        <v>https://www.lazada.vn/products/keo-dua-la-dua-dac-san-ben-tre-hop-48vien-i2655443867.html</v>
      </c>
      <c r="C9559" s="10" t="s">
        <v>9559</v>
      </c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>
      <c r="A9560" s="8">
        <v>14414.0</v>
      </c>
      <c r="B9560" s="9" t="str">
        <f>HYPERLINK("https://www.lazada.vn/products/05-kg-hu-tieu-sa-dec-1-bich-6-vat-lon-la-05kg-i1679720373.html", "https://www.lazada.vn/products/05-kg-hu-tieu-sa-dec-1-bich-6-vat-lon-la-05kg-i1679720373.html")</f>
        <v>https://www.lazada.vn/products/05-kg-hu-tieu-sa-dec-1-bich-6-vat-lon-la-05kg-i1679720373.html</v>
      </c>
      <c r="C9560" s="10" t="s">
        <v>9560</v>
      </c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>
      <c r="A9561" s="8">
        <v>14415.0</v>
      </c>
      <c r="B9561" s="9" t="str">
        <f>HYPERLINK("https://www.lazada.vn/products/siro-xuyen-boi-ty-ba-300ml-cao-niem-tu-am-giam-ho-dau-hong-ho-khan-hieu-qua-sisaigon-i2399447673.html", "https://www.lazada.vn/products/siro-xuyen-boi-ty-ba-300ml-cao-niem-tu-am-giam-ho-dau-hong-ho-khan-hieu-qua-sisaigon-i2399447673.html")</f>
        <v>https://www.lazada.vn/products/siro-xuyen-boi-ty-ba-300ml-cao-niem-tu-am-giam-ho-dau-hong-ho-khan-hieu-qua-sisaigon-i2399447673.html</v>
      </c>
      <c r="C9561" s="10" t="s">
        <v>9561</v>
      </c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>
      <c r="A9562" s="8">
        <v>14416.0</v>
      </c>
      <c r="B9562" s="9" t="str">
        <f>HYPERLINK("https://www.lazada.vn/products/date-30042025-banh-quy-bourbon-choco-va-ca-phe-i2807210742.html", "https://www.lazada.vn/products/date-30042025-banh-quy-bourbon-choco-va-ca-phe-i2807210742.html")</f>
        <v>https://www.lazada.vn/products/date-30042025-banh-quy-bourbon-choco-va-ca-phe-i2807210742.html</v>
      </c>
      <c r="C9562" s="10" t="s">
        <v>9562</v>
      </c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>
      <c r="A9563" s="8">
        <v>14417.0</v>
      </c>
      <c r="B9563" s="9" t="str">
        <f>HYPERLINK("https://www.lazada.vn/products/combo-4-banh-bong-lan-tam-giac-nhien-loi-vi-dau-tra-xanh-socola-pho-mai-b37c4-gia-ngan-food-i2513873867.html", "https://www.lazada.vn/products/combo-4-banh-bong-lan-tam-giac-nhien-loi-vi-dau-tra-xanh-socola-pho-mai-b37c4-gia-ngan-food-i2513873867.html")</f>
        <v>https://www.lazada.vn/products/combo-4-banh-bong-lan-tam-giac-nhien-loi-vi-dau-tra-xanh-socola-pho-mai-b37c4-gia-ngan-food-i2513873867.html</v>
      </c>
      <c r="C9563" s="10" t="s">
        <v>9563</v>
      </c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>
      <c r="A9564" s="8">
        <v>14418.0</v>
      </c>
      <c r="B9564" s="9" t="str">
        <f>HYPERLINK("https://www.lazada.vn/products/giam-10-combo-2-tui-ca-phe-hoa-tan-3in1-highlands-coffee-50-goi-i2608415791.html", "https://www.lazada.vn/products/giam-10-combo-2-tui-ca-phe-hoa-tan-3in1-highlands-coffee-50-goi-i2608415791.html")</f>
        <v>https://www.lazada.vn/products/giam-10-combo-2-tui-ca-phe-hoa-tan-3in1-highlands-coffee-50-goi-i2608415791.html</v>
      </c>
      <c r="C9564" s="10" t="s">
        <v>9564</v>
      </c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>
      <c r="A9565" s="8">
        <v>14419.0</v>
      </c>
      <c r="B9565" s="9" t="str">
        <f>HYPERLINK("https://www.lazada.vn/products/snack-tom-hanami-thai-lan-lon-110-gram-sn04-tknk-beegin-i2635409930.html", "https://www.lazada.vn/products/snack-tom-hanami-thai-lan-lon-110-gram-sn04-tknk-beegin-i2635409930.html")</f>
        <v>https://www.lazada.vn/products/snack-tom-hanami-thai-lan-lon-110-gram-sn04-tknk-beegin-i2635409930.html</v>
      </c>
      <c r="C9565" s="10" t="s">
        <v>9565</v>
      </c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>
      <c r="A9566" s="8">
        <v>14420.0</v>
      </c>
      <c r="B9566" s="9" t="str">
        <f>HYPERLINK("https://www.lazada.vn/products/authentic-guangxi-special-product-olive-meat-yellow-olives-dried-fruit-snack-pickled-with-south-ginger-in-bottle-olive-i2923889140.html", "https://www.lazada.vn/products/authentic-guangxi-special-product-olive-meat-yellow-olives-dried-fruit-snack-pickled-with-south-ginger-in-bottle-olive-i2923889140.html")</f>
        <v>https://www.lazada.vn/products/authentic-guangxi-special-product-olive-meat-yellow-olives-dried-fruit-snack-pickled-with-south-ginger-in-bottle-olive-i2923889140.html</v>
      </c>
      <c r="C9566" s="10" t="s">
        <v>9566</v>
      </c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>
      <c r="A9567" s="8">
        <v>14421.0</v>
      </c>
      <c r="B9567" s="9" t="str">
        <f>HYPERLINK("https://www.lazada.vn/products/thach-trai-cay-orihiro-vi-nho-xanh-va-cam-i2013142349.html", "https://www.lazada.vn/products/thach-trai-cay-orihiro-vi-nho-xanh-va-cam-i2013142349.html")</f>
        <v>https://www.lazada.vn/products/thach-trai-cay-orihiro-vi-nho-xanh-va-cam-i2013142349.html</v>
      </c>
      <c r="C9567" s="10" t="s">
        <v>9567</v>
      </c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>
      <c r="A9568" s="8">
        <v>14422.0</v>
      </c>
      <c r="B9568" s="9" t="str">
        <f>HYPERLINK("https://www.lazada.vn/products/hcmnuoc-tang-luc-warrior-huong-nho-1-chai-325ml-chien-binh-nang-luong-bo-sung-vitamin-b3-b6-b12-va-khoang-chat-1-loc-6-chai-han-su-dung-moi-san-pham-co-trung-thuong-bung-tinh-san-qua-dinh-sth-i1460107306.html", "https://www.lazada.vn/products/hcmnuoc-tang-luc-warrior-huong-nho-1-chai-325ml-chien-binh-nang-luong-bo-sung-vitamin-b3-b6-b12-va-khoang-chat-1-loc-6-chai-han-su-dung-moi-san-pham-co-trung-thuong-bung-tinh-san-qua-dinh-sth-i1460107306.html")</f>
        <v>https://www.lazada.vn/products/hcmnuoc-tang-luc-warrior-huong-nho-1-chai-325ml-chien-binh-nang-luong-bo-sung-vitamin-b3-b6-b12-va-khoang-chat-1-loc-6-chai-han-su-dung-moi-san-pham-co-trung-thuong-bung-tinh-san-qua-dinh-sth-i1460107306.html</v>
      </c>
      <c r="C9568" s="10" t="s">
        <v>9568</v>
      </c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>
      <c r="A9569" s="8">
        <v>14423.0</v>
      </c>
      <c r="B9569" s="9" t="str">
        <f>HYPERLINK("https://www.lazada.vn/products/thung-bia-lao-gia-keng-1-lit-bia-ngon-12-keng-i2749071194.html", "https://www.lazada.vn/products/thung-bia-lao-gia-keng-1-lit-bia-ngon-12-keng-i2749071194.html")</f>
        <v>https://www.lazada.vn/products/thung-bia-lao-gia-keng-1-lit-bia-ngon-12-keng-i2749071194.html</v>
      </c>
      <c r="C9569" s="10" t="s">
        <v>9569</v>
      </c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>
      <c r="A9570" s="8">
        <v>14424.0</v>
      </c>
      <c r="B9570" s="9" t="str">
        <f>HYPERLINK("https://www.lazada.vn/products/hn-trai-cay-say-vinamit-100g-i2830075051.html", "https://www.lazada.vn/products/hn-trai-cay-say-vinamit-100g-i2830075051.html")</f>
        <v>https://www.lazada.vn/products/hn-trai-cay-say-vinamit-100g-i2830075051.html</v>
      </c>
      <c r="C9570" s="10" t="s">
        <v>9570</v>
      </c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>
      <c r="A9571" s="8">
        <v>14425.0</v>
      </c>
      <c r="B9571" s="9" t="str">
        <f>HYPERLINK("https://www.lazada.vn/products/bot-kem-sua-pha-cafe-nestle-coffee-mate-the-orginal-hop-311gr-cua-my-i2609787002.html", "https://www.lazada.vn/products/bot-kem-sua-pha-cafe-nestle-coffee-mate-the-orginal-hop-311gr-cua-my-i2609787002.html")</f>
        <v>https://www.lazada.vn/products/bot-kem-sua-pha-cafe-nestle-coffee-mate-the-orginal-hop-311gr-cua-my-i2609787002.html</v>
      </c>
      <c r="C9571" s="10" t="s">
        <v>9571</v>
      </c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>
      <c r="A9572" s="8">
        <v>14426.0</v>
      </c>
      <c r="B9572" s="9" t="str">
        <f>HYPERLINK("https://www.lazada.vn/products/keo-sap-ong-mix-nhan-vi-trai-cay-i2655329590.html", "https://www.lazada.vn/products/keo-sap-ong-mix-nhan-vi-trai-cay-i2655329590.html")</f>
        <v>https://www.lazada.vn/products/keo-sap-ong-mix-nhan-vi-trai-cay-i2655329590.html</v>
      </c>
      <c r="C9572" s="10" t="s">
        <v>9572</v>
      </c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>
      <c r="A9573" s="8">
        <v>14427.0</v>
      </c>
      <c r="B9573" s="9" t="str">
        <f>HYPERLINK("https://www.lazada.vn/products/keo-socola-bi-belgian-seashells-hop-qua-tang-250ghop-i2854853193.html", "https://www.lazada.vn/products/keo-socola-bi-belgian-seashells-hop-qua-tang-250ghop-i2854853193.html")</f>
        <v>https://www.lazada.vn/products/keo-socola-bi-belgian-seashells-hop-qua-tang-250ghop-i2854853193.html</v>
      </c>
      <c r="C9573" s="10" t="s">
        <v>9573</v>
      </c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>
      <c r="A9574" s="8">
        <v>14428.0</v>
      </c>
      <c r="B9574" s="9" t="str">
        <f>HYPERLINK("https://www.lazada.vn/products/olives-man-che-bien-co-nui-man-huong-dau-gung-den-480g-thuong-hieu-moon-bird-san-pham-doc-quyen-tich-hop-bao-bi-truc-tiep-tu-trung-quoc-i2923873171.html", "https://www.lazada.vn/products/olives-man-che-bien-co-nui-man-huong-dau-gung-den-480g-thuong-hieu-moon-bird-san-pham-doc-quyen-tich-hop-bao-bi-truc-tiep-tu-trung-quoc-i2923873171.html")</f>
        <v>https://www.lazada.vn/products/olives-man-che-bien-co-nui-man-huong-dau-gung-den-480g-thuong-hieu-moon-bird-san-pham-doc-quyen-tich-hop-bao-bi-truc-tiep-tu-trung-quoc-i2923873171.html</v>
      </c>
      <c r="C9574" s="10" t="s">
        <v>9574</v>
      </c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>
      <c r="A9575" s="8">
        <v>14429.0</v>
      </c>
      <c r="B9575" s="9" t="str">
        <f>HYPERLINK("https://www.lazada.vn/products/hn-trai-cay-say-vinamit-250g-i2830074064.html", "https://www.lazada.vn/products/hn-trai-cay-say-vinamit-250g-i2830074064.html")</f>
        <v>https://www.lazada.vn/products/hn-trai-cay-say-vinamit-250g-i2830074064.html</v>
      </c>
      <c r="C9575" s="10" t="s">
        <v>9575</v>
      </c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>
      <c r="A9576" s="8">
        <v>14430.0</v>
      </c>
      <c r="B9576" s="9" t="str">
        <f>HYPERLINK("https://www.lazada.vn/products/dau-den-xanh-long-1kg-hut-chan-khong-dau-vuon-i1677690367.html", "https://www.lazada.vn/products/dau-den-xanh-long-1kg-hut-chan-khong-dau-vuon-i1677690367.html")</f>
        <v>https://www.lazada.vn/products/dau-den-xanh-long-1kg-hut-chan-khong-dau-vuon-i1677690367.html</v>
      </c>
      <c r="C9576" s="10" t="s">
        <v>9576</v>
      </c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>
      <c r="A9577" s="8">
        <v>14431.0</v>
      </c>
      <c r="B9577" s="9" t="str">
        <f>HYPERLINK("https://www.lazada.vn/products/banh-quy-imperial-nhan-kem-mut-trai-cay-cao-cap-vi-viet-quat-mam-xoi-dao_nhap-khau-truc-tiep-indonesia-hop-324g-i2859333687.html", "https://www.lazada.vn/products/banh-quy-imperial-nhan-kem-mut-trai-cay-cao-cap-vi-viet-quat-mam-xoi-dao_nhap-khau-truc-tiep-indonesia-hop-324g-i2859333687.html")</f>
        <v>https://www.lazada.vn/products/banh-quy-imperial-nhan-kem-mut-trai-cay-cao-cap-vi-viet-quat-mam-xoi-dao_nhap-khau-truc-tiep-indonesia-hop-324g-i2859333687.html</v>
      </c>
      <c r="C9577" s="10" t="s">
        <v>9577</v>
      </c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>
      <c r="A9578" s="8">
        <v>14432.0</v>
      </c>
      <c r="B9578" s="9" t="str">
        <f>HYPERLINK("https://www.lazada.vn/products/1-kg-banh-quy-man-vung-dua-yogo-do-an-vat-tet-banh-mut-tet-i2806901605.html", "https://www.lazada.vn/products/1-kg-banh-quy-man-vung-dua-yogo-do-an-vat-tet-banh-mut-tet-i2806901605.html")</f>
        <v>https://www.lazada.vn/products/1-kg-banh-quy-man-vung-dua-yogo-do-an-vat-tet-banh-mut-tet-i2806901605.html</v>
      </c>
      <c r="C9578" s="10" t="s">
        <v>9578</v>
      </c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>
      <c r="A9579" s="8">
        <v>14433.0</v>
      </c>
      <c r="B9579" s="9" t="str">
        <f>HYPERLINK("https://www.lazada.vn/products/thach-dua-tho-dac-san-ben-tre-lets-nuts-tui-1kg-tang-em-huong-vai-thach-dua-dai-gion-thom-i2605752313.html", "https://www.lazada.vn/products/thach-dua-tho-dac-san-ben-tre-lets-nuts-tui-1kg-tang-em-huong-vai-thach-dua-dai-gion-thom-i2605752313.html")</f>
        <v>https://www.lazada.vn/products/thach-dua-tho-dac-san-ben-tre-lets-nuts-tui-1kg-tang-em-huong-vai-thach-dua-dai-gion-thom-i2605752313.html</v>
      </c>
      <c r="C9579" s="10" t="s">
        <v>9579</v>
      </c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>
      <c r="A9580" s="8">
        <v>14434.0</v>
      </c>
      <c r="B9580" s="9" t="str">
        <f>HYPERLINK("https://www.lazada.vn/products/bia-thanh-dao-tsingtao-thung-24-lon-330mllon-i2748986604.html", "https://www.lazada.vn/products/bia-thanh-dao-tsingtao-thung-24-lon-330mllon-i2748986604.html")</f>
        <v>https://www.lazada.vn/products/bia-thanh-dao-tsingtao-thung-24-lon-330mllon-i2748986604.html</v>
      </c>
      <c r="C9580" s="10" t="s">
        <v>9580</v>
      </c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>
      <c r="A9581" s="8">
        <v>14435.0</v>
      </c>
      <c r="B9581" s="9" t="str">
        <f>HYPERLINK("https://www.lazada.vn/products/thach-orihiro-mix-vi-dao-va-nho-tim-18g-x-12-cai-i2013100658.html", "https://www.lazada.vn/products/thach-orihiro-mix-vi-dao-va-nho-tim-18g-x-12-cai-i2013100658.html")</f>
        <v>https://www.lazada.vn/products/thach-orihiro-mix-vi-dao-va-nho-tim-18g-x-12-cai-i2013100658.html</v>
      </c>
      <c r="C9581" s="10" t="s">
        <v>9581</v>
      </c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>
      <c r="A9582" s="8">
        <v>14436.0</v>
      </c>
      <c r="B9582" s="9" t="str">
        <f>HYPERLINK("https://www.lazada.vn/products/chaymanbanh-trang-deo-ha-noi-xap-100gr-i2136016405.html", "https://www.lazada.vn/products/chaymanbanh-trang-deo-ha-noi-xap-100gr-i2136016405.html")</f>
        <v>https://www.lazada.vn/products/chaymanbanh-trang-deo-ha-noi-xap-100gr-i2136016405.html</v>
      </c>
      <c r="C9582" s="10" t="s">
        <v>9582</v>
      </c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>
      <c r="A9583" s="8">
        <v>14437.0</v>
      </c>
      <c r="B9583" s="9" t="str">
        <f>HYPERLINK("https://www.lazada.vn/products/keo-socola-kisses-du-vi-thom-ngon-beo-ngay-283-300gr-i2854797382.html", "https://www.lazada.vn/products/keo-socola-kisses-du-vi-thom-ngon-beo-ngay-283-300gr-i2854797382.html")</f>
        <v>https://www.lazada.vn/products/keo-socola-kisses-du-vi-thom-ngon-beo-ngay-283-300gr-i2854797382.html</v>
      </c>
      <c r="C9583" s="10" t="s">
        <v>9583</v>
      </c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>
      <c r="A9584" s="8">
        <v>14438.0</v>
      </c>
      <c r="B9584" s="9" t="str">
        <f>HYPERLINK("https://www.lazada.vn/products/luon-co-san-hang-ca-phe-robusta-culi-500gr-phuc-long-i2608039618.html", "https://www.lazada.vn/products/luon-co-san-hang-ca-phe-robusta-culi-500gr-phuc-long-i2608039618.html")</f>
        <v>https://www.lazada.vn/products/luon-co-san-hang-ca-phe-robusta-culi-500gr-phuc-long-i2608039618.html</v>
      </c>
      <c r="C9584" s="10" t="s">
        <v>9584</v>
      </c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>
      <c r="A9585" s="8">
        <v>14439.0</v>
      </c>
      <c r="B9585" s="9" t="str">
        <f>HYPERLINK("https://www.lazada.vn/products/thung-1kg-10c-banh-bong-lan-tam-giac-nhien-loi-vi-dau-tra-xanh-socola-pho-mai-b37-gia-ngan-food-i2513839458.html", "https://www.lazada.vn/products/thung-1kg-10c-banh-bong-lan-tam-giac-nhien-loi-vi-dau-tra-xanh-socola-pho-mai-b37-gia-ngan-food-i2513839458.html")</f>
        <v>https://www.lazada.vn/products/thung-1kg-10c-banh-bong-lan-tam-giac-nhien-loi-vi-dau-tra-xanh-socola-pho-mai-b37-gia-ngan-food-i2513839458.html</v>
      </c>
      <c r="C9585" s="10" t="s">
        <v>9585</v>
      </c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>
      <c r="A9586" s="8">
        <v>14440.0</v>
      </c>
      <c r="B9586" s="9" t="str">
        <f>HYPERLINK("https://www.lazada.vn/products/bot-pha-nuoc-trai-cay-khong-duong-crystal-light-60-goi-4-vi-i2609607133.html", "https://www.lazada.vn/products/bot-pha-nuoc-trai-cay-khong-duong-crystal-light-60-goi-4-vi-i2609607133.html")</f>
        <v>https://www.lazada.vn/products/bot-pha-nuoc-trai-cay-khong-duong-crystal-light-60-goi-4-vi-i2609607133.html</v>
      </c>
      <c r="C9586" s="10" t="s">
        <v>9586</v>
      </c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>
      <c r="A9587" s="8">
        <v>14441.0</v>
      </c>
      <c r="B9587" s="9" t="str">
        <f>HYPERLINK("https://www.lazada.vn/products/combo-mi-nhat-i2727607772.html", "https://www.lazada.vn/products/combo-mi-nhat-i2727607772.html")</f>
        <v>https://www.lazada.vn/products/combo-mi-nhat-i2727607772.html</v>
      </c>
      <c r="C9587" s="10" t="s">
        <v>9587</v>
      </c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>
      <c r="A9588" s="8">
        <v>14442.0</v>
      </c>
      <c r="B9588" s="9" t="str">
        <f>HYPERLINK("https://www.lazada.vn/products/bot-cacao-nguyen-chat-cao-cap-dtfood-1kg-2-hop-500g-i749016542.html", "https://www.lazada.vn/products/bot-cacao-nguyen-chat-cao-cap-dtfood-1kg-2-hop-500g-i749016542.html")</f>
        <v>https://www.lazada.vn/products/bot-cacao-nguyen-chat-cao-cap-dtfood-1kg-2-hop-500g-i749016542.html</v>
      </c>
      <c r="C9588" s="10" t="s">
        <v>9588</v>
      </c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>
      <c r="A9589" s="8">
        <v>14443.0</v>
      </c>
      <c r="B9589" s="9" t="str">
        <f>HYPERLINK("https://www.lazada.vn/products/thung-24-lon-nuoc-ngot-vi-nguyen-ban-original-taste-coca-cola-320ml-i1796338439.html", "https://www.lazada.vn/products/thung-24-lon-nuoc-ngot-vi-nguyen-ban-original-taste-coca-cola-320ml-i1796338439.html")</f>
        <v>https://www.lazada.vn/products/thung-24-lon-nuoc-ngot-vi-nguyen-ban-original-taste-coca-cola-320ml-i1796338439.html</v>
      </c>
      <c r="C9589" s="10" t="s">
        <v>9589</v>
      </c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>
      <c r="A9590" s="8">
        <v>14444.0</v>
      </c>
      <c r="B9590" s="9" t="str">
        <f>HYPERLINK("https://www.lazada.vn/products/olives-dap-huong-ot-phoi-nang-marinated-olives-no-kernel-spanish-marinated-olives-350g-dung-de-lam-cocktail-bar-snacks-i2923866016.html", "https://www.lazada.vn/products/olives-dap-huong-ot-phoi-nang-marinated-olives-no-kernel-spanish-marinated-olives-350g-dung-de-lam-cocktail-bar-snacks-i2923866016.html")</f>
        <v>https://www.lazada.vn/products/olives-dap-huong-ot-phoi-nang-marinated-olives-no-kernel-spanish-marinated-olives-350g-dung-de-lam-cocktail-bar-snacks-i2923866016.html</v>
      </c>
      <c r="C9590" s="10" t="s">
        <v>9590</v>
      </c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>
      <c r="A9591" s="8">
        <v>14445.0</v>
      </c>
      <c r="B9591" s="9" t="str">
        <f>HYPERLINK("https://www.lazada.vn/products/hn-mit-say-vinamit-210g-i2830045144.html", "https://www.lazada.vn/products/hn-mit-say-vinamit-210g-i2830045144.html")</f>
        <v>https://www.lazada.vn/products/hn-mit-say-vinamit-210g-i2830045144.html</v>
      </c>
      <c r="C9591" s="10" t="s">
        <v>9591</v>
      </c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>
      <c r="A9592" s="8">
        <v>14446.0</v>
      </c>
      <c r="B9592" s="9" t="str">
        <f>HYPERLINK("https://www.lazada.vn/products/khoai-tay-rong-bien-i2633098448.html", "https://www.lazada.vn/products/khoai-tay-rong-bien-i2633098448.html")</f>
        <v>https://www.lazada.vn/products/khoai-tay-rong-bien-i2633098448.html</v>
      </c>
      <c r="C9592" s="10" t="s">
        <v>9592</v>
      </c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>
      <c r="A9593" s="8">
        <v>14447.0</v>
      </c>
      <c r="B9593" s="9" t="str">
        <f>HYPERLINK("https://www.lazada.vn/products/lo-6-chai-nuoc-tang-luc-compact-330mlchai-i1453518092.html", "https://www.lazada.vn/products/lo-6-chai-nuoc-tang-luc-compact-330mlchai-i1453518092.html")</f>
        <v>https://www.lazada.vn/products/lo-6-chai-nuoc-tang-luc-compact-330mlchai-i1453518092.html</v>
      </c>
      <c r="C9593" s="10" t="s">
        <v>9593</v>
      </c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>
      <c r="A9594" s="8">
        <v>14448.0</v>
      </c>
      <c r="B9594" s="9" t="str">
        <f>HYPERLINK("https://www.lazada.vn/products/vien-ngam-gung-gio-duong-phen-mat-ong-dak-lak-chinh-hieu-vi-cay-diu-nhe-giam-ho-dau-bung-kinh-giai-cam-i-kho-thao-duoc-24h-i2655199937.html", "https://www.lazada.vn/products/vien-ngam-gung-gio-duong-phen-mat-ong-dak-lak-chinh-hieu-vi-cay-diu-nhe-giam-ho-dau-bung-kinh-giai-cam-i-kho-thao-duoc-24h-i2655199937.html")</f>
        <v>https://www.lazada.vn/products/vien-ngam-gung-gio-duong-phen-mat-ong-dak-lak-chinh-hieu-vi-cay-diu-nhe-giam-ho-dau-bung-kinh-giai-cam-i-kho-thao-duoc-24h-i2655199937.html</v>
      </c>
      <c r="C9594" s="10" t="s">
        <v>9594</v>
      </c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>
      <c r="A9595" s="8">
        <v>14449.0</v>
      </c>
      <c r="B9595" s="9" t="str">
        <f>HYPERLINK("https://www.lazada.vn/products/muc-hap-nuoc-dua-xe-soi-300gr-i1675248779.html", "https://www.lazada.vn/products/muc-hap-nuoc-dua-xe-soi-300gr-i1675248779.html")</f>
        <v>https://www.lazada.vn/products/muc-hap-nuoc-dua-xe-soi-300gr-i1675248779.html</v>
      </c>
      <c r="C9595" s="10" t="s">
        <v>9595</v>
      </c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>
      <c r="A9596" s="8">
        <v>14450.0</v>
      </c>
      <c r="B9596" s="9" t="str">
        <f>HYPERLINK("https://www.lazada.vn/products/chai-1-lit-ruou-ngam-ba-kich-tim-quang-ninh-cot-dam-dac-thao-duoc-nang-cao-sinh-luc-i2605677919.html", "https://www.lazada.vn/products/chai-1-lit-ruou-ngam-ba-kich-tim-quang-ninh-cot-dam-dac-thao-duoc-nang-cao-sinh-luc-i2605677919.html")</f>
        <v>https://www.lazada.vn/products/chai-1-lit-ruou-ngam-ba-kich-tim-quang-ninh-cot-dam-dac-thao-duoc-nang-cao-sinh-luc-i2605677919.html</v>
      </c>
      <c r="C9596" s="10" t="s">
        <v>9596</v>
      </c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>
      <c r="A9597" s="8">
        <v>14451.0</v>
      </c>
      <c r="B9597" s="9" t="str">
        <f>HYPERLINK("https://www.lazada.vn/products/thach-rau-cau-trai-cay-assorted-natural-fruit-jelly-date-2024-eds-mart-i2009130817.html", "https://www.lazada.vn/products/thach-rau-cau-trai-cay-assorted-natural-fruit-jelly-date-2024-eds-mart-i2009130817.html")</f>
        <v>https://www.lazada.vn/products/thach-rau-cau-trai-cay-assorted-natural-fruit-jelly-date-2024-eds-mart-i2009130817.html</v>
      </c>
      <c r="C9597" s="10" t="s">
        <v>9597</v>
      </c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>
      <c r="A9598" s="8">
        <v>14452.0</v>
      </c>
      <c r="B9598" s="9" t="str">
        <f>HYPERLINK("https://www.lazada.vn/products/meet-1-thung-bia-corny-khoa-khilong-ngat-ket-noi-cho-bia-nha-kieu-cornelius-i2743734233.html", "https://www.lazada.vn/products/meet-1-thung-bia-corny-khoa-khilong-ngat-ket-noi-cho-bia-nha-kieu-cornelius-i2743734233.html")</f>
        <v>https://www.lazada.vn/products/meet-1-thung-bia-corny-khoa-khilong-ngat-ket-noi-cho-bia-nha-kieu-cornelius-i2743734233.html</v>
      </c>
      <c r="C9598" s="10" t="s">
        <v>9598</v>
      </c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>
      <c r="A9599" s="8">
        <v>14453.0</v>
      </c>
      <c r="B9599" s="9" t="str">
        <f>HYPERLINK("https://www.lazada.vn/products/banh-gao-dinh-duong-kun-1134-g-14-goi-i2806721429.html", "https://www.lazada.vn/products/banh-gao-dinh-duong-kun-1134-g-14-goi-i2806721429.html")</f>
        <v>https://www.lazada.vn/products/banh-gao-dinh-duong-kun-1134-g-14-goi-i2806721429.html</v>
      </c>
      <c r="C9599" s="10" t="s">
        <v>9599</v>
      </c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>
      <c r="A9600" s="8">
        <v>14454.0</v>
      </c>
      <c r="B9600" s="9" t="str">
        <f>HYPERLINK("https://www.lazada.vn/products/1kg-keo-socola-hinh-dua-hau_-keo-tet500g200g-i2852504077.html", "https://www.lazada.vn/products/1kg-keo-socola-hinh-dua-hau_-keo-tet500g200g-i2852504077.html")</f>
        <v>https://www.lazada.vn/products/1kg-keo-socola-hinh-dua-hau_-keo-tet500g200g-i2852504077.html</v>
      </c>
      <c r="C9600" s="10" t="s">
        <v>9600</v>
      </c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>
      <c r="A9601" s="8">
        <v>14455.0</v>
      </c>
      <c r="B9601" s="9" t="str">
        <f>HYPERLINK("https://www.lazada.vn/products/san-25-banh-mix-dai-loan-khong-trung-vi-beegin-mart-i2512722129.html", "https://www.lazada.vn/products/san-25-banh-mix-dai-loan-khong-trung-vi-beegin-mart-i2512722129.html")</f>
        <v>https://www.lazada.vn/products/san-25-banh-mix-dai-loan-khong-trung-vi-beegin-mart-i2512722129.html</v>
      </c>
      <c r="C9601" s="10" t="s">
        <v>9601</v>
      </c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>
      <c r="A9602" s="8">
        <v>14456.0</v>
      </c>
      <c r="B9602" s="9" t="str">
        <f>HYPERLINK("https://www.lazada.vn/products/bot-rau-ma-dau-xanh-cot-dua-100g-200g-300g-i2608926950.html", "https://www.lazada.vn/products/bot-rau-ma-dau-xanh-cot-dua-100g-200g-300g-i2608926950.html")</f>
        <v>https://www.lazada.vn/products/bot-rau-ma-dau-xanh-cot-dua-100g-200g-300g-i2608926950.html</v>
      </c>
      <c r="C9602" s="10" t="s">
        <v>9602</v>
      </c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>
      <c r="A9603" s="8">
        <v>14457.0</v>
      </c>
      <c r="B9603" s="9" t="str">
        <f>HYPERLINK("https://www.lazada.vn/products/com-chay-mix-kho-ga-la-chanh-hop-500gram-an-vat-nha-lam-i2115016360.html", "https://www.lazada.vn/products/com-chay-mix-kho-ga-la-chanh-hop-500gram-an-vat-nha-lam-i2115016360.html")</f>
        <v>https://www.lazada.vn/products/com-chay-mix-kho-ga-la-chanh-hop-500gram-an-vat-nha-lam-i2115016360.html</v>
      </c>
      <c r="C9603" s="10" t="s">
        <v>9603</v>
      </c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>
      <c r="A9604" s="8">
        <v>14458.0</v>
      </c>
      <c r="B9604" s="9" t="str">
        <f>HYPERLINK("https://www.lazada.vn/products/ca-phe-nam-linh-chi-dong-trung-ha-thao-nhat-kim-anh-i2607923335.html", "https://www.lazada.vn/products/ca-phe-nam-linh-chi-dong-trung-ha-thao-nhat-kim-anh-i2607923335.html")</f>
        <v>https://www.lazada.vn/products/ca-phe-nam-linh-chi-dong-trung-ha-thao-nhat-kim-anh-i2607923335.html</v>
      </c>
      <c r="C9604" s="10" t="s">
        <v>9604</v>
      </c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>
      <c r="A9605" s="8">
        <v>14459.0</v>
      </c>
      <c r="B9605" s="9" t="str">
        <f>HYPERLINK("https://www.lazada.vn/products/keo-socola-draff-hop-thiec-vuong-cao-180g-giao-mau-ngau-nhien-i2849961775.html", "https://www.lazada.vn/products/keo-socola-draff-hop-thiec-vuong-cao-180g-giao-mau-ngau-nhien-i2849961775.html")</f>
        <v>https://www.lazada.vn/products/keo-socola-draff-hop-thiec-vuong-cao-180g-giao-mau-ngau-nhien-i2849961775.html</v>
      </c>
      <c r="C9605" s="10" t="s">
        <v>9605</v>
      </c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>
      <c r="A9606" s="8">
        <v>14460.0</v>
      </c>
      <c r="B9606" s="9" t="str">
        <f>HYPERLINK("https://www.lazada.vn/products/thung-24-lon-nuoc-ngot-khong-calo-zero-calories-pepsi-320ml-i1791526432.html", "https://www.lazada.vn/products/thung-24-lon-nuoc-ngot-khong-calo-zero-calories-pepsi-320ml-i1791526432.html")</f>
        <v>https://www.lazada.vn/products/thung-24-lon-nuoc-ngot-khong-calo-zero-calories-pepsi-320ml-i1791526432.html</v>
      </c>
      <c r="C9606" s="10" t="s">
        <v>9606</v>
      </c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>
      <c r="A9607" s="8">
        <v>14461.0</v>
      </c>
      <c r="B9607" s="9" t="str">
        <f>HYPERLINK("https://www.lazada.vn/products/mi-kim-chi-nongshim-han-quoc-bat-86g-86g-i2724901231.html", "https://www.lazada.vn/products/mi-kim-chi-nongshim-han-quoc-bat-86g-86g-i2724901231.html")</f>
        <v>https://www.lazada.vn/products/mi-kim-chi-nongshim-han-quoc-bat-86g-86g-i2724901231.html</v>
      </c>
      <c r="C9607" s="10" t="s">
        <v>9607</v>
      </c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>
      <c r="A9608" s="8">
        <v>14462.0</v>
      </c>
      <c r="B9608" s="9" t="str">
        <f>HYPERLINK("https://www.lazada.vn/products/loc-6-chai-nuoc-giai-khat-tang-luc-wake-up-247-vi-ca-phe-6x330ml-i1453500215.html", "https://www.lazada.vn/products/loc-6-chai-nuoc-giai-khat-tang-luc-wake-up-247-vi-ca-phe-6x330ml-i1453500215.html")</f>
        <v>https://www.lazada.vn/products/loc-6-chai-nuoc-giai-khat-tang-luc-wake-up-247-vi-ca-phe-6x330ml-i1453500215.html</v>
      </c>
      <c r="C9608" s="10" t="s">
        <v>9608</v>
      </c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>
      <c r="A9609" s="8">
        <v>14463.0</v>
      </c>
      <c r="B9609" s="9" t="str">
        <f>HYPERLINK("https://www.lazada.vn/products/bot-cacao-nguyen-chat-cao-cap-dtfood-500g-i748952276.html", "https://www.lazada.vn/products/bot-cacao-nguyen-chat-cao-cap-dtfood-500g-i748952276.html")</f>
        <v>https://www.lazada.vn/products/bot-cacao-nguyen-chat-cao-cap-dtfood-500g-i748952276.html</v>
      </c>
      <c r="C9609" s="10" t="s">
        <v>9609</v>
      </c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>
      <c r="A9610" s="8">
        <v>14464.0</v>
      </c>
      <c r="B9610" s="9" t="str">
        <f>HYPERLINK("https://www.lazada.vn/products/snack-khoai-tay-lon-lays-stax-vi-tom-hum-nuong-ngu-vi-100g-i2632381318.html", "https://www.lazada.vn/products/snack-khoai-tay-lon-lays-stax-vi-tom-hum-nuong-ngu-vi-100g-i2632381318.html")</f>
        <v>https://www.lazada.vn/products/snack-khoai-tay-lon-lays-stax-vi-tom-hum-nuong-ngu-vi-100g-i2632381318.html</v>
      </c>
      <c r="C9610" s="10" t="s">
        <v>9610</v>
      </c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>
      <c r="A9611" s="8">
        <v>14465.0</v>
      </c>
      <c r="B9611" s="9" t="str">
        <f>HYPERLINK("https://www.lazada.vn/products/hn-trai-cay-say-vinamit-250g-i2830019217.html", "https://www.lazada.vn/products/hn-trai-cay-say-vinamit-250g-i2830019217.html")</f>
        <v>https://www.lazada.vn/products/hn-trai-cay-say-vinamit-250g-i2830019217.html</v>
      </c>
      <c r="C9611" s="10" t="s">
        <v>9611</v>
      </c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>
      <c r="A9612" s="8">
        <v>14466.0</v>
      </c>
      <c r="B9612" s="9" t="str">
        <f>HYPERLINK("https://www.lazada.vn/products/olives-marinated-in-vinegar-350g-no-seed-green-olives-for-bar-cocktails-pickled-vegetable-marinated-food-spanish-rimal-pickles-i2923854170.html", "https://www.lazada.vn/products/olives-marinated-in-vinegar-350g-no-seed-green-olives-for-bar-cocktails-pickled-vegetable-marinated-food-spanish-rimal-pickles-i2923854170.html")</f>
        <v>https://www.lazada.vn/products/olives-marinated-in-vinegar-350g-no-seed-green-olives-for-bar-cocktails-pickled-vegetable-marinated-food-spanish-rimal-pickles-i2923854170.html</v>
      </c>
      <c r="C9612" s="10" t="s">
        <v>9612</v>
      </c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>
      <c r="A9613" s="8">
        <v>14467.0</v>
      </c>
      <c r="B9613" s="9" t="str">
        <f>HYPERLINK("https://www.lazada.vn/products/keo-sap-nhan-trai-cay-goi-nho-6-vien-i2654906979.html", "https://www.lazada.vn/products/keo-sap-nhan-trai-cay-goi-nho-6-vien-i2654906979.html")</f>
        <v>https://www.lazada.vn/products/keo-sap-nhan-trai-cay-goi-nho-6-vien-i2654906979.html</v>
      </c>
      <c r="C9613" s="10" t="s">
        <v>9613</v>
      </c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>
      <c r="A9614" s="8">
        <v>14468.0</v>
      </c>
      <c r="B9614" s="9" t="str">
        <f>HYPERLINK("https://www.lazada.vn/products/dua-mam-500-gram-nha-lamngam-mam-ngot-hoac-mam-nem-tuy-khach-i1674157175.html", "https://www.lazada.vn/products/dua-mam-500-gram-nha-lamngam-mam-ngot-hoac-mam-nem-tuy-khach-i1674157175.html")</f>
        <v>https://www.lazada.vn/products/dua-mam-500-gram-nha-lamngam-mam-ngot-hoac-mam-nem-tuy-khach-i1674157175.html</v>
      </c>
      <c r="C9614" s="10" t="s">
        <v>9614</v>
      </c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>
      <c r="A9615" s="8">
        <v>14469.0</v>
      </c>
      <c r="B9615" s="9" t="str">
        <f>HYPERLINK("https://www.lazada.vn/products/lo-hoi-thao-moc-co-dac-huong-quyt-i2605284959.html", "https://www.lazada.vn/products/lo-hoi-thao-moc-co-dac-huong-quyt-i2605284959.html")</f>
        <v>https://www.lazada.vn/products/lo-hoi-thao-moc-co-dac-huong-quyt-i2605284959.html</v>
      </c>
      <c r="C9615" s="10" t="s">
        <v>9615</v>
      </c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>
      <c r="A9616" s="8">
        <v>14470.0</v>
      </c>
      <c r="B9616" s="9" t="str">
        <f>HYPERLINK("https://www.lazada.vn/products/nha-dam-duong-phen-wonderful-hop-850g-topping-cho-che-ngon-la-mieng-nguyen-lieu-tra-sua-i1999672771.html", "https://www.lazada.vn/products/nha-dam-duong-phen-wonderful-hop-850g-topping-cho-che-ngon-la-mieng-nguyen-lieu-tra-sua-i1999672771.html")</f>
        <v>https://www.lazada.vn/products/nha-dam-duong-phen-wonderful-hop-850g-topping-cho-che-ngon-la-mieng-nguyen-lieu-tra-sua-i1999672771.html</v>
      </c>
      <c r="C9616" s="10" t="s">
        <v>9616</v>
      </c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>
      <c r="A9617" s="8">
        <v>14471.0</v>
      </c>
      <c r="B9617" s="9" t="str">
        <f>HYPERLINK("https://www.lazada.vn/products/shounahecheap-1-thung-bia-corny-khoa-khilong-ngat-ket-noi-cho-bia-nha-kieu-cornelius-i2743635754.html", "https://www.lazada.vn/products/shounahecheap-1-thung-bia-corny-khoa-khilong-ngat-ket-noi-cho-bia-nha-kieu-cornelius-i2743635754.html")</f>
        <v>https://www.lazada.vn/products/shounahecheap-1-thung-bia-corny-khoa-khilong-ngat-ket-noi-cho-bia-nha-kieu-cornelius-i2743635754.html</v>
      </c>
      <c r="C9617" s="10" t="s">
        <v>9617</v>
      </c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>
      <c r="A9618" s="8">
        <v>14472.0</v>
      </c>
      <c r="B9618" s="9" t="str">
        <f>HYPERLINK("https://www.lazada.vn/products/banh-quy-gion-cha-bong-ga-richy-kenju-chicken-floss-crackers-goi-186g-i2805445154.html", "https://www.lazada.vn/products/banh-quy-gion-cha-bong-ga-richy-kenju-chicken-floss-crackers-goi-186g-i2805445154.html")</f>
        <v>https://www.lazada.vn/products/banh-quy-gion-cha-bong-ga-richy-kenju-chicken-floss-crackers-goi-186g-i2805445154.html</v>
      </c>
      <c r="C9618" s="10" t="s">
        <v>9618</v>
      </c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>
      <c r="A9619" s="8">
        <v>14473.0</v>
      </c>
      <c r="B9619" s="9" t="str">
        <f>HYPERLINK("https://www.lazada.vn/products/san-25-banh-mix-dai-loan-khong-trung-vi-store-gia-ngan-i2512721231.html", "https://www.lazada.vn/products/san-25-banh-mix-dai-loan-khong-trung-vi-store-gia-ngan-i2512721231.html")</f>
        <v>https://www.lazada.vn/products/san-25-banh-mix-dai-loan-khong-trung-vi-store-gia-ngan-i2512721231.html</v>
      </c>
      <c r="C9619" s="10" t="s">
        <v>9619</v>
      </c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>
      <c r="A9620" s="8">
        <v>14474.0</v>
      </c>
      <c r="B9620" s="9" t="str">
        <f>HYPERLINK("https://www.lazada.vn/products/combo-4-goi-snack-muc-bento-4gr-i2111367701.html", "https://www.lazada.vn/products/combo-4-goi-snack-muc-bento-4gr-i2111367701.html")</f>
        <v>https://www.lazada.vn/products/combo-4-goi-snack-muc-bento-4gr-i2111367701.html</v>
      </c>
      <c r="C9620" s="10" t="s">
        <v>9620</v>
      </c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>
      <c r="A9621" s="8">
        <v>14475.0</v>
      </c>
      <c r="B9621" s="9" t="str">
        <f>HYPERLINK("https://www.lazada.vn/products/goi-chiet-le-100g-bot-socola-hieu-king-chiet-tu-goi-1kg-pha-che-cac-mon-nuoc-tra-sua-socola-da-xay-kem-banh-gia-store-i735276435.html", "https://www.lazada.vn/products/goi-chiet-le-100g-bot-socola-hieu-king-chiet-tu-goi-1kg-pha-che-cac-mon-nuoc-tra-sua-socola-da-xay-kem-banh-gia-store-i735276435.html")</f>
        <v>https://www.lazada.vn/products/goi-chiet-le-100g-bot-socola-hieu-king-chiet-tu-goi-1kg-pha-che-cac-mon-nuoc-tra-sua-socola-da-xay-kem-banh-gia-store-i735276435.html</v>
      </c>
      <c r="C9621" s="10" t="s">
        <v>9621</v>
      </c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>
      <c r="A9622" s="8">
        <v>14476.0</v>
      </c>
      <c r="B9622" s="9" t="str">
        <f>HYPERLINK("https://www.lazada.vn/products/thung-24-lon-bo-huc-redbull-250mllon-i1453498197.html", "https://www.lazada.vn/products/thung-24-lon-bo-huc-redbull-250mllon-i1453498197.html")</f>
        <v>https://www.lazada.vn/products/thung-24-lon-bo-huc-redbull-250mllon-i1453498197.html</v>
      </c>
      <c r="C9622" s="10" t="s">
        <v>9622</v>
      </c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>
      <c r="A9623" s="8">
        <v>14477.0</v>
      </c>
      <c r="B9623" s="9" t="str">
        <f>HYPERLINK("https://www.lazada.vn/products/milo-bot-hu-nguyen-chat-400g-i733994296.html", "https://www.lazada.vn/products/milo-bot-hu-nguyen-chat-400g-i733994296.html")</f>
        <v>https://www.lazada.vn/products/milo-bot-hu-nguyen-chat-400g-i733994296.html</v>
      </c>
      <c r="C9623" s="10" t="s">
        <v>9623</v>
      </c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>
      <c r="A9624" s="8">
        <v>14478.0</v>
      </c>
      <c r="B9624" s="9" t="str">
        <f>HYPERLINK("https://www.lazada.vn/products/nuoc-giai-khat-tang-luc-chanh-muoi-number1-455ml-i1453484276.html", "https://www.lazada.vn/products/nuoc-giai-khat-tang-luc-chanh-muoi-number1-455ml-i1453484276.html")</f>
        <v>https://www.lazada.vn/products/nuoc-giai-khat-tang-luc-chanh-muoi-number1-455ml-i1453484276.html</v>
      </c>
      <c r="C9624" s="10" t="s">
        <v>9624</v>
      </c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>
      <c r="A9625" s="8">
        <v>14479.0</v>
      </c>
      <c r="B9625" s="9" t="str">
        <f>HYPERLINK("https://www.lazada.vn/products/hop-banh-lat-khoai-tay-slide-vi-pho-mai-90g-i2631684109.html", "https://www.lazada.vn/products/hop-banh-lat-khoai-tay-slide-vi-pho-mai-90g-i2631684109.html")</f>
        <v>https://www.lazada.vn/products/hop-banh-lat-khoai-tay-slide-vi-pho-mai-90g-i2631684109.html</v>
      </c>
      <c r="C9625" s="10" t="s">
        <v>9625</v>
      </c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>
      <c r="A9626" s="8">
        <v>14480.0</v>
      </c>
      <c r="B9626" s="9" t="str">
        <f>HYPERLINK("https://www.lazada.vn/products/banh-sua-ba-vi-mix-vi-matchasocoladau-tayca-phe-it-duong-tui-500g34-thanh-i2642230003.html", "https://www.lazada.vn/products/banh-sua-ba-vi-mix-vi-matchasocoladau-tayca-phe-it-duong-tui-500g34-thanh-i2642230003.html")</f>
        <v>https://www.lazada.vn/products/banh-sua-ba-vi-mix-vi-matchasocoladau-tayca-phe-it-duong-tui-500g34-thanh-i2642230003.html</v>
      </c>
      <c r="C9626" s="10" t="s">
        <v>9626</v>
      </c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>
      <c r="A9627" s="8">
        <v>14481.0</v>
      </c>
      <c r="B9627" s="9" t="str">
        <f>HYPERLINK("https://www.lazada.vn/products/goi-100gr-keo-dua-sakura-beo-gion-ngay-sieu-hot-i2654741887.html", "https://www.lazada.vn/products/goi-100gr-keo-dua-sakura-beo-gion-ngay-sieu-hot-i2654741887.html")</f>
        <v>https://www.lazada.vn/products/goi-100gr-keo-dua-sakura-beo-gion-ngay-sieu-hot-i2654741887.html</v>
      </c>
      <c r="C9627" s="10" t="s">
        <v>9627</v>
      </c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>
      <c r="A9628" s="8">
        <v>14482.0</v>
      </c>
      <c r="B9628" s="9" t="str">
        <f>HYPERLINK("https://www.lazada.vn/products/bot-san-day-500g-1kg-i2608855069.html", "https://www.lazada.vn/products/bot-san-day-500g-1kg-i2608855069.html")</f>
        <v>https://www.lazada.vn/products/bot-san-day-500g-1kg-i2608855069.html</v>
      </c>
      <c r="C9628" s="10" t="s">
        <v>9628</v>
      </c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>
      <c r="A9629" s="8">
        <v>14483.0</v>
      </c>
      <c r="B9629" s="9" t="str">
        <f>HYPERLINK("https://www.lazada.vn/products/cafe-hoa-tan-black-kopiko-2in1-cafe-den-kopiko-hang-thai-lan-bich-20-goi-nho-200g-re-vo-dich-i2607790010.html", "https://www.lazada.vn/products/cafe-hoa-tan-black-kopiko-2in1-cafe-den-kopiko-hang-thai-lan-bich-20-goi-nho-200g-re-vo-dich-i2607790010.html")</f>
        <v>https://www.lazada.vn/products/cafe-hoa-tan-black-kopiko-2in1-cafe-den-kopiko-hang-thai-lan-bich-20-goi-nho-200g-re-vo-dich-i2607790010.html</v>
      </c>
      <c r="C9629" s="10" t="s">
        <v>9629</v>
      </c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>
      <c r="A9630" s="8">
        <v>14484.0</v>
      </c>
      <c r="B9630" s="9" t="str">
        <f>HYPERLINK("https://www.lazada.vn/products/combo-05-goi-mi-omachi-khoai-tay-sot-bo-ham-i2724764632.html", "https://www.lazada.vn/products/combo-05-goi-mi-omachi-khoai-tay-sot-bo-ham-i2724764632.html")</f>
        <v>https://www.lazada.vn/products/combo-05-goi-mi-omachi-khoai-tay-sot-bo-ham-i2724764632.html</v>
      </c>
      <c r="C9630" s="10" t="s">
        <v>9630</v>
      </c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>
      <c r="A9631" s="8">
        <v>14485.0</v>
      </c>
      <c r="B9631" s="9" t="str">
        <f>HYPERLINK("https://www.lazada.vn/products/gia-huy-diet-combo-2-hu-mam-muc-ngon-loai-1-quang-ngai-1kg-i1674081404.html", "https://www.lazada.vn/products/gia-huy-diet-combo-2-hu-mam-muc-ngon-loai-1-quang-ngai-1kg-i1674081404.html")</f>
        <v>https://www.lazada.vn/products/gia-huy-diet-combo-2-hu-mam-muc-ngon-loai-1-quang-ngai-1kg-i1674081404.html</v>
      </c>
      <c r="C9631" s="10" t="s">
        <v>9631</v>
      </c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>
      <c r="A9632" s="8">
        <v>14486.0</v>
      </c>
      <c r="B9632" s="9" t="str">
        <f>HYPERLINK("https://www.lazada.vn/products/thung-24-lon-nuoc-ngot-khong-calo-vi-chanh-lemon-zero-calories-pepsi-320ml-i1791495710.html", "https://www.lazada.vn/products/thung-24-lon-nuoc-ngot-khong-calo-vi-chanh-lemon-zero-calories-pepsi-320ml-i1791495710.html")</f>
        <v>https://www.lazada.vn/products/thung-24-lon-nuoc-ngot-khong-calo-vi-chanh-lemon-zero-calories-pepsi-320ml-i1791495710.html</v>
      </c>
      <c r="C9632" s="10" t="s">
        <v>9632</v>
      </c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>
      <c r="A9633" s="8">
        <v>14487.0</v>
      </c>
      <c r="B9633" s="9" t="str">
        <f>HYPERLINK("https://www.lazada.vn/products/socola-hon-hop-snickers-milky-way-tiwx-mm-cua-my-hop-30-goi-trong-luong-1550gr-i2849944398.html", "https://www.lazada.vn/products/socola-hon-hop-snickers-milky-way-tiwx-mm-cua-my-hop-30-goi-trong-luong-1550gr-i2849944398.html")</f>
        <v>https://www.lazada.vn/products/socola-hon-hop-snickers-milky-way-tiwx-mm-cua-my-hop-30-goi-trong-luong-1550gr-i2849944398.html</v>
      </c>
      <c r="C9633" s="10" t="s">
        <v>9633</v>
      </c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>
      <c r="A9634" s="8">
        <v>14488.0</v>
      </c>
      <c r="B9634" s="9" t="str">
        <f>HYPERLINK("https://www.lazada.vn/products/tomato-dried-snack-natural-wind-dried-sweet-and-sour-delicious-strawberry-tomato-paste-salted-class-loose-packaging-xinjiang-direct-i2923853077.html", "https://www.lazada.vn/products/tomato-dried-snack-natural-wind-dried-sweet-and-sour-delicious-strawberry-tomato-paste-salted-class-loose-packaging-xinjiang-direct-i2923853077.html")</f>
        <v>https://www.lazada.vn/products/tomato-dried-snack-natural-wind-dried-sweet-and-sour-delicious-strawberry-tomato-paste-salted-class-loose-packaging-xinjiang-direct-i2923853077.html</v>
      </c>
      <c r="C9634" s="10" t="s">
        <v>9634</v>
      </c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>
      <c r="A9635" s="8">
        <v>14489.0</v>
      </c>
      <c r="B9635" s="9" t="str">
        <f>HYPERLINK("https://www.lazada.vn/products/loc-6-chai-sam-bi-dao-kim-tan-500-ml-i2604443016.html", "https://www.lazada.vn/products/loc-6-chai-sam-bi-dao-kim-tan-500-ml-i2604443016.html")</f>
        <v>https://www.lazada.vn/products/loc-6-chai-sam-bi-dao-kim-tan-500-ml-i2604443016.html</v>
      </c>
      <c r="C9635" s="10" t="s">
        <v>9635</v>
      </c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>
      <c r="A9636" s="8">
        <v>14490.0</v>
      </c>
      <c r="B9636" s="9" t="str">
        <f>HYPERLINK("https://www.lazada.vn/products/remai-1-thung-bia-corny-khoa-khilong-ngat-ket-noi-cho-bia-nha-kieu-cornelius-i2742164546.html", "https://www.lazada.vn/products/remai-1-thung-bia-corny-khoa-khilong-ngat-ket-noi-cho-bia-nha-kieu-cornelius-i2742164546.html")</f>
        <v>https://www.lazada.vn/products/remai-1-thung-bia-corny-khoa-khilong-ngat-ket-noi-cho-bia-nha-kieu-cornelius-i2742164546.html</v>
      </c>
      <c r="C9636" s="10" t="s">
        <v>9636</v>
      </c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>
      <c r="A9637" s="8">
        <v>14491.0</v>
      </c>
      <c r="B9637" s="9" t="str">
        <f>HYPERLINK("https://www.lazada.vn/products/banh-quy-kenju-richy-vi-rau-cu-tui-192g-16-goi-x-12g-i2804976796.html", "https://www.lazada.vn/products/banh-quy-kenju-richy-vi-rau-cu-tui-192g-16-goi-x-12g-i2804976796.html")</f>
        <v>https://www.lazada.vn/products/banh-quy-kenju-richy-vi-rau-cu-tui-192g-16-goi-x-12g-i2804976796.html</v>
      </c>
      <c r="C9637" s="10" t="s">
        <v>9637</v>
      </c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>
      <c r="A9638" s="8">
        <v>14492.0</v>
      </c>
      <c r="B9638" s="9" t="str">
        <f>HYPERLINK("https://www.lazada.vn/products/hn-trai-cay-say-vinamit-250g-i2830003239.html", "https://www.lazada.vn/products/hn-trai-cay-say-vinamit-250g-i2830003239.html")</f>
        <v>https://www.lazada.vn/products/hn-trai-cay-say-vinamit-250g-i2830003239.html</v>
      </c>
      <c r="C9638" s="10" t="s">
        <v>9638</v>
      </c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>
      <c r="A9639" s="8">
        <v>14493.0</v>
      </c>
      <c r="B9639" s="9" t="str">
        <f>HYPERLINK("https://www.lazada.vn/products/thach-zonzai-710gr-tap-hoa-song-tien-i1999036605.html", "https://www.lazada.vn/products/thach-zonzai-710gr-tap-hoa-song-tien-i1999036605.html")</f>
        <v>https://www.lazada.vn/products/thach-zonzai-710gr-tap-hoa-song-tien-i1999036605.html</v>
      </c>
      <c r="C9639" s="10" t="s">
        <v>9639</v>
      </c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>
      <c r="A9640" s="8">
        <v>14494.0</v>
      </c>
      <c r="B9640" s="9" t="str">
        <f>HYPERLINK("https://www.lazada.vn/products/1kg-banh-dui-ga-bo-cay-i2102244033.html", "https://www.lazada.vn/products/1kg-banh-dui-ga-bo-cay-i2102244033.html")</f>
        <v>https://www.lazada.vn/products/1kg-banh-dui-ga-bo-cay-i2102244033.html</v>
      </c>
      <c r="C9640" s="10" t="s">
        <v>9640</v>
      </c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>
      <c r="A9641" s="8">
        <v>14495.0</v>
      </c>
      <c r="B9641" s="9" t="str">
        <f>HYPERLINK("https://www.lazada.vn/products/bot-cacao-nguyen-chat-vua-cacao-thuong-hang-vi-dam-da-sanh-dac-trung-tot-cho-suc-khoe-250g-i703438893.html", "https://www.lazada.vn/products/bot-cacao-nguyen-chat-vua-cacao-thuong-hang-vi-dam-da-sanh-dac-trung-tot-cho-suc-khoe-250g-i703438893.html")</f>
        <v>https://www.lazada.vn/products/bot-cacao-nguyen-chat-vua-cacao-thuong-hang-vi-dam-da-sanh-dac-trung-tot-cho-suc-khoe-250g-i703438893.html</v>
      </c>
      <c r="C9641" s="10" t="s">
        <v>9641</v>
      </c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>
      <c r="A9642" s="8">
        <v>14496.0</v>
      </c>
      <c r="B9642" s="9" t="str">
        <f>HYPERLINK("https://www.lazada.vn/products/loc-6-chai-nuoc-tang-luc-rong-do-huong-dau-330ml-i1453444604.html", "https://www.lazada.vn/products/loc-6-chai-nuoc-tang-luc-rong-do-huong-dau-330ml-i1453444604.html")</f>
        <v>https://www.lazada.vn/products/loc-6-chai-nuoc-tang-luc-rong-do-huong-dau-330ml-i1453444604.html</v>
      </c>
      <c r="C9642" s="10" t="s">
        <v>9642</v>
      </c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>
      <c r="A9643" s="8">
        <v>14497.0</v>
      </c>
      <c r="B9643" s="9" t="str">
        <f>HYPERLINK("https://www.lazada.vn/products/banh-snack-doritos-lotte-84g-han-quoc-i2630130770.html", "https://www.lazada.vn/products/banh-snack-doritos-lotte-84g-han-quoc-i2630130770.html")</f>
        <v>https://www.lazada.vn/products/banh-snack-doritos-lotte-84g-han-quoc-i2630130770.html</v>
      </c>
      <c r="C9643" s="10" t="s">
        <v>9643</v>
      </c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>
      <c r="A9644" s="8">
        <v>14498.0</v>
      </c>
      <c r="B9644" s="9" t="str">
        <f>HYPERLINK("https://www.lazada.vn/products/hn-khoai-lang-say-vinamit-250g-i2829980269.html", "https://www.lazada.vn/products/hn-khoai-lang-say-vinamit-250g-i2829980269.html")</f>
        <v>https://www.lazada.vn/products/hn-khoai-lang-say-vinamit-250g-i2829980269.html</v>
      </c>
      <c r="C9644" s="10" t="s">
        <v>9644</v>
      </c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>
      <c r="A9645" s="8">
        <v>14499.0</v>
      </c>
      <c r="B9645" s="9" t="str">
        <f>HYPERLINK("https://www.lazada.vn/products/le-1-chiec-keo-sap-ong-nhan-mix-vi-trai-cay-i2654720753.html", "https://www.lazada.vn/products/le-1-chiec-keo-sap-ong-nhan-mix-vi-trai-cay-i2654720753.html")</f>
        <v>https://www.lazada.vn/products/le-1-chiec-keo-sap-ong-nhan-mix-vi-trai-cay-i2654720753.html</v>
      </c>
      <c r="C9645" s="10" t="s">
        <v>9645</v>
      </c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>
      <c r="A9646" s="8">
        <v>14500.0</v>
      </c>
      <c r="B9646" s="9" t="str">
        <f>HYPERLINK("https://www.lazada.vn/products/marlins-food-marinated-plum-ginger-liquor-olive-multiple-combinations-dried-fruit-snacks-nutritional-supplement-health-food-i2923829190.html", "https://www.lazada.vn/products/marlins-food-marinated-plum-ginger-liquor-olive-multiple-combinations-dried-fruit-snacks-nutritional-supplement-health-food-i2923829190.html")</f>
        <v>https://www.lazada.vn/products/marlins-food-marinated-plum-ginger-liquor-olive-multiple-combinations-dried-fruit-snacks-nutritional-supplement-health-food-i2923829190.html</v>
      </c>
      <c r="C9646" s="10" t="s">
        <v>9646</v>
      </c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>
      <c r="A9647" s="8">
        <v>14501.0</v>
      </c>
      <c r="B9647" s="9" t="str">
        <f>HYPERLINK("https://www.lazada.vn/products/gia-huy-diet-mam-nem-di-can-mam-chai-di-can-ngon-loai-1-500g-i1674061427.html", "https://www.lazada.vn/products/gia-huy-diet-mam-nem-di-can-mam-chai-di-can-ngon-loai-1-500g-i1674061427.html")</f>
        <v>https://www.lazada.vn/products/gia-huy-diet-mam-nem-di-can-mam-chai-di-can-ngon-loai-1-500g-i1674061427.html</v>
      </c>
      <c r="C9647" s="10" t="s">
        <v>9647</v>
      </c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>
      <c r="A9648" s="8">
        <v>14502.0</v>
      </c>
      <c r="B9648" s="9" t="str">
        <f>HYPERLINK("https://www.lazada.vn/products/san-25-banh-mix-dai-loan-khong-trung-vi-an-vat-beegin-i2512674438.html", "https://www.lazada.vn/products/san-25-banh-mix-dai-loan-khong-trung-vi-an-vat-beegin-i2512674438.html")</f>
        <v>https://www.lazada.vn/products/san-25-banh-mix-dai-loan-khong-trung-vi-an-vat-beegin-i2512674438.html</v>
      </c>
      <c r="C9648" s="10" t="s">
        <v>9648</v>
      </c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>
      <c r="A9649" s="8">
        <v>14503.0</v>
      </c>
      <c r="B9649" s="9" t="str">
        <f>HYPERLINK("https://www.lazada.vn/products/thach-sua-chua-duc-hanh-tui-900g-i1997517458.html", "https://www.lazada.vn/products/thach-sua-chua-duc-hanh-tui-900g-i1997517458.html")</f>
        <v>https://www.lazada.vn/products/thach-sua-chua-duc-hanh-tui-900g-i1997517458.html</v>
      </c>
      <c r="C9649" s="10" t="s">
        <v>9649</v>
      </c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>
      <c r="A9650" s="8">
        <v>14504.0</v>
      </c>
      <c r="B9650" s="9" t="str">
        <f>HYPERLINK("https://www.lazada.vn/products/thung-24-chai-nuoc-ngot-pepsi-390ml-i1791478667.html", "https://www.lazada.vn/products/thung-24-chai-nuoc-ngot-pepsi-390ml-i1791478667.html")</f>
        <v>https://www.lazada.vn/products/thung-24-chai-nuoc-ngot-pepsi-390ml-i1791478667.html</v>
      </c>
      <c r="C9650" s="10" t="s">
        <v>9650</v>
      </c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>
      <c r="A9651" s="8">
        <v>14505.0</v>
      </c>
      <c r="B9651" s="9" t="str">
        <f>HYPERLINK("https://www.lazada.vn/products/pho-bo-vifon-thung-30goi-date-luon-moi-i2724046133.html", "https://www.lazada.vn/products/pho-bo-vifon-thung-30goi-date-luon-moi-i2724046133.html")</f>
        <v>https://www.lazada.vn/products/pho-bo-vifon-thung-30goi-date-luon-moi-i2724046133.html</v>
      </c>
      <c r="C9651" s="10" t="s">
        <v>9651</v>
      </c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>
      <c r="A9652" s="8">
        <v>14506.0</v>
      </c>
      <c r="B9652" s="9" t="str">
        <f>HYPERLINK("https://www.lazada.vn/products/loc-6-chai-sam-thao-moc-kim-tan-500-ml-i2604404408.html", "https://www.lazada.vn/products/loc-6-chai-sam-thao-moc-kim-tan-500-ml-i2604404408.html")</f>
        <v>https://www.lazada.vn/products/loc-6-chai-sam-thao-moc-kim-tan-500-ml-i2604404408.html</v>
      </c>
      <c r="C9652" s="10" t="s">
        <v>9652</v>
      </c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>
      <c r="A9653" s="8">
        <v>14507.0</v>
      </c>
      <c r="B9653" s="9" t="str">
        <f>HYPERLINK("https://www.lazada.vn/products/nic-1-thung-bia-corny-khoa-khilong-ngat-ket-noi-cho-bia-nha-kieu-cornelius-i2742159587.html", "https://www.lazada.vn/products/nic-1-thung-bia-corny-khoa-khilong-ngat-ket-noi-cho-bia-nha-kieu-cornelius-i2742159587.html")</f>
        <v>https://www.lazada.vn/products/nic-1-thung-bia-corny-khoa-khilong-ngat-ket-noi-cho-bia-nha-kieu-cornelius-i2742159587.html</v>
      </c>
      <c r="C9653" s="10" t="s">
        <v>9653</v>
      </c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>
      <c r="A9654" s="8">
        <v>14508.0</v>
      </c>
      <c r="B9654" s="9" t="str">
        <f>HYPERLINK("https://www.lazada.vn/products/banh-cracker-afc-dinh-duong-vi-ga-sa-tac-hop-172g-i2804557448.html", "https://www.lazada.vn/products/banh-cracker-afc-dinh-duong-vi-ga-sa-tac-hop-172g-i2804557448.html")</f>
        <v>https://www.lazada.vn/products/banh-cracker-afc-dinh-duong-vi-ga-sa-tac-hop-172g-i2804557448.html</v>
      </c>
      <c r="C9654" s="10" t="s">
        <v>9654</v>
      </c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>
      <c r="A9655" s="8">
        <v>14509.0</v>
      </c>
      <c r="B9655" s="9" t="str">
        <f>HYPERLINK("https://www.lazada.vn/products/bot-cacao-nguyen-chat-viet-nam-khong-duong-heyday-tui-giay-200g-balanced-12-bo-cacao-tu-nhien-ho-tro-giam-can-keto-vi-socola-nguyen-ban-khong-huong-lieu-phu-gia-i689988792.html", "https://www.lazada.vn/products/bot-cacao-nguyen-chat-viet-nam-khong-duong-heyday-tui-giay-200g-balanced-12-bo-cacao-tu-nhien-ho-tro-giam-can-keto-vi-socola-nguyen-ban-khong-huong-lieu-phu-gia-i689988792.html")</f>
        <v>https://www.lazada.vn/products/bot-cacao-nguyen-chat-viet-nam-khong-duong-heyday-tui-giay-200g-balanced-12-bo-cacao-tu-nhien-ho-tro-giam-can-keto-vi-socola-nguyen-ban-khong-huong-lieu-phu-gia-i689988792.html</v>
      </c>
      <c r="C9655" s="10" t="s">
        <v>9655</v>
      </c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>
      <c r="A9656" s="8">
        <v>14510.0</v>
      </c>
      <c r="B9656" s="9" t="str">
        <f>HYPERLINK("https://www.lazada.vn/products/snack-tom-hanami-thai-lan-vi-ot-lon-110g-cam-i2627744184.html", "https://www.lazada.vn/products/snack-tom-hanami-thai-lan-vi-ot-lon-110g-cam-i2627744184.html")</f>
        <v>https://www.lazada.vn/products/snack-tom-hanami-thai-lan-vi-ot-lon-110g-cam-i2627744184.html</v>
      </c>
      <c r="C9656" s="10" t="s">
        <v>9656</v>
      </c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>
      <c r="A9657" s="8">
        <v>14511.0</v>
      </c>
      <c r="B9657" s="9" t="str">
        <f>HYPERLINK("https://www.lazada.vn/products/thung-24-chai-nuoc-tang-luc-rong-do-huong-dau-330ml-i1453439619.html", "https://www.lazada.vn/products/thung-24-chai-nuoc-tang-luc-rong-do-huong-dau-330ml-i1453439619.html")</f>
        <v>https://www.lazada.vn/products/thung-24-chai-nuoc-tang-luc-rong-do-huong-dau-330ml-i1453439619.html</v>
      </c>
      <c r="C9657" s="10" t="s">
        <v>9657</v>
      </c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>
      <c r="A9658" s="8">
        <v>14512.0</v>
      </c>
      <c r="B9658" s="9" t="str">
        <f>HYPERLINK("https://www.lazada.vn/products/banh-sua-chua-mix-vi-ba-vi-tui-500g-i2642155204.html", "https://www.lazada.vn/products/banh-sua-chua-mix-vi-ba-vi-tui-500g-i2642155204.html")</f>
        <v>https://www.lazada.vn/products/banh-sua-chua-mix-vi-ba-vi-tui-500g-i2642155204.html</v>
      </c>
      <c r="C9658" s="10" t="s">
        <v>9658</v>
      </c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>
      <c r="A9659" s="8">
        <v>14513.0</v>
      </c>
      <c r="B9659" s="9" t="str">
        <f>HYPERLINK("https://www.lazada.vn/products/hn-trai-cay-say-vinamit-100g-i2829947372.html", "https://www.lazada.vn/products/hn-trai-cay-say-vinamit-100g-i2829947372.html")</f>
        <v>https://www.lazada.vn/products/hn-trai-cay-say-vinamit-100g-i2829947372.html</v>
      </c>
      <c r="C9659" s="10" t="s">
        <v>9659</v>
      </c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>
      <c r="A9660" s="8">
        <v>14514.0</v>
      </c>
      <c r="B9660" s="9" t="str">
        <f>HYPERLINK("https://www.lazada.vn/products/1kg-ot-bot-kho-ngon-re-i1673678085.html", "https://www.lazada.vn/products/1kg-ot-bot-kho-ngon-re-i1673678085.html")</f>
        <v>https://www.lazada.vn/products/1kg-ot-bot-kho-ngon-re-i1673678085.html</v>
      </c>
      <c r="C9660" s="10" t="s">
        <v>9660</v>
      </c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>
      <c r="A9661" s="8">
        <v>14515.0</v>
      </c>
      <c r="B9661" s="9" t="str">
        <f>HYPERLINK("https://www.lazada.vn/products/san-25-banh-mix-dai-loan-khong-trung-vi-beegin-food-i2512658484.html", "https://www.lazada.vn/products/san-25-banh-mix-dai-loan-khong-trung-vi-beegin-food-i2512658484.html")</f>
        <v>https://www.lazada.vn/products/san-25-banh-mix-dai-loan-khong-trung-vi-beegin-food-i2512658484.html</v>
      </c>
      <c r="C9661" s="10" t="s">
        <v>9661</v>
      </c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>
      <c r="A9662" s="8">
        <v>14516.0</v>
      </c>
      <c r="B9662" s="9" t="str">
        <f>HYPERLINK("https://www.lazada.vn/products/thung-12-chai-nuoc-ngot-pepsi-15l-i1790768463.html", "https://www.lazada.vn/products/thung-12-chai-nuoc-ngot-pepsi-15l-i1790768463.html")</f>
        <v>https://www.lazada.vn/products/thung-12-chai-nuoc-ngot-pepsi-15l-i1790768463.html</v>
      </c>
      <c r="C9662" s="10" t="s">
        <v>9662</v>
      </c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>
      <c r="A9663" s="8">
        <v>14517.0</v>
      </c>
      <c r="B9663" s="9" t="str">
        <f>HYPERLINK("https://www.lazada.vn/products/thach-trai-cay-minion-fruit-pudding-hongkong-i1994447098.html", "https://www.lazada.vn/products/thach-trai-cay-minion-fruit-pudding-hongkong-i1994447098.html")</f>
        <v>https://www.lazada.vn/products/thach-trai-cay-minion-fruit-pudding-hongkong-i1994447098.html</v>
      </c>
      <c r="C9663" s="10" t="s">
        <v>9663</v>
      </c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>
      <c r="A9664" s="8">
        <v>14518.0</v>
      </c>
      <c r="B9664" s="9" t="str">
        <f>HYPERLINK("https://www.lazada.vn/products/mi-xao-tieu-nhi-thung-30goi-dam-chat-thom-ngon-giau-chat-dinh-duong-duoc-lam-bot-mi-100-cho-soi-mi-day-ngon-doc-dao-chuyeng-dung-lam-mi-xao-hai-san-i2723532566.html", "https://www.lazada.vn/products/mi-xao-tieu-nhi-thung-30goi-dam-chat-thom-ngon-giau-chat-dinh-duong-duoc-lam-bot-mi-100-cho-soi-mi-day-ngon-doc-dao-chuyeng-dung-lam-mi-xao-hai-san-i2723532566.html")</f>
        <v>https://www.lazada.vn/products/mi-xao-tieu-nhi-thung-30goi-dam-chat-thom-ngon-giau-chat-dinh-duong-duoc-lam-bot-mi-100-cho-soi-mi-day-ngon-doc-dao-chuyeng-dung-lam-mi-xao-hai-san-i2723532566.html</v>
      </c>
      <c r="C9664" s="10" t="s">
        <v>9664</v>
      </c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>
      <c r="A9665" s="8">
        <v>14519.0</v>
      </c>
      <c r="B9665" s="9" t="str">
        <f>HYPERLINK("https://www.lazada.vn/products/loc-6-chai-yen-suong-sao-kim-tan-500-ml-i2604330994.html", "https://www.lazada.vn/products/loc-6-chai-yen-suong-sao-kim-tan-500-ml-i2604330994.html")</f>
        <v>https://www.lazada.vn/products/loc-6-chai-yen-suong-sao-kim-tan-500-ml-i2604330994.html</v>
      </c>
      <c r="C9665" s="10" t="s">
        <v>9665</v>
      </c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>
      <c r="A9666" s="8">
        <v>14520.0</v>
      </c>
      <c r="B9666" s="9" t="str">
        <f>HYPERLINK("https://www.lazada.vn/products/bia-paulaner-oktoberfest-bier-6-nhap-khau-duc-loc-6-lon-500ml-i2741892554.html", "https://www.lazada.vn/products/bia-paulaner-oktoberfest-bier-6-nhap-khau-duc-loc-6-lon-500ml-i2741892554.html")</f>
        <v>https://www.lazada.vn/products/bia-paulaner-oktoberfest-bier-6-nhap-khau-duc-loc-6-lon-500ml-i2741892554.html</v>
      </c>
      <c r="C9666" s="10" t="s">
        <v>9666</v>
      </c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>
      <c r="A9667" s="8">
        <v>14521.0</v>
      </c>
      <c r="B9667" s="9" t="str">
        <f>HYPERLINK("https://www.lazada.vn/products/keo-hoa-hong-dep-da-thom-co-the-kracie-fuwarinka-i2654449313.html", "https://www.lazada.vn/products/keo-hoa-hong-dep-da-thom-co-the-kracie-fuwarinka-i2654449313.html")</f>
        <v>https://www.lazada.vn/products/keo-hoa-hong-dep-da-thom-co-the-kracie-fuwarinka-i2654449313.html</v>
      </c>
      <c r="C9667" s="10" t="s">
        <v>9667</v>
      </c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>
      <c r="A9668" s="8">
        <v>14522.0</v>
      </c>
      <c r="B9668" s="9" t="str">
        <f>HYPERLINK("https://www.lazada.vn/products/olives-dried-snack-special-products-chaoshan-licorice-nine-made-no-kernel-honey-preserves-green-tsin-fruit-salt-treated-hand-cut-cake-i2923828174.html", "https://www.lazada.vn/products/olives-dried-snack-special-products-chaoshan-licorice-nine-made-no-kernel-honey-preserves-green-tsin-fruit-salt-treated-hand-cut-cake-i2923828174.html")</f>
        <v>https://www.lazada.vn/products/olives-dried-snack-special-products-chaoshan-licorice-nine-made-no-kernel-honey-preserves-green-tsin-fruit-salt-treated-hand-cut-cake-i2923828174.html</v>
      </c>
      <c r="C9668" s="10" t="s">
        <v>9668</v>
      </c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>
      <c r="A9669" s="8">
        <v>14523.0</v>
      </c>
      <c r="B9669" s="9" t="str">
        <f>HYPERLINK("https://www.lazada.vn/products/200g-keo-socola-hinh-dua-hau-100g-i2849690247.html", "https://www.lazada.vn/products/200g-keo-socola-hinh-dua-hau-100g-i2849690247.html")</f>
        <v>https://www.lazada.vn/products/200g-keo-socola-hinh-dua-hau-100g-i2849690247.html</v>
      </c>
      <c r="C9669" s="10" t="s">
        <v>9669</v>
      </c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>
      <c r="A9670" s="8">
        <v>14524.0</v>
      </c>
      <c r="B9670" s="9" t="str">
        <f>HYPERLINK("https://www.lazada.vn/products/bot-giai-khat-mdh-jal-jeera-masala-100g-i2607475357.html", "https://www.lazada.vn/products/bot-giai-khat-mdh-jal-jeera-masala-100g-i2607475357.html")</f>
        <v>https://www.lazada.vn/products/bot-giai-khat-mdh-jal-jeera-masala-100g-i2607475357.html</v>
      </c>
      <c r="C9670" s="10" t="s">
        <v>9670</v>
      </c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>
      <c r="A9671" s="8">
        <v>14525.0</v>
      </c>
      <c r="B9671" s="9" t="str">
        <f>HYPERLINK("https://www.lazada.vn/products/wake-up-tui-456g-24-goi-ca-phe-sai-gon-vn-vinacafe-bh-3-in-1-the-coffee-innovator-i2604829536.html", "https://www.lazada.vn/products/wake-up-tui-456g-24-goi-ca-phe-sai-gon-vn-vinacafe-bh-3-in-1-the-coffee-innovator-i2604829536.html")</f>
        <v>https://www.lazada.vn/products/wake-up-tui-456g-24-goi-ca-phe-sai-gon-vn-vinacafe-bh-3-in-1-the-coffee-innovator-i2604829536.html</v>
      </c>
      <c r="C9671" s="10" t="s">
        <v>9671</v>
      </c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>
      <c r="A9672" s="8">
        <v>14526.0</v>
      </c>
      <c r="B9672" s="9" t="str">
        <f>HYPERLINK("https://www.lazada.vn/products/banh-trang-tron-thap-cam-nhieu-topping-banh-trang-tu-tron-i2102214520.html", "https://www.lazada.vn/products/banh-trang-tron-thap-cam-nhieu-topping-banh-trang-tu-tron-i2102214520.html")</f>
        <v>https://www.lazada.vn/products/banh-trang-tron-thap-cam-nhieu-topping-banh-trang-tu-tron-i2102214520.html</v>
      </c>
      <c r="C9672" s="10" t="s">
        <v>9672</v>
      </c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>
      <c r="A9673" s="8">
        <v>14527.0</v>
      </c>
      <c r="B9673" s="9" t="str">
        <f>HYPERLINK("https://www.lazada.vn/products/sau-chit-ngam-san-dien-bien-chai-1-lit-dac-san-tay-bac-dac-san-27-i1672529983.html", "https://www.lazada.vn/products/sau-chit-ngam-san-dien-bien-chai-1-lit-dac-san-tay-bac-dac-san-27-i1672529983.html")</f>
        <v>https://www.lazada.vn/products/sau-chit-ngam-san-dien-bien-chai-1-lit-dac-san-tay-bac-dac-san-27-i1672529983.html</v>
      </c>
      <c r="C9673" s="10" t="s">
        <v>9673</v>
      </c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>
      <c r="A9674" s="8">
        <v>14528.0</v>
      </c>
      <c r="B9674" s="9" t="str">
        <f>HYPERLINK("https://www.lazada.vn/products/bot-cacao-nguyen-chat-viet-nam-khong-duong-heyday-tui-zip-500g-balanced-12-bo-cacao-tu-nhien-ho-tro-giam-can-keto-vi-socola-nguyen-ban-khong-huong-lieu-phu-gia-i689484061.html", "https://www.lazada.vn/products/bot-cacao-nguyen-chat-viet-nam-khong-duong-heyday-tui-zip-500g-balanced-12-bo-cacao-tu-nhien-ho-tro-giam-can-keto-vi-socola-nguyen-ban-khong-huong-lieu-phu-gia-i689484061.html")</f>
        <v>https://www.lazada.vn/products/bot-cacao-nguyen-chat-viet-nam-khong-duong-heyday-tui-zip-500g-balanced-12-bo-cacao-tu-nhien-ho-tro-giam-can-keto-vi-socola-nguyen-ban-khong-huong-lieu-phu-gia-i689484061.html</v>
      </c>
      <c r="C9674" s="10" t="s">
        <v>9674</v>
      </c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>
      <c r="A9675" s="8">
        <v>14529.0</v>
      </c>
      <c r="B9675" s="9" t="str">
        <f>HYPERLINK("https://www.lazada.vn/products/loc-6-lon-nuoc-tang-luc-giai-khat-carabao-6x250ml-i1453408761.html", "https://www.lazada.vn/products/loc-6-lon-nuoc-tang-luc-giai-khat-carabao-6x250ml-i1453408761.html")</f>
        <v>https://www.lazada.vn/products/loc-6-lon-nuoc-tang-luc-giai-khat-carabao-6x250ml-i1453408761.html</v>
      </c>
      <c r="C9675" s="10" t="s">
        <v>9675</v>
      </c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>
      <c r="A9676" s="8">
        <v>14530.0</v>
      </c>
      <c r="B9676" s="9" t="str">
        <f>HYPERLINK("https://www.lazada.vn/products/1kg-bim-bim-khoai-tay-i2627346037.html", "https://www.lazada.vn/products/1kg-bim-bim-khoai-tay-i2627346037.html")</f>
        <v>https://www.lazada.vn/products/1kg-bim-bim-khoai-tay-i2627346037.html</v>
      </c>
      <c r="C9676" s="10" t="s">
        <v>9676</v>
      </c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>
      <c r="A9677" s="8">
        <v>14531.0</v>
      </c>
      <c r="B9677" s="9" t="str">
        <f>HYPERLINK("https://www.lazada.vn/products/banh-gao-vi-khoai-tay-pho-mai-nuong-orion-an-goi-1008g-28300-i2803678730.html", "https://www.lazada.vn/products/banh-gao-vi-khoai-tay-pho-mai-nuong-orion-an-goi-1008g-28300-i2803678730.html")</f>
        <v>https://www.lazada.vn/products/banh-gao-vi-khoai-tay-pho-mai-nuong-orion-an-goi-1008g-28300-i2803678730.html</v>
      </c>
      <c r="C9677" s="10" t="s">
        <v>9677</v>
      </c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>
      <c r="A9678" s="8">
        <v>14532.0</v>
      </c>
      <c r="B9678" s="9" t="str">
        <f>HYPERLINK("https://www.lazada.vn/products/1kg-thach-rau-cau-i1992300429.html", "https://www.lazada.vn/products/1kg-thach-rau-cau-i1992300429.html")</f>
        <v>https://www.lazada.vn/products/1kg-thach-rau-cau-i1992300429.html</v>
      </c>
      <c r="C9678" s="10" t="s">
        <v>9678</v>
      </c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>
      <c r="A9679" s="8">
        <v>14533.0</v>
      </c>
      <c r="B9679" s="9" t="str">
        <f>HYPERLINK("https://www.lazada.vn/products/thung-24-lon-nuoc-ngot-pepsi-320ml-i1790245270.html", "https://www.lazada.vn/products/thung-24-lon-nuoc-ngot-pepsi-320ml-i1790245270.html")</f>
        <v>https://www.lazada.vn/products/thung-24-lon-nuoc-ngot-pepsi-320ml-i1790245270.html</v>
      </c>
      <c r="C9679" s="10" t="s">
        <v>9679</v>
      </c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>
      <c r="A9680" s="8">
        <v>14534.0</v>
      </c>
      <c r="B9680" s="9" t="str">
        <f>HYPERLINK("https://www.lazada.vn/products/thach-dua-tho-dac-san-ben-tre-nha-lets-nuts-tui-1kg-dung-trong-nau-an-nau-che-thom-ngon-mem-deo-tang-kem-huong-lieu-i2602539744.html", "https://www.lazada.vn/products/thach-dua-tho-dac-san-ben-tre-nha-lets-nuts-tui-1kg-dung-trong-nau-an-nau-che-thom-ngon-mem-deo-tang-kem-huong-lieu-i2602539744.html")</f>
        <v>https://www.lazada.vn/products/thach-dua-tho-dac-san-ben-tre-nha-lets-nuts-tui-1kg-dung-trong-nau-an-nau-che-thom-ngon-mem-deo-tang-kem-huong-lieu-i2602539744.html</v>
      </c>
      <c r="C9680" s="10" t="s">
        <v>9680</v>
      </c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>
      <c r="A9681" s="8">
        <v>14535.0</v>
      </c>
      <c r="B9681" s="9" t="str">
        <f>HYPERLINK("https://www.lazada.vn/products/sale-re-5-goi-mi-pho-mai-vaykhong-cay-ottogi-i2722892314.html", "https://www.lazada.vn/products/sale-re-5-goi-mi-pho-mai-vaykhong-cay-ottogi-i2722892314.html")</f>
        <v>https://www.lazada.vn/products/sale-re-5-goi-mi-pho-mai-vaykhong-cay-ottogi-i2722892314.html</v>
      </c>
      <c r="C9681" s="10" t="s">
        <v>9681</v>
      </c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>
      <c r="A9682" s="8">
        <v>14536.0</v>
      </c>
      <c r="B9682" s="9" t="str">
        <f>HYPERLINK("https://www.lazada.vn/products/bia-paulaner-oktoberfest-bier-6-nhap-khau-duc-loc-6-lon-500ml-i2741858623.html", "https://www.lazada.vn/products/bia-paulaner-oktoberfest-bier-6-nhap-khau-duc-loc-6-lon-500ml-i2741858623.html")</f>
        <v>https://www.lazada.vn/products/bia-paulaner-oktoberfest-bier-6-nhap-khau-duc-loc-6-lon-500ml-i2741858623.html</v>
      </c>
      <c r="C9682" s="10" t="s">
        <v>9682</v>
      </c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>
      <c r="A9683" s="8">
        <v>14537.0</v>
      </c>
      <c r="B9683" s="9" t="str">
        <f>HYPERLINK("https://www.lazada.vn/products/banh-sua-ba-vi-it-duong-banh-sua-non-ba-vi-nguyen-chat-tu-sua-bo-tuoi-hop-200g14-thanh-i2642108438.html", "https://www.lazada.vn/products/banh-sua-ba-vi-it-duong-banh-sua-non-ba-vi-nguyen-chat-tu-sua-bo-tuoi-hop-200g14-thanh-i2642108438.html")</f>
        <v>https://www.lazada.vn/products/banh-sua-ba-vi-it-duong-banh-sua-non-ba-vi-nguyen-chat-tu-sua-bo-tuoi-hop-200g14-thanh-i2642108438.html</v>
      </c>
      <c r="C9683" s="10" t="s">
        <v>9683</v>
      </c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>
      <c r="A9684" s="8">
        <v>14538.0</v>
      </c>
      <c r="B9684" s="9" t="str">
        <f>HYPERLINK("https://www.lazada.vn/products/salt-bee-honey-dried-citron-peel-special-product-guangdong-no-added-sugar-licorice-fritillaria-honey-salted-citron-peel-snack-i2923816349.html", "https://www.lazada.vn/products/salt-bee-honey-dried-citron-peel-special-product-guangdong-no-added-sugar-licorice-fritillaria-honey-salted-citron-peel-snack-i2923816349.html")</f>
        <v>https://www.lazada.vn/products/salt-bee-honey-dried-citron-peel-special-product-guangdong-no-added-sugar-licorice-fritillaria-honey-salted-citron-peel-snack-i2923816349.html</v>
      </c>
      <c r="C9684" s="10" t="s">
        <v>9684</v>
      </c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>
      <c r="A9685" s="8">
        <v>14539.0</v>
      </c>
      <c r="B9685" s="9" t="str">
        <f>HYPERLINK("https://www.lazada.vn/products/hn-trai-cay-say-vinamit-100g-i2829458227.html", "https://www.lazada.vn/products/hn-trai-cay-say-vinamit-100g-i2829458227.html")</f>
        <v>https://www.lazada.vn/products/hn-trai-cay-say-vinamit-100g-i2829458227.html</v>
      </c>
      <c r="C9685" s="10" t="s">
        <v>9685</v>
      </c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>
      <c r="A9686" s="8">
        <v>14540.0</v>
      </c>
      <c r="B9686" s="9" t="str">
        <f>HYPERLINK("https://www.lazada.vn/products/mi-hao-hao-handy-tom-chua-cay-thung-24-ly-66g-i2789808952.html", "https://www.lazada.vn/products/mi-hao-hao-handy-tom-chua-cay-thung-24-ly-66g-i2789808952.html")</f>
        <v>https://www.lazada.vn/products/mi-hao-hao-handy-tom-chua-cay-thung-24-ly-66g-i2789808952.html</v>
      </c>
      <c r="C9686" s="10" t="s">
        <v>9686</v>
      </c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>
      <c r="A9687" s="8">
        <v>14541.0</v>
      </c>
      <c r="B9687" s="9" t="str">
        <f>HYPERLINK("https://www.lazada.vn/products/dam-trang-trung-thanh-2-lit-chinh-hang-i1672142656.html", "https://www.lazada.vn/products/dam-trang-trung-thanh-2-lit-chinh-hang-i1672142656.html")</f>
        <v>https://www.lazada.vn/products/dam-trang-trung-thanh-2-lit-chinh-hang-i1672142656.html</v>
      </c>
      <c r="C9687" s="10" t="s">
        <v>9687</v>
      </c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>
      <c r="A9688" s="8">
        <v>14542.0</v>
      </c>
      <c r="B9688" s="9" t="str">
        <f>HYPERLINK("https://www.lazada.vn/products/hn-trai-cay-say-vinamit-100g-i2828971426.html", "https://www.lazada.vn/products/hn-trai-cay-say-vinamit-100g-i2828971426.html")</f>
        <v>https://www.lazada.vn/products/hn-trai-cay-say-vinamit-100g-i2828971426.html</v>
      </c>
      <c r="C9688" s="10" t="s">
        <v>9688</v>
      </c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>
      <c r="A9689" s="8">
        <v>14543.0</v>
      </c>
      <c r="B9689" s="9" t="str">
        <f>HYPERLINK("https://www.lazada.vn/products/tui-1200g-ba-kich-tim-vip-da-lam-sach-tach-loi-dung-ngam-ruou-nang-cao-suc-khoe-i2600693868.html", "https://www.lazada.vn/products/tui-1200g-ba-kich-tim-vip-da-lam-sach-tach-loi-dung-ngam-ruou-nang-cao-suc-khoe-i2600693868.html")</f>
        <v>https://www.lazada.vn/products/tui-1200g-ba-kich-tim-vip-da-lam-sach-tach-loi-dung-ngam-ruou-nang-cao-suc-khoe-i2600693868.html</v>
      </c>
      <c r="C9689" s="10" t="s">
        <v>9689</v>
      </c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>
      <c r="A9690" s="8">
        <v>14544.0</v>
      </c>
      <c r="B9690" s="9" t="str">
        <f>HYPERLINK("https://www.lazada.vn/products/1kg-thach-rau-cau-i1991117898.html", "https://www.lazada.vn/products/1kg-thach-rau-cau-i1991117898.html")</f>
        <v>https://www.lazada.vn/products/1kg-thach-rau-cau-i1991117898.html</v>
      </c>
      <c r="C9690" s="10" t="s">
        <v>9690</v>
      </c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>
      <c r="A9691" s="8">
        <v>14545.0</v>
      </c>
      <c r="B9691" s="9" t="str">
        <f>HYPERLINK("https://www.lazada.vn/products/dau-bo-avocado-oil-spray-chosen-food-383g-i1671357075.html", "https://www.lazada.vn/products/dau-bo-avocado-oil-spray-chosen-food-383g-i1671357075.html")</f>
        <v>https://www.lazada.vn/products/dau-bo-avocado-oil-spray-chosen-food-383g-i1671357075.html</v>
      </c>
      <c r="C9691" s="10" t="s">
        <v>9691</v>
      </c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>
      <c r="A9692" s="8">
        <v>14546.0</v>
      </c>
      <c r="B9692" s="9" t="str">
        <f>HYPERLINK("https://www.lazada.vn/products/banh-gao-nuong-cha-bong-orion-an-goi-1456g-29932-i2803676678.html", "https://www.lazada.vn/products/banh-gao-nuong-cha-bong-orion-an-goi-1456g-29932-i2803676678.html")</f>
        <v>https://www.lazada.vn/products/banh-gao-nuong-cha-bong-orion-an-goi-1456g-29932-i2803676678.html</v>
      </c>
      <c r="C9692" s="10" t="s">
        <v>9692</v>
      </c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>
      <c r="A9693" s="8">
        <v>14547.0</v>
      </c>
      <c r="B9693" s="9" t="str">
        <f>HYPERLINK("https://www.lazada.vn/products/bot-cacao-nguyen-chat-viet-nam-khong-duong-heyday-tui-zip-500g-origin-18-bo-cacao-tu-nhien-ho-tro-giam-can-keto-vi-socola-nguyen-ban-khong-huong-lieu-phu-gia-i689404993.html", "https://www.lazada.vn/products/bot-cacao-nguyen-chat-viet-nam-khong-duong-heyday-tui-zip-500g-origin-18-bo-cacao-tu-nhien-ho-tro-giam-can-keto-vi-socola-nguyen-ban-khong-huong-lieu-phu-gia-i689404993.html")</f>
        <v>https://www.lazada.vn/products/bot-cacao-nguyen-chat-viet-nam-khong-duong-heyday-tui-zip-500g-origin-18-bo-cacao-tu-nhien-ho-tro-giam-can-keto-vi-socola-nguyen-ban-khong-huong-lieu-phu-gia-i689404993.html</v>
      </c>
      <c r="C9693" s="10" t="s">
        <v>9693</v>
      </c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>
      <c r="A9694" s="8">
        <v>14548.0</v>
      </c>
      <c r="B9694" s="9" t="str">
        <f>HYPERLINK("https://www.lazada.vn/products/500gr-bim-khoai-tay-lays-vi-pho-mai-boc-xop-i2624990217.html", "https://www.lazada.vn/products/500gr-bim-khoai-tay-lays-vi-pho-mai-boc-xop-i2624990217.html")</f>
        <v>https://www.lazada.vn/products/500gr-bim-khoai-tay-lays-vi-pho-mai-boc-xop-i2624990217.html</v>
      </c>
      <c r="C9694" s="10" t="s">
        <v>9694</v>
      </c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>
      <c r="A9695" s="8">
        <v>14549.0</v>
      </c>
      <c r="B9695" s="9" t="str">
        <f>HYPERLINK("https://www.lazada.vn/products/giao-tphcm-mien-xao-chay-i2722889882.html", "https://www.lazada.vn/products/giao-tphcm-mien-xao-chay-i2722889882.html")</f>
        <v>https://www.lazada.vn/products/giao-tphcm-mien-xao-chay-i2722889882.html</v>
      </c>
      <c r="C9695" s="10" t="s">
        <v>9695</v>
      </c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>
      <c r="A9696" s="8">
        <v>14550.0</v>
      </c>
      <c r="B9696" s="9" t="str">
        <f>HYPERLINK("https://www.lazada.vn/products/loc-6-lon-bia-ruby-do-330ml-i2741483190.html", "https://www.lazada.vn/products/loc-6-lon-bia-ruby-do-330ml-i2741483190.html")</f>
        <v>https://www.lazada.vn/products/loc-6-lon-bia-ruby-do-330ml-i2741483190.html</v>
      </c>
      <c r="C9696" s="10" t="s">
        <v>9696</v>
      </c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>
      <c r="A9697" s="8">
        <v>14551.0</v>
      </c>
      <c r="B9697" s="9" t="str">
        <f>HYPERLINK("https://www.lazada.vn/products/thung-24-lon-nuoc-ngot-sa-xi-zero-khong-duong-chuong-duong-320ml-i1790070447.html", "https://www.lazada.vn/products/thung-24-lon-nuoc-ngot-sa-xi-zero-khong-duong-chuong-duong-320ml-i1790070447.html")</f>
        <v>https://www.lazada.vn/products/thung-24-lon-nuoc-ngot-sa-xi-zero-khong-duong-chuong-duong-320ml-i1790070447.html</v>
      </c>
      <c r="C9697" s="10" t="s">
        <v>9697</v>
      </c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>
      <c r="A9698" s="8">
        <v>14552.0</v>
      </c>
      <c r="B9698" s="9" t="str">
        <f>HYPERLINK("https://www.lazada.vn/products/thung-24-chai-nuoc-ngot-chanh-muoi-revive-bu-khoang-bu-nuoc-390ml-i1453391895.html", "https://www.lazada.vn/products/thung-24-chai-nuoc-ngot-chanh-muoi-revive-bu-khoang-bu-nuoc-390ml-i1453391895.html")</f>
        <v>https://www.lazada.vn/products/thung-24-chai-nuoc-ngot-chanh-muoi-revive-bu-khoang-bu-nuoc-390ml-i1453391895.html</v>
      </c>
      <c r="C9698" s="10" t="s">
        <v>9698</v>
      </c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>
      <c r="A9699" s="8">
        <v>14553.0</v>
      </c>
      <c r="B9699" s="9" t="str">
        <f>HYPERLINK("https://www.lazada.vn/products/delicious-3-piece-set-hot-and-sour-noodles1-sour-cabbage-beef-noodles1-braised-beef-noodles1-1-set-bo-3-mon-ngon-mi-chua-cay1-mi-bo-cai-chua1-mi-bo-kho1-1-bo-i2785486370.html", "https://www.lazada.vn/products/delicious-3-piece-set-hot-and-sour-noodles1-sour-cabbage-beef-noodles1-braised-beef-noodles1-1-set-bo-3-mon-ngon-mi-chua-cay1-mi-bo-cai-chua1-mi-bo-kho1-1-bo-i2785486370.html")</f>
        <v>https://www.lazada.vn/products/delicious-3-piece-set-hot-and-sour-noodles1-sour-cabbage-beef-noodles1-braised-beef-noodles1-1-set-bo-3-mon-ngon-mi-chua-cay1-mi-bo-cai-chua1-mi-bo-kho1-1-bo-i2785486370.html</v>
      </c>
      <c r="C9699" s="10" t="s">
        <v>9699</v>
      </c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>
      <c r="A9700" s="8">
        <v>14554.0</v>
      </c>
      <c r="B9700" s="9" t="str">
        <f>HYPERLINK("https://www.lazada.vn/products/mit-say-vinamit-210g-nguyen-vi-i2828765073.html", "https://www.lazada.vn/products/mit-say-vinamit-210g-nguyen-vi-i2828765073.html")</f>
        <v>https://www.lazada.vn/products/mit-say-vinamit-210g-nguyen-vi-i2828765073.html</v>
      </c>
      <c r="C9700" s="10" t="s">
        <v>9700</v>
      </c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>
      <c r="A9701" s="8">
        <v>14555.0</v>
      </c>
      <c r="B9701" s="9" t="str">
        <f>HYPERLINK("https://www.lazada.vn/products/banh-sua-chua-ba-vi-tui-1kg-i2642052688.html", "https://www.lazada.vn/products/banh-sua-chua-ba-vi-tui-1kg-i2642052688.html")</f>
        <v>https://www.lazada.vn/products/banh-sua-chua-ba-vi-tui-1kg-i2642052688.html</v>
      </c>
      <c r="C9701" s="10" t="s">
        <v>9701</v>
      </c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>
      <c r="A9702" s="8">
        <v>14556.0</v>
      </c>
      <c r="B9702" s="9" t="str">
        <f>HYPERLINK("https://www.lazada.vn/products/keo-socola-hersheys-cookies-n-creme-484g-my-i2849667395.html", "https://www.lazada.vn/products/keo-socola-hersheys-cookies-n-creme-484g-my-i2849667395.html")</f>
        <v>https://www.lazada.vn/products/keo-socola-hersheys-cookies-n-creme-484g-my-i2849667395.html</v>
      </c>
      <c r="C9702" s="10" t="s">
        <v>9702</v>
      </c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>
      <c r="A9703" s="8">
        <v>14557.0</v>
      </c>
      <c r="B9703" s="9" t="str">
        <f>HYPERLINK("https://www.lazada.vn/products/chinh-hang-tinh-bot-cu-sen-mix-hat-dinh-cua-duong-combo-5-hop-dinh-duong-i2607176912.html", "https://www.lazada.vn/products/chinh-hang-tinh-bot-cu-sen-mix-hat-dinh-cua-duong-combo-5-hop-dinh-duong-i2607176912.html")</f>
        <v>https://www.lazada.vn/products/chinh-hang-tinh-bot-cu-sen-mix-hat-dinh-cua-duong-combo-5-hop-dinh-duong-i2607176912.html</v>
      </c>
      <c r="C9703" s="10" t="s">
        <v>9703</v>
      </c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>
      <c r="A9704" s="8">
        <v>14558.0</v>
      </c>
      <c r="B9704" s="9" t="str">
        <f>HYPERLINK("https://www.lazada.vn/products/01-tui-ca-phe-hoa-tan-kopiko-macchiato-3-in-1-thailand-20-goi-x-24g-i2602418895.html", "https://www.lazada.vn/products/01-tui-ca-phe-hoa-tan-kopiko-macchiato-3-in-1-thailand-20-goi-x-24g-i2602418895.html")</f>
        <v>https://www.lazada.vn/products/01-tui-ca-phe-hoa-tan-kopiko-macchiato-3-in-1-thailand-20-goi-x-24g-i2602418895.html</v>
      </c>
      <c r="C9704" s="10" t="s">
        <v>9704</v>
      </c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>
      <c r="A9705" s="8">
        <v>14559.0</v>
      </c>
      <c r="B9705" s="9" t="str">
        <f>HYPERLINK("https://www.lazada.vn/products/mieng-deo-vo-cam-huong-vi-muoi-qua-hong-sam-chuot-meo-va-mo-hoi-chat-lieu-nhua-105g-mieng-deo-qua-cam-huong-vi-ngot-ngao-i2923813255.html", "https://www.lazada.vn/products/mieng-deo-vo-cam-huong-vi-muoi-qua-hong-sam-chuot-meo-va-mo-hoi-chat-lieu-nhua-105g-mieng-deo-qua-cam-huong-vi-ngot-ngao-i2923813255.html")</f>
        <v>https://www.lazada.vn/products/mieng-deo-vo-cam-huong-vi-muoi-qua-hong-sam-chuot-meo-va-mo-hoi-chat-lieu-nhua-105g-mieng-deo-qua-cam-huong-vi-ngot-ngao-i2923813255.html</v>
      </c>
      <c r="C9705" s="10" t="s">
        <v>9705</v>
      </c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>
      <c r="A9706" s="8">
        <v>14560.0</v>
      </c>
      <c r="B9706" s="9" t="str">
        <f>HYPERLINK("https://www.lazada.vn/products/keo-thao-moc-ricola-original-herb-cough-drops-nhap-khau-usa-i2653038365.html", "https://www.lazada.vn/products/keo-thao-moc-ricola-original-herb-cough-drops-nhap-khau-usa-i2653038365.html")</f>
        <v>https://www.lazada.vn/products/keo-thao-moc-ricola-original-herb-cough-drops-nhap-khau-usa-i2653038365.html</v>
      </c>
      <c r="C9706" s="10" t="s">
        <v>9706</v>
      </c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>
      <c r="A9707" s="8">
        <v>14561.0</v>
      </c>
      <c r="B9707" s="9" t="str">
        <f>HYPERLINK("https://www.lazada.vn/products/san-25-banh-mix-dai-loan-khong-trung-vi-beegin-food-store-i2512580561.html", "https://www.lazada.vn/products/san-25-banh-mix-dai-loan-khong-trung-vi-beegin-food-store-i2512580561.html")</f>
        <v>https://www.lazada.vn/products/san-25-banh-mix-dai-loan-khong-trung-vi-beegin-food-store-i2512580561.html</v>
      </c>
      <c r="C9707" s="10" t="s">
        <v>9707</v>
      </c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>
      <c r="A9708" s="8">
        <v>14562.0</v>
      </c>
      <c r="B9708" s="9" t="str">
        <f>HYPERLINK("https://www.lazada.vn/products/banh-gau-nhan-kem-thien-hong-500g-banh-keo-tet-do-an-vat-co-nuong-beo-i2100742690.html", "https://www.lazada.vn/products/banh-gau-nhan-kem-thien-hong-500g-banh-keo-tet-do-an-vat-co-nuong-beo-i2100742690.html")</f>
        <v>https://www.lazada.vn/products/banh-gau-nhan-kem-thien-hong-500g-banh-keo-tet-do-an-vat-co-nuong-beo-i2100742690.html</v>
      </c>
      <c r="C9708" s="10" t="s">
        <v>9708</v>
      </c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>
      <c r="A9709" s="8">
        <v>14563.0</v>
      </c>
      <c r="B9709" s="9" t="str">
        <f>HYPERLINK("https://www.lazada.vn/products/authentic-chaoshan-namjiang-olive-mam-tom-dried-fruit-snack-breakfast-accompaniment-450g-can-green-fragrance-garden-i2923803769.html", "https://www.lazada.vn/products/authentic-chaoshan-namjiang-olive-mam-tom-dried-fruit-snack-breakfast-accompaniment-450g-can-green-fragrance-garden-i2923803769.html")</f>
        <v>https://www.lazada.vn/products/authentic-chaoshan-namjiang-olive-mam-tom-dried-fruit-snack-breakfast-accompaniment-450g-can-green-fragrance-garden-i2923803769.html</v>
      </c>
      <c r="C9709" s="10" t="s">
        <v>9709</v>
      </c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>
      <c r="A9710" s="8">
        <v>14564.0</v>
      </c>
      <c r="B9710" s="9" t="str">
        <f>HYPERLINK("https://www.lazada.vn/products/tra-sua-chan-chau-nhieu-vi-set-nau-duoc-10-12-coc-thom-ngon-i2600166918.html", "https://www.lazada.vn/products/tra-sua-chan-chau-nhieu-vi-set-nau-duoc-10-12-coc-thom-ngon-i2600166918.html")</f>
        <v>https://www.lazada.vn/products/tra-sua-chan-chau-nhieu-vi-set-nau-duoc-10-12-coc-thom-ngon-i2600166918.html</v>
      </c>
      <c r="C9710" s="10" t="s">
        <v>9710</v>
      </c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>
      <c r="A9711" s="8">
        <v>14565.0</v>
      </c>
      <c r="B9711" s="9" t="str">
        <f>HYPERLINK("https://www.lazada.vn/products/thach-pudding-chua-ngot-cho-be-500gam-i1990403342.html", "https://www.lazada.vn/products/thach-pudding-chua-ngot-cho-be-500gam-i1990403342.html")</f>
        <v>https://www.lazada.vn/products/thach-pudding-chua-ngot-cho-be-500gam-i1990403342.html</v>
      </c>
      <c r="C9711" s="10" t="s">
        <v>9711</v>
      </c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>
      <c r="A9712" s="8">
        <v>14566.0</v>
      </c>
      <c r="B9712" s="9" t="str">
        <f>HYPERLINK("https://www.lazada.vn/products/sieu-ngon-luon-chay-hang-loai-i-keo-ngam-trai-cay-khong-duong-vitamin-c-tui-200-vien-do-an-vat-i2652978138.html", "https://www.lazada.vn/products/sieu-ngon-luon-chay-hang-loai-i-keo-ngam-trai-cay-khong-duong-vitamin-c-tui-200-vien-do-an-vat-i2652978138.html")</f>
        <v>https://www.lazada.vn/products/sieu-ngon-luon-chay-hang-loai-i-keo-ngam-trai-cay-khong-duong-vitamin-c-tui-200-vien-do-an-vat-i2652978138.html</v>
      </c>
      <c r="C9712" s="10" t="s">
        <v>9712</v>
      </c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>
      <c r="A9713" s="8">
        <v>14567.0</v>
      </c>
      <c r="B9713" s="9" t="str">
        <f>HYPERLINK("https://www.lazada.vn/products/san-25-banh-mix-dai-loan-khong-trung-vi-beegin-food-shop-i2512538839.html", "https://www.lazada.vn/products/san-25-banh-mix-dai-loan-khong-trung-vi-beegin-food-shop-i2512538839.html")</f>
        <v>https://www.lazada.vn/products/san-25-banh-mix-dai-loan-khong-trung-vi-beegin-food-shop-i2512538839.html</v>
      </c>
      <c r="C9713" s="10" t="s">
        <v>9713</v>
      </c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>
      <c r="A9714" s="8">
        <v>14568.0</v>
      </c>
      <c r="B9714" s="9" t="str">
        <f>HYPERLINK("https://www.lazada.vn/products/bot-tra-gung-nguyen-chat-tan-loc-phat-i2606916412.html", "https://www.lazada.vn/products/bot-tra-gung-nguyen-chat-tan-loc-phat-i2606916412.html")</f>
        <v>https://www.lazada.vn/products/bot-tra-gung-nguyen-chat-tan-loc-phat-i2606916412.html</v>
      </c>
      <c r="C9714" s="10" t="s">
        <v>9714</v>
      </c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>
      <c r="A9715" s="8">
        <v>14569.0</v>
      </c>
      <c r="B9715" s="9" t="str">
        <f>HYPERLINK("https://www.lazada.vn/products/hang-uc-keo-socola-sua-xop-cadbury-flake-milk-chocolate-goi-12-thanh-rieng-le-168gr-i2849069569.html", "https://www.lazada.vn/products/hang-uc-keo-socola-sua-xop-cadbury-flake-milk-chocolate-goi-12-thanh-rieng-le-168gr-i2849069569.html")</f>
        <v>https://www.lazada.vn/products/hang-uc-keo-socola-sua-xop-cadbury-flake-milk-chocolate-goi-12-thanh-rieng-le-168gr-i2849069569.html</v>
      </c>
      <c r="C9715" s="10" t="s">
        <v>9715</v>
      </c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>
      <c r="A9716" s="8">
        <v>14570.0</v>
      </c>
      <c r="B9716" s="9" t="str">
        <f>HYPERLINK("https://www.lazada.vn/products/mi-lau-mi-soi-to-mi-pho-my-gao-chu-xuan-truong-tui-01kg-dac-san-lang-nghe-thu-duong-bac-giang-dat-tieu-chuan-xuat-khau-i2784993451.html", "https://www.lazada.vn/products/mi-lau-mi-soi-to-mi-pho-my-gao-chu-xuan-truong-tui-01kg-dac-san-lang-nghe-thu-duong-bac-giang-dat-tieu-chuan-xuat-khau-i2784993451.html")</f>
        <v>https://www.lazada.vn/products/mi-lau-mi-soi-to-mi-pho-my-gao-chu-xuan-truong-tui-01kg-dac-san-lang-nghe-thu-duong-bac-giang-dat-tieu-chuan-xuat-khau-i2784993451.html</v>
      </c>
      <c r="C9716" s="10" t="s">
        <v>9716</v>
      </c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>
      <c r="A9717" s="8">
        <v>14571.0</v>
      </c>
      <c r="B9717" s="9" t="str">
        <f>HYPERLINK("https://www.lazada.vn/products/trai-cay-say-vinamit-250g-nguyen-vi-i2828600689.html", "https://www.lazada.vn/products/trai-cay-say-vinamit-250g-nguyen-vi-i2828600689.html")</f>
        <v>https://www.lazada.vn/products/trai-cay-say-vinamit-250g-nguyen-vi-i2828600689.html</v>
      </c>
      <c r="C9717" s="10" t="s">
        <v>9717</v>
      </c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>
      <c r="A9718" s="8">
        <v>14572.0</v>
      </c>
      <c r="B9718" s="9" t="str">
        <f>HYPERLINK("https://www.lazada.vn/products/hu-tieu-sa-dec-soi-nho-dai-ngon-1-bich-1kg-nhu-anh-moi-ra-lo-moi-ngay-1kg-i1670360544.html", "https://www.lazada.vn/products/hu-tieu-sa-dec-soi-nho-dai-ngon-1-bich-1kg-nhu-anh-moi-ra-lo-moi-ngay-1kg-i1670360544.html")</f>
        <v>https://www.lazada.vn/products/hu-tieu-sa-dec-soi-nho-dai-ngon-1-bich-1kg-nhu-anh-moi-ra-lo-moi-ngay-1kg-i1670360544.html</v>
      </c>
      <c r="C9718" s="10" t="s">
        <v>9718</v>
      </c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>
      <c r="A9719" s="8">
        <v>14573.0</v>
      </c>
      <c r="B9719" s="9" t="str">
        <f>HYPERLINK("https://www.lazada.vn/products/banh-bong-lan-cuon-solite-kinh-do-vi-la-dua-hop-360g-i2512485559.html", "https://www.lazada.vn/products/banh-bong-lan-cuon-solite-kinh-do-vi-la-dua-hop-360g-i2512485559.html")</f>
        <v>https://www.lazada.vn/products/banh-bong-lan-cuon-solite-kinh-do-vi-la-dua-hop-360g-i2512485559.html</v>
      </c>
      <c r="C9719" s="10" t="s">
        <v>9719</v>
      </c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>
      <c r="A9720" s="8">
        <v>14574.0</v>
      </c>
      <c r="B9720" s="9" t="str">
        <f>HYPERLINK("https://www.lazada.vn/products/sieu-ngon-luon-chay-hang-mix-3-vi-300g-keo-ca-phe-cafe-candy-khong-duong-an-vat-giam-can-do-an-vat-i2652969176.html", "https://www.lazada.vn/products/sieu-ngon-luon-chay-hang-mix-3-vi-300g-keo-ca-phe-cafe-candy-khong-duong-an-vat-giam-can-do-an-vat-i2652969176.html")</f>
        <v>https://www.lazada.vn/products/sieu-ngon-luon-chay-hang-mix-3-vi-300g-keo-ca-phe-cafe-candy-khong-duong-an-vat-giam-can-do-an-vat-i2652969176.html</v>
      </c>
      <c r="C9720" s="10" t="s">
        <v>9720</v>
      </c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>
      <c r="A9721" s="8">
        <v>14575.0</v>
      </c>
      <c r="B9721" s="9" t="str">
        <f>HYPERLINK("https://www.lazada.vn/products/san-pham-dac-biet-cho-nam-moi-qui-son-nam-chua-4-can-hop-nguyen-hop-suc-khoe-cao-cap-cho-phu-nu-mang-thai-va-tre-em-snack-dac-biet-cua-jiangxi-i2923800517.html", "https://www.lazada.vn/products/san-pham-dac-biet-cho-nam-moi-qui-son-nam-chua-4-can-hop-nguyen-hop-suc-khoe-cao-cap-cho-phu-nu-mang-thai-va-tre-em-snack-dac-biet-cua-jiangxi-i2923800517.html")</f>
        <v>https://www.lazada.vn/products/san-pham-dac-biet-cho-nam-moi-qui-son-nam-chua-4-can-hop-nguyen-hop-suc-khoe-cao-cap-cho-phu-nu-mang-thai-va-tre-em-snack-dac-biet-cua-jiangxi-i2923800517.html</v>
      </c>
      <c r="C9721" s="10" t="s">
        <v>9721</v>
      </c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>
      <c r="A9722" s="8">
        <v>14576.0</v>
      </c>
      <c r="B9722" s="9" t="str">
        <f>HYPERLINK("https://www.lazada.vn/products/loc-6-chai-nuoc-ngot-sa-xi-chuong-duong-390ml-i1787383386.html", "https://www.lazada.vn/products/loc-6-chai-nuoc-ngot-sa-xi-chuong-duong-390ml-i1787383386.html")</f>
        <v>https://www.lazada.vn/products/loc-6-chai-nuoc-ngot-sa-xi-chuong-duong-390ml-i1787383386.html</v>
      </c>
      <c r="C9722" s="10" t="s">
        <v>9722</v>
      </c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>
      <c r="A9723" s="8">
        <v>14577.0</v>
      </c>
      <c r="B9723" s="9" t="str">
        <f>HYPERLINK("https://www.lazada.vn/products/mi-ly-chay-a-one-thung-12-ly-i2784310093.html", "https://www.lazada.vn/products/mi-ly-chay-a-one-thung-12-ly-i2784310093.html")</f>
        <v>https://www.lazada.vn/products/mi-ly-chay-a-one-thung-12-ly-i2784310093.html</v>
      </c>
      <c r="C9723" s="10" t="s">
        <v>9723</v>
      </c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>
      <c r="A9724" s="8">
        <v>14578.0</v>
      </c>
      <c r="B9724" s="9" t="str">
        <f>HYPERLINK("https://www.lazada.vn/products/thung-24-chai-nuoc-giai-khat-tang-luc-number1-330mlchai-i1453379898.html", "https://www.lazada.vn/products/thung-24-chai-nuoc-giai-khat-tang-luc-number1-330mlchai-i1453379898.html")</f>
        <v>https://www.lazada.vn/products/thung-24-chai-nuoc-giai-khat-tang-luc-number1-330mlchai-i1453379898.html</v>
      </c>
      <c r="C9724" s="10" t="s">
        <v>9724</v>
      </c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>
      <c r="A9725" s="8">
        <v>14579.0</v>
      </c>
      <c r="B9725" s="9" t="str">
        <f>HYPERLINK("https://www.lazada.vn/products/chao-ngu-hac-5-den-me-den-lua-mach-den-dau-phong-den-bo-than-den-toc-100g-an-kieng-i2721931742.html", "https://www.lazada.vn/products/chao-ngu-hac-5-den-me-den-lua-mach-den-dau-phong-den-bo-than-den-toc-100g-an-kieng-i2721931742.html")</f>
        <v>https://www.lazada.vn/products/chao-ngu-hac-5-den-me-den-lua-mach-den-dau-phong-den-bo-than-den-toc-100g-an-kieng-i2721931742.html</v>
      </c>
      <c r="C9725" s="10" t="s">
        <v>9725</v>
      </c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>
      <c r="A9726" s="8">
        <v>14580.0</v>
      </c>
      <c r="B9726" s="9" t="str">
        <f>HYPERLINK("https://www.lazada.vn/products/trai-cay-say-nguyen-vi-vinamit-100g-i2828494866.html", "https://www.lazada.vn/products/trai-cay-say-nguyen-vi-vinamit-100g-i2828494866.html")</f>
        <v>https://www.lazada.vn/products/trai-cay-say-nguyen-vi-vinamit-100g-i2828494866.html</v>
      </c>
      <c r="C9726" s="10" t="s">
        <v>9726</v>
      </c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>
      <c r="A9727" s="8">
        <v>14581.0</v>
      </c>
      <c r="B9727" s="9" t="str">
        <f>HYPERLINK("https://www.lazada.vn/products/banh-gao-nuong-vi-tao-bien-orion-an-goi-1113g-26191-i2803655813.html", "https://www.lazada.vn/products/banh-gao-nuong-vi-tao-bien-orion-an-goi-1113g-26191-i2803655813.html")</f>
        <v>https://www.lazada.vn/products/banh-gao-nuong-vi-tao-bien-orion-an-goi-1113g-26191-i2803655813.html</v>
      </c>
      <c r="C9727" s="10" t="s">
        <v>9727</v>
      </c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>
      <c r="A9728" s="8">
        <v>14582.0</v>
      </c>
      <c r="B9728" s="9" t="str">
        <f>HYPERLINK("https://www.lazada.vn/products/thung-bia-ruby-do-330ml-1224-lon-i2741447390.html", "https://www.lazada.vn/products/thung-bia-ruby-do-330ml-1224-lon-i2741447390.html")</f>
        <v>https://www.lazada.vn/products/thung-bia-ruby-do-330ml-1224-lon-i2741447390.html</v>
      </c>
      <c r="C9728" s="10" t="s">
        <v>9728</v>
      </c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>
      <c r="A9729" s="8">
        <v>14583.0</v>
      </c>
      <c r="B9729" s="9" t="str">
        <f>HYPERLINK("https://www.lazada.vn/products/banh-socola-seicado-hop-giay-500gr-seicado-chocolate-lam-qua-bieu-tang-tet-2025-i2847747446.html", "https://www.lazada.vn/products/banh-socola-seicado-hop-giay-500gr-seicado-chocolate-lam-qua-bieu-tang-tet-2025-i2847747446.html")</f>
        <v>https://www.lazada.vn/products/banh-socola-seicado-hop-giay-500gr-seicado-chocolate-lam-qua-bieu-tang-tet-2025-i2847747446.html</v>
      </c>
      <c r="C9729" s="10" t="s">
        <v>9729</v>
      </c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>
      <c r="A9730" s="8">
        <v>14584.0</v>
      </c>
      <c r="B9730" s="9" t="str">
        <f>HYPERLINK("https://www.lazada.vn/products/thach-pudding-chua-ngot-an-dam-cho-be-1kg-i1990400356.html", "https://www.lazada.vn/products/thach-pudding-chua-ngot-an-dam-cho-be-1kg-i1990400356.html")</f>
        <v>https://www.lazada.vn/products/thach-pudding-chua-ngot-an-dam-cho-be-1kg-i1990400356.html</v>
      </c>
      <c r="C9730" s="10" t="s">
        <v>9730</v>
      </c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>
      <c r="A9731" s="8">
        <v>14585.0</v>
      </c>
      <c r="B9731" s="9" t="str">
        <f>HYPERLINK("https://www.lazada.vn/products/banh-snack-mai-rua-4-lop-masita-vi-bap-bo-han-quoc-bich-33g-i2624949172.html", "https://www.lazada.vn/products/banh-snack-mai-rua-4-lop-masita-vi-bap-bo-han-quoc-bich-33g-i2624949172.html")</f>
        <v>https://www.lazada.vn/products/banh-snack-mai-rua-4-lop-masita-vi-bap-bo-han-quoc-bich-33g-i2624949172.html</v>
      </c>
      <c r="C9731" s="10" t="s">
        <v>9731</v>
      </c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>
      <c r="A9732" s="8">
        <v>14586.0</v>
      </c>
      <c r="B9732" s="9" t="str">
        <f>HYPERLINK("https://www.lazada.vn/products/1kg-bot-cacao-nguyen-chat-viet-nam-khong-duong-heyday-balanced-12-bo-cacao-tu-nhien-ho-tro-giam-can-keto-vi-socola-nguyen-ban-khong-huong-lieu-phu-gia-tui-zip-i689390704.html", "https://www.lazada.vn/products/1kg-bot-cacao-nguyen-chat-viet-nam-khong-duong-heyday-balanced-12-bo-cacao-tu-nhien-ho-tro-giam-can-keto-vi-socola-nguyen-ban-khong-huong-lieu-phu-gia-tui-zip-i689390704.html")</f>
        <v>https://www.lazada.vn/products/1kg-bot-cacao-nguyen-chat-viet-nam-khong-duong-heyday-balanced-12-bo-cacao-tu-nhien-ho-tro-giam-can-keto-vi-socola-nguyen-ban-khong-huong-lieu-phu-gia-tui-zip-i689390704.html</v>
      </c>
      <c r="C9732" s="10" t="s">
        <v>9732</v>
      </c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>
      <c r="A9733" s="8">
        <v>14587.0</v>
      </c>
      <c r="B9733" s="9" t="str">
        <f>HYPERLINK("https://www.lazada.vn/products/bot-dau-xanh-nguyen-chat-tan-loc-phat-hu-500g-i2606889398.html", "https://www.lazada.vn/products/bot-dau-xanh-nguyen-chat-tan-loc-phat-hu-500g-i2606889398.html")</f>
        <v>https://www.lazada.vn/products/bot-dau-xanh-nguyen-chat-tan-loc-phat-hu-500g-i2606889398.html</v>
      </c>
      <c r="C9733" s="10" t="s">
        <v>9733</v>
      </c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>
      <c r="A9734" s="8">
        <v>14588.0</v>
      </c>
      <c r="B9734" s="9" t="str">
        <f>HYPERLINK("https://www.lazada.vn/products/dua-chuot-bao-tu-dua-xuat-khau-i1670034074.html", "https://www.lazada.vn/products/dua-chuot-bao-tu-dua-xuat-khau-i1670034074.html")</f>
        <v>https://www.lazada.vn/products/dua-chuot-bao-tu-dua-xuat-khau-i1670034074.html</v>
      </c>
      <c r="C9734" s="10" t="s">
        <v>9734</v>
      </c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>
      <c r="A9735" s="8">
        <v>14589.0</v>
      </c>
      <c r="B9735" s="9" t="str">
        <f>HYPERLINK("https://www.lazada.vn/products/banh-hat-de-bongsubi-thom-ngon-dinh-duong-co-hut-chan-khong-i2100696397.html", "https://www.lazada.vn/products/banh-hat-de-bongsubi-thom-ngon-dinh-duong-co-hut-chan-khong-i2100696397.html")</f>
        <v>https://www.lazada.vn/products/banh-hat-de-bongsubi-thom-ngon-dinh-duong-co-hut-chan-khong-i2100696397.html</v>
      </c>
      <c r="C9735" s="10" t="s">
        <v>9735</v>
      </c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>
      <c r="A9736" s="8">
        <v>14590.0</v>
      </c>
      <c r="B9736" s="9" t="str">
        <f>HYPERLINK("https://www.lazada.vn/products/keo-ca-phe-khong-duong-mix-vi-i2602342628.html", "https://www.lazada.vn/products/keo-ca-phe-khong-duong-mix-vi-i2602342628.html")</f>
        <v>https://www.lazada.vn/products/keo-ca-phe-khong-duong-mix-vi-i2602342628.html</v>
      </c>
      <c r="C9736" s="10" t="s">
        <v>9736</v>
      </c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>
      <c r="A9737" s="8">
        <v>14591.0</v>
      </c>
      <c r="B9737" s="9" t="str">
        <f>HYPERLINK("https://www.lazada.vn/products/an-la-ghien-si-bich-25kg-keo-ngam-trai-cay-12-vi-sieu-ngon-shop-hamy-i2652948315.html", "https://www.lazada.vn/products/an-la-ghien-si-bich-25kg-keo-ngam-trai-cay-12-vi-sieu-ngon-shop-hamy-i2652948315.html")</f>
        <v>https://www.lazada.vn/products/an-la-ghien-si-bich-25kg-keo-ngam-trai-cay-12-vi-sieu-ngon-shop-hamy-i2652948315.html</v>
      </c>
      <c r="C9737" s="10" t="s">
        <v>9737</v>
      </c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>
      <c r="A9738" s="8">
        <v>14592.0</v>
      </c>
      <c r="B9738" s="9" t="str">
        <f>HYPERLINK("https://www.lazada.vn/products/so-huu-huong-vi-dac-biet-cua-olives-salty-sweet-mot-loai-do-an-nhe-kho-ngon-mieng-duoc-lam-tu-trai-olives-tuoi-mat-cua-trung-quoc-i2923797725.html", "https://www.lazada.vn/products/so-huu-huong-vi-dac-biet-cua-olives-salty-sweet-mot-loai-do-an-nhe-kho-ngon-mieng-duoc-lam-tu-trai-olives-tuoi-mat-cua-trung-quoc-i2923797725.html")</f>
        <v>https://www.lazada.vn/products/so-huu-huong-vi-dac-biet-cua-olives-salty-sweet-mot-loai-do-an-nhe-kho-ngon-mieng-duoc-lam-tu-trai-olives-tuoi-mat-cua-trung-quoc-i2923797725.html</v>
      </c>
      <c r="C9738" s="10" t="s">
        <v>9738</v>
      </c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>
      <c r="A9739" s="8">
        <v>14593.0</v>
      </c>
      <c r="B9739" s="9" t="str">
        <f>HYPERLINK("https://www.lazada.vn/products/san-25-banh-mix-dai-loan-khong-trung-vi-gia-ngan-food-i2512477000.html", "https://www.lazada.vn/products/san-25-banh-mix-dai-loan-khong-trung-vi-gia-ngan-food-i2512477000.html")</f>
        <v>https://www.lazada.vn/products/san-25-banh-mix-dai-loan-khong-trung-vi-gia-ngan-food-i2512477000.html</v>
      </c>
      <c r="C9739" s="10" t="s">
        <v>9739</v>
      </c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>
      <c r="A9740" s="8">
        <v>14594.0</v>
      </c>
      <c r="B9740" s="9" t="str">
        <f>HYPERLINK("https://www.lazada.vn/products/bot-dau-nanh-nguyen-chat-tan-loc-phat-hu-500g-i2606870584.html", "https://www.lazada.vn/products/bot-dau-nanh-nguyen-chat-tan-loc-phat-hu-500g-i2606870584.html")</f>
        <v>https://www.lazada.vn/products/bot-dau-nanh-nguyen-chat-tan-loc-phat-hu-500g-i2606870584.html</v>
      </c>
      <c r="C9740" s="10" t="s">
        <v>9740</v>
      </c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>
      <c r="A9741" s="8">
        <v>14595.0</v>
      </c>
      <c r="B9741" s="9" t="str">
        <f>HYPERLINK("https://www.lazada.vn/products/socola-nhan-ruou-chery-solidarnosc-with-liqueur-cherry-golden-cherry-365g-hop-32-vien-i2846834269.html", "https://www.lazada.vn/products/socola-nhan-ruou-chery-solidarnosc-with-liqueur-cherry-golden-cherry-365g-hop-32-vien-i2846834269.html")</f>
        <v>https://www.lazada.vn/products/socola-nhan-ruou-chery-solidarnosc-with-liqueur-cherry-golden-cherry-365g-hop-32-vien-i2846834269.html</v>
      </c>
      <c r="C9741" s="10" t="s">
        <v>9741</v>
      </c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>
      <c r="A9742" s="8">
        <v>14596.0</v>
      </c>
      <c r="B9742" s="9" t="str">
        <f>HYPERLINK("https://www.lazada.vn/products/mintel-olive-dried-nine-made-ancient-method-licorice-green-olive-fruit-snack-special-products-of-shantou-city-guangdong-province-i2923795849.html", "https://www.lazada.vn/products/mintel-olive-dried-nine-made-ancient-method-licorice-green-olive-fruit-snack-special-products-of-shantou-city-guangdong-province-i2923795849.html")</f>
        <v>https://www.lazada.vn/products/mintel-olive-dried-nine-made-ancient-method-licorice-green-olive-fruit-snack-special-products-of-shantou-city-guangdong-province-i2923795849.html</v>
      </c>
      <c r="C9742" s="10" t="s">
        <v>9742</v>
      </c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>
      <c r="A9743" s="8">
        <v>14597.0</v>
      </c>
      <c r="B9743" s="9" t="str">
        <f>HYPERLINK("https://www.lazada.vn/products/date-2025-1kg-thach-zai-zai-mau-moi-mix-du-vi-hang-chuan-cong-ty-duc-hanh-date-moi-i2652929708.html", "https://www.lazada.vn/products/date-2025-1kg-thach-zai-zai-mau-moi-mix-du-vi-hang-chuan-cong-ty-duc-hanh-date-moi-i2652929708.html")</f>
        <v>https://www.lazada.vn/products/date-2025-1kg-thach-zai-zai-mau-moi-mix-du-vi-hang-chuan-cong-ty-duc-hanh-date-moi-i2652929708.html</v>
      </c>
      <c r="C9743" s="10" t="s">
        <v>9743</v>
      </c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>
      <c r="A9744" s="8">
        <v>14598.0</v>
      </c>
      <c r="B9744" s="9" t="str">
        <f>HYPERLINK("https://www.lazada.vn/products/combo-03-hop-1000ml-nuoc-cot-dua-vico-rich-apis-yoosoo-i2657972182.html", "https://www.lazada.vn/products/combo-03-hop-1000ml-nuoc-cot-dua-vico-rich-apis-yoosoo-i2657972182.html")</f>
        <v>https://www.lazada.vn/products/combo-03-hop-1000ml-nuoc-cot-dua-vico-rich-apis-yoosoo-i2657972182.html</v>
      </c>
      <c r="C9744" s="10" t="s">
        <v>9744</v>
      </c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>
      <c r="A9745" s="8">
        <v>14599.0</v>
      </c>
      <c r="B9745" s="9" t="str">
        <f>HYPERLINK("https://www.lazada.vn/products/trai-cay-say-nguyen-vi-vinamit-250g-i2828486887.html", "https://www.lazada.vn/products/trai-cay-say-nguyen-vi-vinamit-250g-i2828486887.html")</f>
        <v>https://www.lazada.vn/products/trai-cay-say-nguyen-vi-vinamit-250g-i2828486887.html</v>
      </c>
      <c r="C9745" s="10" t="s">
        <v>9745</v>
      </c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>
      <c r="A9746" s="8">
        <v>14600.0</v>
      </c>
      <c r="B9746" s="9" t="str">
        <f>HYPERLINK("https://www.lazada.vn/products/thung-1kg-banh-ruoc-que-like-banh-bong-lan-cha-bong-b104kg-beegin-food-store-i2512143186.html", "https://www.lazada.vn/products/thung-1kg-banh-ruoc-que-like-banh-bong-lan-cha-bong-b104kg-beegin-food-store-i2512143186.html")</f>
        <v>https://www.lazada.vn/products/thung-1kg-banh-ruoc-que-like-banh-bong-lan-cha-bong-b104kg-beegin-food-store-i2512143186.html</v>
      </c>
      <c r="C9746" s="10" t="s">
        <v>9746</v>
      </c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>
      <c r="A9747" s="8">
        <v>14601.0</v>
      </c>
      <c r="B9747" s="9" t="str">
        <f>HYPERLINK("https://www.lazada.vn/products/hop-son-mai-1-chai-ruou-vang-cf-collefrisio-limited-edition-ten-vintages-i2399459116.html", "https://www.lazada.vn/products/hop-son-mai-1-chai-ruou-vang-cf-collefrisio-limited-edition-ten-vintages-i2399459116.html")</f>
        <v>https://www.lazada.vn/products/hop-son-mai-1-chai-ruou-vang-cf-collefrisio-limited-edition-ten-vintages-i2399459116.html</v>
      </c>
      <c r="C9747" s="10" t="s">
        <v>9747</v>
      </c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>
      <c r="A9748" s="8">
        <v>14602.0</v>
      </c>
      <c r="B9748" s="9" t="str">
        <f>HYPERLINK("https://www.lazada.vn/products/du-vi-snack-chocolate-sincero-gion-gion-thom-ngon-hang-nhap-singapore-105g-i2844504266.html", "https://www.lazada.vn/products/du-vi-snack-chocolate-sincero-gion-gion-thom-ngon-hang-nhap-singapore-105g-i2844504266.html")</f>
        <v>https://www.lazada.vn/products/du-vi-snack-chocolate-sincero-gion-gion-thom-ngon-hang-nhap-singapore-105g-i2844504266.html</v>
      </c>
      <c r="C9748" s="10" t="s">
        <v>9748</v>
      </c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>
      <c r="A9749" s="8">
        <v>14603.0</v>
      </c>
      <c r="B9749" s="9" t="str">
        <f>HYPERLINK("https://www.lazada.vn/products/bot-dau-do-nguyen-chat-tan-loc-phat-hu-500g-i2606863489.html", "https://www.lazada.vn/products/bot-dau-do-nguyen-chat-tan-loc-phat-hu-500g-i2606863489.html")</f>
        <v>https://www.lazada.vn/products/bot-dau-do-nguyen-chat-tan-loc-phat-hu-500g-i2606863489.html</v>
      </c>
      <c r="C9749" s="10" t="s">
        <v>9749</v>
      </c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>
      <c r="A9750" s="8">
        <v>14604.0</v>
      </c>
      <c r="B9750" s="9" t="str">
        <f>HYPERLINK("https://www.lazada.vn/products/hottrend-keo-no-striking-lollipop-hong-kong-popping-candy-nhieu-huong-vi-sieu-hot-khuyen-mai-hot-i2652893728.html", "https://www.lazada.vn/products/hottrend-keo-no-striking-lollipop-hong-kong-popping-candy-nhieu-huong-vi-sieu-hot-khuyen-mai-hot-i2652893728.html")</f>
        <v>https://www.lazada.vn/products/hottrend-keo-no-striking-lollipop-hong-kong-popping-candy-nhieu-huong-vi-sieu-hot-khuyen-mai-hot-i2652893728.html</v>
      </c>
      <c r="C9750" s="10" t="s">
        <v>9750</v>
      </c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>
      <c r="A9751" s="8">
        <v>14605.0</v>
      </c>
      <c r="B9751" s="9" t="str">
        <f>HYPERLINK("https://www.lazada.vn/products/ruou-vang-nebbia-16-meses-i2399446012.html", "https://www.lazada.vn/products/ruou-vang-nebbia-16-meses-i2399446012.html")</f>
        <v>https://www.lazada.vn/products/ruou-vang-nebbia-16-meses-i2399446012.html</v>
      </c>
      <c r="C9751" s="10" t="s">
        <v>9751</v>
      </c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>
      <c r="A9752" s="8">
        <v>14606.0</v>
      </c>
      <c r="B9752" s="9" t="str">
        <f>HYPERLINK("https://www.lazada.vn/products/sanh-dieu-san-san-story-chao-shu-gan-cao-olives-in-thung-san-pham-dac-biet-chao-shu-olives-man-qua-mong-mut-qua-dried-snack-i2923792499.html", "https://www.lazada.vn/products/sanh-dieu-san-san-story-chao-shu-gan-cao-olives-in-thung-san-pham-dac-biet-chao-shu-olives-man-qua-mong-mut-qua-dried-snack-i2923792499.html")</f>
        <v>https://www.lazada.vn/products/sanh-dieu-san-san-story-chao-shu-gan-cao-olives-in-thung-san-pham-dac-biet-chao-shu-olives-man-qua-mong-mut-qua-dried-snack-i2923792499.html</v>
      </c>
      <c r="C9752" s="10" t="s">
        <v>9752</v>
      </c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>
      <c r="A9753" s="8">
        <v>14607.0</v>
      </c>
      <c r="B9753" s="9" t="str">
        <f>HYPERLINK("https://www.lazada.vn/products/02-hop-ca-phe-hoa-tan-nescafe-3in1-cong-thuc-cai-tien-vi-nguyen-ban-02-hop-x-18-goi-x-16g-i2600018924.html", "https://www.lazada.vn/products/02-hop-ca-phe-hoa-tan-nescafe-3in1-cong-thuc-cai-tien-vi-nguyen-ban-02-hop-x-18-goi-x-16g-i2600018924.html")</f>
        <v>https://www.lazada.vn/products/02-hop-ca-phe-hoa-tan-nescafe-3in1-cong-thuc-cai-tien-vi-nguyen-ban-02-hop-x-18-goi-x-16g-i2600018924.html</v>
      </c>
      <c r="C9753" s="10" t="s">
        <v>9753</v>
      </c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>
      <c r="A9754" s="8">
        <v>14608.0</v>
      </c>
      <c r="B9754" s="9" t="str">
        <f>HYPERLINK("https://www.lazada.vn/products/1kg-bim-bim-khoai-tay-swing-vo-canh-i2623589530.html", "https://www.lazada.vn/products/1kg-bim-bim-khoai-tay-swing-vo-canh-i2623589530.html")</f>
        <v>https://www.lazada.vn/products/1kg-bim-bim-khoai-tay-swing-vo-canh-i2623589530.html</v>
      </c>
      <c r="C9754" s="10" t="s">
        <v>9754</v>
      </c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>
      <c r="A9755" s="8">
        <v>14609.0</v>
      </c>
      <c r="B9755" s="9" t="str">
        <f>HYPERLINK("https://www.lazada.vn/products/snack-thap-cam-mix-nhieu-vi-viettin-mart-500g-i2099364661.html", "https://www.lazada.vn/products/snack-thap-cam-mix-nhieu-vi-viettin-mart-500g-i2099364661.html")</f>
        <v>https://www.lazada.vn/products/snack-thap-cam-mix-nhieu-vi-viettin-mart-500g-i2099364661.html</v>
      </c>
      <c r="C9755" s="10" t="s">
        <v>9755</v>
      </c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>
      <c r="A9756" s="8">
        <v>14610.0</v>
      </c>
      <c r="B9756" s="9" t="str">
        <f>HYPERLINK("https://www.lazada.vn/products/chao-5-do-tao-tau-ky-tu-dau-do-an-kieng-bo-mau-boi-bo-sau-sinh-gao-do-dau-phong-i2721824959.html", "https://www.lazada.vn/products/chao-5-do-tao-tau-ky-tu-dau-do-an-kieng-bo-mau-boi-bo-sau-sinh-gao-do-dau-phong-i2721824959.html")</f>
        <v>https://www.lazada.vn/products/chao-5-do-tao-tau-ky-tu-dau-do-an-kieng-bo-mau-boi-bo-sau-sinh-gao-do-dau-phong-i2721824959.html</v>
      </c>
      <c r="C9756" s="10" t="s">
        <v>9756</v>
      </c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>
      <c r="A9757" s="8">
        <v>14611.0</v>
      </c>
      <c r="B9757" s="9" t="str">
        <f>HYPERLINK("https://www.lazada.vn/products/1kg-bot-cacao-nguyen-chat-viet-nam-khong-duong-heyday-origin-18-bo-cacao-tu-nhien-ho-tro-giam-can-keto-vi-socola-nguyen-ban-khong-huong-lieu-phu-gia-tui-zip-i689360523.html", "https://www.lazada.vn/products/1kg-bot-cacao-nguyen-chat-viet-nam-khong-duong-heyday-origin-18-bo-cacao-tu-nhien-ho-tro-giam-can-keto-vi-socola-nguyen-ban-khong-huong-lieu-phu-gia-tui-zip-i689360523.html")</f>
        <v>https://www.lazada.vn/products/1kg-bot-cacao-nguyen-chat-viet-nam-khong-duong-heyday-origin-18-bo-cacao-tu-nhien-ho-tro-giam-can-keto-vi-socola-nguyen-ban-khong-huong-lieu-phu-gia-tui-zip-i689360523.html</v>
      </c>
      <c r="C9757" s="10" t="s">
        <v>9757</v>
      </c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>
      <c r="A9758" s="8">
        <v>14612.0</v>
      </c>
      <c r="B9758" s="9" t="str">
        <f>HYPERLINK("https://www.lazada.vn/products/banh-gao-an-tu-nhien-orion-an-goi-1512g-26177-i2803632878.html", "https://www.lazada.vn/products/banh-gao-an-tu-nhien-orion-an-goi-1512g-26177-i2803632878.html")</f>
        <v>https://www.lazada.vn/products/banh-gao-an-tu-nhien-orion-an-goi-1512g-26177-i2803632878.html</v>
      </c>
      <c r="C9758" s="10" t="s">
        <v>9758</v>
      </c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>
      <c r="A9759" s="8">
        <v>14613.0</v>
      </c>
      <c r="B9759" s="9" t="str">
        <f>HYPERLINK("https://www.lazada.vn/products/thung-1kg-12c-banh-mi-goi-bo-sua-ngan-lop-mini-nhien-loi-b97-beegin-food-store-i2512078295.html", "https://www.lazada.vn/products/thung-1kg-12c-banh-mi-goi-bo-sua-ngan-lop-mini-nhien-loi-b97-beegin-food-store-i2512078295.html")</f>
        <v>https://www.lazada.vn/products/thung-1kg-12c-banh-mi-goi-bo-sua-ngan-lop-mini-nhien-loi-b97-beegin-food-store-i2512078295.html</v>
      </c>
      <c r="C9759" s="10" t="s">
        <v>9759</v>
      </c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>
      <c r="A9760" s="8">
        <v>14614.0</v>
      </c>
      <c r="B9760" s="9" t="str">
        <f>HYPERLINK("https://www.lazada.vn/products/trai-cay-say-nguyen-vi-vinamit-100g-i2828355977.html", "https://www.lazada.vn/products/trai-cay-say-nguyen-vi-vinamit-100g-i2828355977.html")</f>
        <v>https://www.lazada.vn/products/trai-cay-say-nguyen-vi-vinamit-100g-i2828355977.html</v>
      </c>
      <c r="C9760" s="10" t="s">
        <v>9760</v>
      </c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>
      <c r="A9761" s="8">
        <v>14615.0</v>
      </c>
      <c r="B9761" s="9" t="str">
        <f>HYPERLINK("https://www.lazada.vn/products/hcmnuoc-tang-luc-warrior-huong-nho-325ml-chien-binh-nang-luong-bo-sung-vitamin-b3-b6-b12-va-khoang-chat-1-loc-6-lon-han-su-dung-moi-sth-i1450517260.html", "https://www.lazada.vn/products/hcmnuoc-tang-luc-warrior-huong-nho-325ml-chien-binh-nang-luong-bo-sung-vitamin-b3-b6-b12-va-khoang-chat-1-loc-6-lon-han-su-dung-moi-sth-i1450517260.html")</f>
        <v>https://www.lazada.vn/products/hcmnuoc-tang-luc-warrior-huong-nho-325ml-chien-binh-nang-luong-bo-sung-vitamin-b3-b6-b12-va-khoang-chat-1-loc-6-lon-han-su-dung-moi-sth-i1450517260.html</v>
      </c>
      <c r="C9761" s="10" t="s">
        <v>9761</v>
      </c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>
      <c r="A9762" s="8">
        <v>14616.0</v>
      </c>
      <c r="B9762" s="9" t="str">
        <f>HYPERLINK("https://www.lazada.vn/products/thung-24-chai-nuoc-ngot-huong-chanh-7up-390ml-i1782648204.html", "https://www.lazada.vn/products/thung-24-chai-nuoc-ngot-huong-chanh-7up-390ml-i1782648204.html")</f>
        <v>https://www.lazada.vn/products/thung-24-chai-nuoc-ngot-huong-chanh-7up-390ml-i1782648204.html</v>
      </c>
      <c r="C9762" s="10" t="s">
        <v>9762</v>
      </c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>
      <c r="A9763" s="8">
        <v>14617.0</v>
      </c>
      <c r="B9763" s="9" t="str">
        <f>HYPERLINK("https://www.lazada.vn/products/lei-1-thung-bia-corny-khoa-khilong-ngat-ket-noi-cho-bia-nha-kieu-cornelius-i2741306335.html", "https://www.lazada.vn/products/lei-1-thung-bia-corny-khoa-khilong-ngat-ket-noi-cho-bia-nha-kieu-cornelius-i2741306335.html")</f>
        <v>https://www.lazada.vn/products/lei-1-thung-bia-corny-khoa-khilong-ngat-ket-noi-cho-bia-nha-kieu-cornelius-i2741306335.html</v>
      </c>
      <c r="C9763" s="10" t="s">
        <v>9763</v>
      </c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>
      <c r="A9764" s="8">
        <v>14618.0</v>
      </c>
      <c r="B9764" s="9" t="str">
        <f>HYPERLINK("https://www.lazada.vn/products/my-somen-hakubaku-cho-be-tu-5m-7m-9m-i2782866406.html", "https://www.lazada.vn/products/my-somen-hakubaku-cho-be-tu-5m-7m-9m-i2782866406.html")</f>
        <v>https://www.lazada.vn/products/my-somen-hakubaku-cho-be-tu-5m-7m-9m-i2782866406.html</v>
      </c>
      <c r="C9764" s="10" t="s">
        <v>9764</v>
      </c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>
      <c r="A9765" s="8">
        <v>14619.0</v>
      </c>
      <c r="B9765" s="9" t="str">
        <f>HYPERLINK("https://www.lazada.vn/products/thach-sua-chua-1kg-i1989700046.html", "https://www.lazada.vn/products/thach-sua-chua-1kg-i1989700046.html")</f>
        <v>https://www.lazada.vn/products/thach-sua-chua-1kg-i1989700046.html</v>
      </c>
      <c r="C9765" s="10" t="s">
        <v>9765</v>
      </c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>
      <c r="A9766" s="8">
        <v>14620.0</v>
      </c>
      <c r="B9766" s="9" t="str">
        <f>HYPERLINK("https://www.lazada.vn/products/nuoc-soda-ramune-hata-nhat-ban-i2657823499.html", "https://www.lazada.vn/products/nuoc-soda-ramune-hata-nhat-ban-i2657823499.html")</f>
        <v>https://www.lazada.vn/products/nuoc-soda-ramune-hata-nhat-ban-i2657823499.html</v>
      </c>
      <c r="C9766" s="10" t="s">
        <v>9766</v>
      </c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>
      <c r="A9767" s="8">
        <v>14621.0</v>
      </c>
      <c r="B9767" s="9" t="str">
        <f>HYPERLINK("https://www.lazada.vn/products/sieu-hot-keo-ngam-sprite-cola-bo-huc-candy-keo-hot-i2652863747.html", "https://www.lazada.vn/products/sieu-hot-keo-ngam-sprite-cola-bo-huc-candy-keo-hot-i2652863747.html")</f>
        <v>https://www.lazada.vn/products/sieu-hot-keo-ngam-sprite-cola-bo-huc-candy-keo-hot-i2652863747.html</v>
      </c>
      <c r="C9767" s="10" t="s">
        <v>9767</v>
      </c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>
      <c r="A9768" s="8">
        <v>14622.0</v>
      </c>
      <c r="B9768" s="9" t="str">
        <f>HYPERLINK("https://www.lazada.vn/products/combo-5-banh-ruoc-que-like-banh-bong-lan-cha-bong-b104c5-beegin-food-i2512027858.html", "https://www.lazada.vn/products/combo-5-banh-ruoc-que-like-banh-bong-lan-cha-bong-b104c5-beegin-food-i2512027858.html")</f>
        <v>https://www.lazada.vn/products/combo-5-banh-ruoc-que-like-banh-bong-lan-cha-bong-b104c5-beegin-food-i2512027858.html</v>
      </c>
      <c r="C9768" s="10" t="s">
        <v>9768</v>
      </c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>
      <c r="A9769" s="8">
        <v>14623.0</v>
      </c>
      <c r="B9769" s="9" t="str">
        <f>HYPERLINK("https://www.lazada.vn/products/ruou-vang-do-alteo-chianti-riserva-docg-2017-i2399445196.html", "https://www.lazada.vn/products/ruou-vang-do-alteo-chianti-riserva-docg-2017-i2399445196.html")</f>
        <v>https://www.lazada.vn/products/ruou-vang-do-alteo-chianti-riserva-docg-2017-i2399445196.html</v>
      </c>
      <c r="C9769" s="10" t="s">
        <v>9769</v>
      </c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>
      <c r="A9770" s="8">
        <v>14624.0</v>
      </c>
      <c r="B9770" s="9" t="str">
        <f>HYPERLINK("https://www.lazada.vn/products/da-me-deo-rim-dac-hu-1kg-thom-ngon-chua-chua-ngot-ngot-i2828230103.html", "https://www.lazada.vn/products/da-me-deo-rim-dac-hu-1kg-thom-ngon-chua-chua-ngot-ngot-i2828230103.html")</f>
        <v>https://www.lazada.vn/products/da-me-deo-rim-dac-hu-1kg-thom-ngon-chua-chua-ngot-ngot-i2828230103.html</v>
      </c>
      <c r="C9770" s="10" t="s">
        <v>9770</v>
      </c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>
      <c r="A9771" s="8">
        <v>14625.0</v>
      </c>
      <c r="B9771" s="9" t="str">
        <f>HYPERLINK("https://www.lazada.vn/products/bot-cacao-nguyen-chat-viet-nam-khong-duong-heyday-tui-giay-500g-origin-18-bo-cacao-tu-nhien-ho-tro-giam-can-keto-vi-socola-nguyen-ban-khong-huong-lieu-phu-gia-i675120349.html", "https://www.lazada.vn/products/bot-cacao-nguyen-chat-viet-nam-khong-duong-heyday-tui-giay-500g-origin-18-bo-cacao-tu-nhien-ho-tro-giam-can-keto-vi-socola-nguyen-ban-khong-huong-lieu-phu-gia-i675120349.html")</f>
        <v>https://www.lazada.vn/products/bot-cacao-nguyen-chat-viet-nam-khong-duong-heyday-tui-giay-500g-origin-18-bo-cacao-tu-nhien-ho-tro-giam-can-keto-vi-socola-nguyen-ban-khong-huong-lieu-phu-gia-i675120349.html</v>
      </c>
      <c r="C9771" s="10" t="s">
        <v>9771</v>
      </c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>
      <c r="A9772" s="8">
        <v>14626.0</v>
      </c>
      <c r="B9772" s="9" t="str">
        <f>HYPERLINK("https://www.lazada.vn/products/banh-quy-gac-500g-banh-quy-gion-sieu-ngon-do-an-vat-tuoi-tho-i2801524546.html", "https://www.lazada.vn/products/banh-quy-gac-500g-banh-quy-gion-sieu-ngon-do-an-vat-tuoi-tho-i2801524546.html")</f>
        <v>https://www.lazada.vn/products/banh-quy-gac-500g-banh-quy-gion-sieu-ngon-do-an-vat-tuoi-tho-i2801524546.html</v>
      </c>
      <c r="C9772" s="10" t="s">
        <v>9772</v>
      </c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>
      <c r="A9773" s="8">
        <v>14627.0</v>
      </c>
      <c r="B9773" s="9" t="str">
        <f>HYPERLINK("https://www.lazada.vn/products/bot-rau-ma-nguyen-chat-tan-loc-phat-hu-500g-i2606855701.html", "https://www.lazada.vn/products/bot-rau-ma-nguyen-chat-tan-loc-phat-hu-500g-i2606855701.html")</f>
        <v>https://www.lazada.vn/products/bot-rau-ma-nguyen-chat-tan-loc-phat-hu-500g-i2606855701.html</v>
      </c>
      <c r="C9773" s="10" t="s">
        <v>9773</v>
      </c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>
      <c r="A9774" s="8">
        <v>14628.0</v>
      </c>
      <c r="B9774" s="9" t="str">
        <f>HYPERLINK("https://www.lazada.vn/products/sua-ca-phao-ngam-nuoc-mam-ot-cuc-gion-ngon-thom-moi-dac-san-minh-triet-i2721589137.html", "https://www.lazada.vn/products/sua-ca-phao-ngam-nuoc-mam-ot-cuc-gion-ngon-thom-moi-dac-san-minh-triet-i2721589137.html")</f>
        <v>https://www.lazada.vn/products/sua-ca-phao-ngam-nuoc-mam-ot-cuc-gion-ngon-thom-moi-dac-san-minh-triet-i2721589137.html</v>
      </c>
      <c r="C9774" s="10" t="s">
        <v>9774</v>
      </c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>
      <c r="A9775" s="8">
        <v>14629.0</v>
      </c>
      <c r="B9775" s="9" t="str">
        <f>HYPERLINK("https://www.lazada.vn/products/1kg-banh-khoai-tay-potato-hoang-gia-thom-ngon-do-an-vat-i2621763336.html", "https://www.lazada.vn/products/1kg-banh-khoai-tay-potato-hoang-gia-thom-ngon-do-an-vat-i2621763336.html")</f>
        <v>https://www.lazada.vn/products/1kg-banh-khoai-tay-potato-hoang-gia-thom-ngon-do-an-vat-i2621763336.html</v>
      </c>
      <c r="C9775" s="10" t="s">
        <v>9775</v>
      </c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>
      <c r="A9776" s="8">
        <v>14630.0</v>
      </c>
      <c r="B9776" s="9" t="str">
        <f>HYPERLINK("https://www.lazada.vn/products/combo-400g-banh-trang-phoi-suong-muoi-nhuyen-hanh-phi-i2097359419.html", "https://www.lazada.vn/products/combo-400g-banh-trang-phoi-suong-muoi-nhuyen-hanh-phi-i2097359419.html")</f>
        <v>https://www.lazada.vn/products/combo-400g-banh-trang-phoi-suong-muoi-nhuyen-hanh-phi-i2097359419.html</v>
      </c>
      <c r="C9776" s="10" t="s">
        <v>9776</v>
      </c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>
      <c r="A9777" s="8">
        <v>14631.0</v>
      </c>
      <c r="B9777" s="9" t="str">
        <f>HYPERLINK("https://www.lazada.vn/products/combo-10-hop-socola-tuoi-mix-4-vi-socola-mem-min-tan-ngay-trong-mieng-i2841858840.html", "https://www.lazada.vn/products/combo-10-hop-socola-tuoi-mix-4-vi-socola-mem-min-tan-ngay-trong-mieng-i2841858840.html")</f>
        <v>https://www.lazada.vn/products/combo-10-hop-socola-tuoi-mix-4-vi-socola-mem-min-tan-ngay-trong-mieng-i2841858840.html</v>
      </c>
      <c r="C9777" s="10" t="s">
        <v>9777</v>
      </c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>
      <c r="A9778" s="8">
        <v>14632.0</v>
      </c>
      <c r="B9778" s="9" t="str">
        <f>HYPERLINK("https://www.lazada.vn/products/ca-phe-nam-linh-chi-nhat-kim-anh-hop-10-goi-laura-ca-phe-nhat-kim-anh-chinh-hang-hop-10-go-i2599729035.html", "https://www.lazada.vn/products/ca-phe-nam-linh-chi-nhat-kim-anh-hop-10-goi-laura-ca-phe-nhat-kim-anh-chinh-hang-hop-10-go-i2599729035.html")</f>
        <v>https://www.lazada.vn/products/ca-phe-nam-linh-chi-nhat-kim-anh-hop-10-goi-laura-ca-phe-nhat-kim-anh-chinh-hang-hop-10-go-i2599729035.html</v>
      </c>
      <c r="C9778" s="10" t="s">
        <v>9778</v>
      </c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>
      <c r="A9779" s="8">
        <v>14633.0</v>
      </c>
      <c r="B9779" s="9" t="str">
        <f>HYPERLINK("https://www.lazada.vn/products/olives-chua-lon-day-nuoc-mong-do-an-ngot-ngao-qua-tang-doc-quyen-tu-phuc-chau-trung-quoc-dai-luc-bao-bi-rong-250g-i2923784589.html", "https://www.lazada.vn/products/olives-chua-lon-day-nuoc-mong-do-an-ngot-ngao-qua-tang-doc-quyen-tu-phuc-chau-trung-quoc-dai-luc-bao-bi-rong-250g-i2923784589.html")</f>
        <v>https://www.lazada.vn/products/olives-chua-lon-day-nuoc-mong-do-an-ngot-ngao-qua-tang-doc-quyen-tu-phuc-chau-trung-quoc-dai-luc-bao-bi-rong-250g-i2923784589.html</v>
      </c>
      <c r="C9779" s="10" t="s">
        <v>9779</v>
      </c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>
      <c r="A9780" s="8">
        <v>14634.0</v>
      </c>
      <c r="B9780" s="9" t="str">
        <f>HYPERLINK("https://www.lazada.vn/products/hot-thach-zai-zai-plus-tra-sua-tran-chau-500g-thach-thanh-dai-chuan-cty-duc-hanh-i1983952193.html", "https://www.lazada.vn/products/hot-thach-zai-zai-plus-tra-sua-tran-chau-500g-thach-thanh-dai-chuan-cty-duc-hanh-i1983952193.html")</f>
        <v>https://www.lazada.vn/products/hot-thach-zai-zai-plus-tra-sua-tran-chau-500g-thach-thanh-dai-chuan-cty-duc-hanh-i1983952193.html</v>
      </c>
      <c r="C9780" s="10" t="s">
        <v>9780</v>
      </c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>
      <c r="A9781" s="8">
        <v>14635.0</v>
      </c>
      <c r="B9781" s="9" t="str">
        <f>HYPERLINK("https://www.lazada.vn/products/bia-paulaner-oktoberfest-bier-6-nhap-khau-duc-1-lon-500ml-i2740865678.html", "https://www.lazada.vn/products/bia-paulaner-oktoberfest-bier-6-nhap-khau-duc-1-lon-500ml-i2740865678.html")</f>
        <v>https://www.lazada.vn/products/bia-paulaner-oktoberfest-bier-6-nhap-khau-duc-1-lon-500ml-i2740865678.html</v>
      </c>
      <c r="C9781" s="10" t="s">
        <v>9781</v>
      </c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>
      <c r="A9782" s="8">
        <v>14636.0</v>
      </c>
      <c r="B9782" s="9" t="str">
        <f>HYPERLINK("https://www.lazada.vn/products/mi-ly-hao-hao-1t-24-ly-i2782861507.html", "https://www.lazada.vn/products/mi-ly-hao-hao-1t-24-ly-i2782861507.html")</f>
        <v>https://www.lazada.vn/products/mi-ly-hao-hao-1t-24-ly-i2782861507.html</v>
      </c>
      <c r="C9782" s="10" t="s">
        <v>9782</v>
      </c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>
      <c r="A9783" s="8">
        <v>14637.0</v>
      </c>
      <c r="B9783" s="9" t="str">
        <f>HYPERLINK("https://www.lazada.vn/products/hcmnuoc-tang-luc-warrior-huong-dau-325ml-chien-binh-nang-luong-bo-sung-vitamin-b3-b6-b12-va-khoang-chat-1-loc-6-lon-han-su-dung-moi-san-pham-co-trung-thuong-bung-tinh-san-qua-dinh-sth-8260-1lon-i1449661445.html", "https://www.lazada.vn/products/hcmnuoc-tang-luc-warrior-huong-dau-325ml-chien-binh-nang-luong-bo-sung-vitamin-b3-b6-b12-va-khoang-chat-1-loc-6-lon-han-su-dung-moi-san-pham-co-trung-thuong-bung-tinh-san-qua-dinh-sth-8260-1lon-i1449661445.html")</f>
        <v>https://www.lazada.vn/products/hcmnuoc-tang-luc-warrior-huong-dau-325ml-chien-binh-nang-luong-bo-sung-vitamin-b3-b6-b12-va-khoang-chat-1-loc-6-lon-han-su-dung-moi-san-pham-co-trung-thuong-bung-tinh-san-qua-dinh-sth-8260-1lon-i1449661445.html</v>
      </c>
      <c r="C9783" s="10" t="s">
        <v>9783</v>
      </c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>
      <c r="A9784" s="8">
        <v>14638.0</v>
      </c>
      <c r="B9784" s="9" t="str">
        <f>HYPERLINK("https://www.lazada.vn/products/chanh-dao-ha-noi-i2657378449.html", "https://www.lazada.vn/products/chanh-dao-ha-noi-i2657378449.html")</f>
        <v>https://www.lazada.vn/products/chanh-dao-ha-noi-i2657378449.html</v>
      </c>
      <c r="C9784" s="10" t="s">
        <v>9784</v>
      </c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>
      <c r="A9785" s="8">
        <v>14639.0</v>
      </c>
      <c r="B9785" s="9" t="str">
        <f>HYPERLINK("https://www.lazada.vn/products/ruou-vang-do-castelforte-merlot-veneto-2019-i2399428235.html", "https://www.lazada.vn/products/ruou-vang-do-castelforte-merlot-veneto-2019-i2399428235.html")</f>
        <v>https://www.lazada.vn/products/ruou-vang-do-castelforte-merlot-veneto-2019-i2399428235.html</v>
      </c>
      <c r="C9785" s="10" t="s">
        <v>9785</v>
      </c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>
      <c r="A9786" s="8">
        <v>14640.0</v>
      </c>
      <c r="B9786" s="9" t="str">
        <f>HYPERLINK("https://www.lazada.vn/products/bot-san-day-nguyen-chat-lets-nuts-tui-500g-nguyen-lieu-pha-thuc-uong-thanh-nhiet-giai-doc-giam-can-dep-dang-i2606756812.html", "https://www.lazada.vn/products/bot-san-day-nguyen-chat-lets-nuts-tui-500g-nguyen-lieu-pha-thuc-uong-thanh-nhiet-giai-doc-giam-can-dep-dang-i2606756812.html")</f>
        <v>https://www.lazada.vn/products/bot-san-day-nguyen-chat-lets-nuts-tui-500g-nguyen-lieu-pha-thuc-uong-thanh-nhiet-giai-doc-giam-can-dep-dang-i2606756812.html</v>
      </c>
      <c r="C9786" s="10" t="s">
        <v>9786</v>
      </c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>
      <c r="A9787" s="8">
        <v>14641.0</v>
      </c>
      <c r="B9787" s="9" t="str">
        <f>HYPERLINK("https://www.lazada.vn/products/combo-10-banh-ruoc-que-like-banh-bong-lan-cha-bong-b104c10-beegin-food-store-i2512015448.html", "https://www.lazada.vn/products/combo-10-banh-ruoc-que-like-banh-bong-lan-cha-bong-b104c10-beegin-food-store-i2512015448.html")</f>
        <v>https://www.lazada.vn/products/combo-10-banh-ruoc-que-like-banh-bong-lan-cha-bong-b104c10-beegin-food-store-i2512015448.html</v>
      </c>
      <c r="C9787" s="10" t="s">
        <v>9787</v>
      </c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>
      <c r="A9788" s="8">
        <v>14642.0</v>
      </c>
      <c r="B9788" s="9" t="str">
        <f>HYPERLINK("https://www.lazada.vn/products/xau-10-bich-banh-trang-sate-tac-phoi-suong-i2095393098.html", "https://www.lazada.vn/products/xau-10-bich-banh-trang-sate-tac-phoi-suong-i2095393098.html")</f>
        <v>https://www.lazada.vn/products/xau-10-bich-banh-trang-sate-tac-phoi-suong-i2095393098.html</v>
      </c>
      <c r="C9788" s="10" t="s">
        <v>9788</v>
      </c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>
      <c r="A9789" s="8">
        <v>14643.0</v>
      </c>
      <c r="B9789" s="9" t="str">
        <f>HYPERLINK("https://www.lazada.vn/products/keo-soi-tuoi-tho-do-an-vat-i2652800985.html", "https://www.lazada.vn/products/keo-soi-tuoi-tho-do-an-vat-i2652800985.html")</f>
        <v>https://www.lazada.vn/products/keo-soi-tuoi-tho-do-an-vat-i2652800985.html</v>
      </c>
      <c r="C9789" s="10" t="s">
        <v>9789</v>
      </c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>
      <c r="A9790" s="8">
        <v>14644.0</v>
      </c>
      <c r="B9790" s="9" t="str">
        <f>HYPERLINK("https://www.lazada.vn/products/da-me-deo-rim-dac-hu-1kg-thom-ngon-chua-chua-ngot-ngot-i2828202169.html", "https://www.lazada.vn/products/da-me-deo-rim-dac-hu-1kg-thom-ngon-chua-chua-ngot-ngot-i2828202169.html")</f>
        <v>https://www.lazada.vn/products/da-me-deo-rim-dac-hu-1kg-thom-ngon-chua-chua-ngot-ngot-i2828202169.html</v>
      </c>
      <c r="C9790" s="10" t="s">
        <v>9790</v>
      </c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>
      <c r="A9791" s="8">
        <v>14645.0</v>
      </c>
      <c r="B9791" s="9" t="str">
        <f>HYPERLINK("https://www.lazada.vn/products/socola-trung-zaini-hop-3-trung-i2841760177.html", "https://www.lazada.vn/products/socola-trung-zaini-hop-3-trung-i2841760177.html")</f>
        <v>https://www.lazada.vn/products/socola-trung-zaini-hop-3-trung-i2841760177.html</v>
      </c>
      <c r="C9791" s="10" t="s">
        <v>9791</v>
      </c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>
      <c r="A9792" s="8">
        <v>14646.0</v>
      </c>
      <c r="B9792" s="9" t="str">
        <f>HYPERLINK("https://www.lazada.vn/products/si-hop-10-goi-ca-phe-laura-sunshine-nhat-kim-anh-i2599666175.html", "https://www.lazada.vn/products/si-hop-10-goi-ca-phe-laura-sunshine-nhat-kim-anh-i2599666175.html")</f>
        <v>https://www.lazada.vn/products/si-hop-10-goi-ca-phe-laura-sunshine-nhat-kim-anh-i2599666175.html</v>
      </c>
      <c r="C9792" s="10" t="s">
        <v>9792</v>
      </c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>
      <c r="A9793" s="8">
        <v>14647.0</v>
      </c>
      <c r="B9793" s="9" t="str">
        <f>HYPERLINK("https://www.lazada.vn/products/fordshah-marinated-green-olives-3kg-original-commercial-italian-pasta-salad-pizza-use-salted-snack-dried-fruit-mediterranean-i2923778405.html", "https://www.lazada.vn/products/fordshah-marinated-green-olives-3kg-original-commercial-italian-pasta-salad-pizza-use-salted-snack-dried-fruit-mediterranean-i2923778405.html")</f>
        <v>https://www.lazada.vn/products/fordshah-marinated-green-olives-3kg-original-commercial-italian-pasta-salad-pizza-use-salted-snack-dried-fruit-mediterranean-i2923778405.html</v>
      </c>
      <c r="C9793" s="10" t="s">
        <v>9793</v>
      </c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>
      <c r="A9794" s="8">
        <v>14648.0</v>
      </c>
      <c r="B9794" s="9" t="str">
        <f>HYPERLINK("https://www.lazada.vn/products/thach-zai-zai-duc-hanh-vi-tu-chon-1kg-thach-thanh-dai-chuan-cty-duc-hanh-i1983938428.html", "https://www.lazada.vn/products/thach-zai-zai-duc-hanh-vi-tu-chon-1kg-thach-thanh-dai-chuan-cty-duc-hanh-i1983938428.html")</f>
        <v>https://www.lazada.vn/products/thach-zai-zai-duc-hanh-vi-tu-chon-1kg-thach-thanh-dai-chuan-cty-duc-hanh-i1983938428.html</v>
      </c>
      <c r="C9794" s="10" t="s">
        <v>9794</v>
      </c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>
      <c r="A9795" s="8">
        <v>14649.0</v>
      </c>
      <c r="B9795" s="9" t="str">
        <f>HYPERLINK("https://www.lazada.vn/products/bia-paulaner-oktoberfest-bier-6-nhap-khau-duc-1-lon-500ml-i2740708872.html", "https://www.lazada.vn/products/bia-paulaner-oktoberfest-bier-6-nhap-khau-duc-1-lon-500ml-i2740708872.html")</f>
        <v>https://www.lazada.vn/products/bia-paulaner-oktoberfest-bier-6-nhap-khau-duc-1-lon-500ml-i2740708872.html</v>
      </c>
      <c r="C9795" s="10" t="s">
        <v>9795</v>
      </c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>
      <c r="A9796" s="8">
        <v>14650.0</v>
      </c>
      <c r="B9796" s="9" t="str">
        <f>HYPERLINK("https://www.lazada.vn/products/mi-ly-an-lien-cho-tre-em-tren-1y-mi-chu-he-apanman-mi-doremon-thai-lan-nhat-ban-mien-i2773743510.html", "https://www.lazada.vn/products/mi-ly-an-lien-cho-tre-em-tren-1y-mi-chu-he-apanman-mi-doremon-thai-lan-nhat-ban-mien-i2773743510.html")</f>
        <v>https://www.lazada.vn/products/mi-ly-an-lien-cho-tre-em-tren-1y-mi-chu-he-apanman-mi-doremon-thai-lan-nhat-ban-mien-i2773743510.html</v>
      </c>
      <c r="C9796" s="10" t="s">
        <v>9796</v>
      </c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>
      <c r="A9797" s="8">
        <v>14651.0</v>
      </c>
      <c r="B9797" s="9" t="str">
        <f>HYPERLINK("https://www.lazada.vn/products/banh-karo-bo-trung-gion-richy-270g-18-cai-x-15g-i2801042131.html", "https://www.lazada.vn/products/banh-karo-bo-trung-gion-richy-270g-18-cai-x-15g-i2801042131.html")</f>
        <v>https://www.lazada.vn/products/banh-karo-bo-trung-gion-richy-270g-18-cai-x-15g-i2801042131.html</v>
      </c>
      <c r="C9797" s="10" t="s">
        <v>9797</v>
      </c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>
      <c r="A9798" s="8">
        <v>14652.0</v>
      </c>
      <c r="B9798" s="9" t="str">
        <f>HYPERLINK("https://www.lazada.vn/products/bot-cacao-nguyen-chat-viet-nam-khong-duong-heyday-tui-250g-origin-18-bo-cacao-tu-nhien-vi-socola-nguyen-ban-khong-huong-lieu-phu-gia-i675074233.html", "https://www.lazada.vn/products/bot-cacao-nguyen-chat-viet-nam-khong-duong-heyday-tui-250g-origin-18-bo-cacao-tu-nhien-vi-socola-nguyen-ban-khong-huong-lieu-phu-gia-i675074233.html")</f>
        <v>https://www.lazada.vn/products/bot-cacao-nguyen-chat-viet-nam-khong-duong-heyday-tui-250g-origin-18-bo-cacao-tu-nhien-vi-socola-nguyen-ban-khong-huong-lieu-phu-gia-i675074233.html</v>
      </c>
      <c r="C9798" s="10" t="s">
        <v>9798</v>
      </c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>
      <c r="A9799" s="8">
        <v>14653.0</v>
      </c>
      <c r="B9799" s="9" t="str">
        <f>HYPERLINK("https://www.lazada.vn/products/an-vat-noi-dia-trung-bim-bim-bach-tuoc-snack-bach-tuoc-nuong-thom-ngon-gion-rum-goi-lon-128g-i2621746397.html", "https://www.lazada.vn/products/an-vat-noi-dia-trung-bim-bim-bach-tuoc-snack-bach-tuoc-nuong-thom-ngon-gion-rum-goi-lon-128g-i2621746397.html")</f>
        <v>https://www.lazada.vn/products/an-vat-noi-dia-trung-bim-bim-bach-tuoc-snack-bach-tuoc-nuong-thom-ngon-gion-rum-goi-lon-128g-i2621746397.html</v>
      </c>
      <c r="C9799" s="10" t="s">
        <v>9799</v>
      </c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>
      <c r="A9800" s="8">
        <v>14654.0</v>
      </c>
      <c r="B9800" s="9" t="str">
        <f>HYPERLINK("https://www.lazada.vn/products/500g-cha-nam-sua-phat-dat-tpc-an-tue-hang-lanh-chi-ship-tphcm-i2721556975.html", "https://www.lazada.vn/products/500g-cha-nam-sua-phat-dat-tpc-an-tue-hang-lanh-chi-ship-tphcm-i2721556975.html")</f>
        <v>https://www.lazada.vn/products/500g-cha-nam-sua-phat-dat-tpc-an-tue-hang-lanh-chi-ship-tphcm-i2721556975.html</v>
      </c>
      <c r="C9800" s="10" t="s">
        <v>9800</v>
      </c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>
      <c r="A9801" s="8">
        <v>14655.0</v>
      </c>
      <c r="B9801" s="9" t="str">
        <f>HYPERLINK("https://www.lazada.vn/products/thung-24-lon-nuoc-tang-luc-huong-dau-tay-do-sting-320ml-i1441484099.html", "https://www.lazada.vn/products/thung-24-lon-nuoc-tang-luc-huong-dau-tay-do-sting-320ml-i1441484099.html")</f>
        <v>https://www.lazada.vn/products/thung-24-lon-nuoc-tang-luc-huong-dau-tay-do-sting-320ml-i1441484099.html</v>
      </c>
      <c r="C9801" s="10" t="s">
        <v>9801</v>
      </c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>
      <c r="A9802" s="8">
        <v>14656.0</v>
      </c>
      <c r="B9802" s="9" t="str">
        <f>HYPERLINK("https://www.lazada.vn/products/combo-06-hop-330-ml-nuoc-dua-vico-fresh-vi-nguyen-chat-khong-chua-duong-yoosoo-i2657281932.html", "https://www.lazada.vn/products/combo-06-hop-330-ml-nuoc-dua-vico-fresh-vi-nguyen-chat-khong-chua-duong-yoosoo-i2657281932.html")</f>
        <v>https://www.lazada.vn/products/combo-06-hop-330-ml-nuoc-dua-vico-fresh-vi-nguyen-chat-khong-chua-duong-yoosoo-i2657281932.html</v>
      </c>
      <c r="C9802" s="10" t="s">
        <v>9802</v>
      </c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>
      <c r="A9803" s="8">
        <v>14657.0</v>
      </c>
      <c r="B9803" s="9" t="str">
        <f>HYPERLINK("https://www.lazada.vn/products/an-vat-ngon-combo-1000g-keo-le-bac-ha-keo-ngam-ho-qua-le-keo-le-tay-tang-giup-am-co-hong-thom-mat-tot-cho-suc-khoe-i2652613231.html", "https://www.lazada.vn/products/an-vat-ngon-combo-1000g-keo-le-bac-ha-keo-ngam-ho-qua-le-keo-le-tay-tang-giup-am-co-hong-thom-mat-tot-cho-suc-khoe-i2652613231.html")</f>
        <v>https://www.lazada.vn/products/an-vat-ngon-combo-1000g-keo-le-bac-ha-keo-ngam-ho-qua-le-keo-le-tay-tang-giup-am-co-hong-thom-mat-tot-cho-suc-khoe-i2652613231.html</v>
      </c>
      <c r="C9803" s="10" t="s">
        <v>9803</v>
      </c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>
      <c r="A9804" s="8">
        <v>14658.0</v>
      </c>
      <c r="B9804" s="9" t="str">
        <f>HYPERLINK("https://www.lazada.vn/products/combo-5-banh-mi-goi-bo-sua-ngan-lop-mini-nhien-loi-b97c5-beegin-food-store-i2511973661.html", "https://www.lazada.vn/products/combo-5-banh-mi-goi-bo-sua-ngan-lop-mini-nhien-loi-b97c5-beegin-food-store-i2511973661.html")</f>
        <v>https://www.lazada.vn/products/combo-5-banh-mi-goi-bo-sua-ngan-lop-mini-nhien-loi-b97c5-beegin-food-store-i2511973661.html</v>
      </c>
      <c r="C9804" s="10" t="s">
        <v>9804</v>
      </c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>
      <c r="A9805" s="8">
        <v>14659.0</v>
      </c>
      <c r="B9805" s="9" t="str">
        <f>HYPERLINK("https://www.lazada.vn/products/ruou-vang-nebbia-22-meses-tempranillo-i2399421174.html", "https://www.lazada.vn/products/ruou-vang-nebbia-22-meses-tempranillo-i2399421174.html")</f>
        <v>https://www.lazada.vn/products/ruou-vang-nebbia-22-meses-tempranillo-i2399421174.html</v>
      </c>
      <c r="C9805" s="10" t="s">
        <v>9805</v>
      </c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>
      <c r="A9806" s="8">
        <v>14660.0</v>
      </c>
      <c r="B9806" s="9" t="str">
        <f>HYPERLINK("https://www.lazada.vn/products/xau-10-bich-banh-trang-dau-toi-muoi-tay-ninh-i2095203927.html", "https://www.lazada.vn/products/xau-10-bich-banh-trang-dau-toi-muoi-tay-ninh-i2095203927.html")</f>
        <v>https://www.lazada.vn/products/xau-10-bich-banh-trang-dau-toi-muoi-tay-ninh-i2095203927.html</v>
      </c>
      <c r="C9806" s="10" t="s">
        <v>9806</v>
      </c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>
      <c r="A9807" s="8">
        <v>14661.0</v>
      </c>
      <c r="B9807" s="9" t="str">
        <f>HYPERLINK("https://www.lazada.vn/products/vina-mut-mut-sinh-to-trai-cay-vina-chai-1-lit-10-vi-tu-nhien-i2656494642.html", "https://www.lazada.vn/products/vina-mut-mut-sinh-to-trai-cay-vina-chai-1-lit-10-vi-tu-nhien-i2656494642.html")</f>
        <v>https://www.lazada.vn/products/vina-mut-mut-sinh-to-trai-cay-vina-chai-1-lit-10-vi-tu-nhien-i2656494642.html</v>
      </c>
      <c r="C9807" s="10" t="s">
        <v>9807</v>
      </c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>
      <c r="A9808" s="8">
        <v>14662.0</v>
      </c>
      <c r="B9808" s="9" t="str">
        <f>HYPERLINK("https://www.lazada.vn/products/banh-tai-heo-cac-loai-500g-banh-keo-an-vat-thom-ngon-i2091724344.html", "https://www.lazada.vn/products/banh-tai-heo-cac-loai-500g-banh-keo-an-vat-thom-ngon-i2091724344.html")</f>
        <v>https://www.lazada.vn/products/banh-tai-heo-cac-loai-500g-banh-keo-an-vat-thom-ngon-i2091724344.html</v>
      </c>
      <c r="C9808" s="10" t="s">
        <v>9808</v>
      </c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>
      <c r="A9809" s="8">
        <v>14663.0</v>
      </c>
      <c r="B9809" s="9" t="str">
        <f>HYPERLINK("https://www.lazada.vn/products/ruou-vang-do-tagaro-pignataro-primitivo-i2399419202.html", "https://www.lazada.vn/products/ruou-vang-do-tagaro-pignataro-primitivo-i2399419202.html")</f>
        <v>https://www.lazada.vn/products/ruou-vang-do-tagaro-pignataro-primitivo-i2399419202.html</v>
      </c>
      <c r="C9809" s="10" t="s">
        <v>9809</v>
      </c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>
      <c r="A9810" s="8">
        <v>14664.0</v>
      </c>
      <c r="B9810" s="9" t="str">
        <f>HYPERLINK("https://www.lazada.vn/products/nuoc-nho-do-len-men-3-nam-500ml-vi-ngot-chua-nhe-nguyen-chat-khong-con-dac-san-ninh-thuan-i2655956943.html", "https://www.lazada.vn/products/nuoc-nho-do-len-men-3-nam-500ml-vi-ngot-chua-nhe-nguyen-chat-khong-con-dac-san-ninh-thuan-i2655956943.html")</f>
        <v>https://www.lazada.vn/products/nuoc-nho-do-len-men-3-nam-500ml-vi-ngot-chua-nhe-nguyen-chat-khong-con-dac-san-ninh-thuan-i2655956943.html</v>
      </c>
      <c r="C9810" s="10" t="s">
        <v>9810</v>
      </c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>
      <c r="A9811" s="8">
        <v>14665.0</v>
      </c>
      <c r="B9811" s="9" t="str">
        <f>HYPERLINK("https://www.lazada.vn/products/mit-say-vinamit-500g-date-moi-nhat-i2828076142.html", "https://www.lazada.vn/products/mit-say-vinamit-500g-date-moi-nhat-i2828076142.html")</f>
        <v>https://www.lazada.vn/products/mit-say-vinamit-500g-date-moi-nhat-i2828076142.html</v>
      </c>
      <c r="C9811" s="10" t="s">
        <v>9811</v>
      </c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>
      <c r="A9812" s="8">
        <v>14666.0</v>
      </c>
      <c r="B9812" s="9" t="str">
        <f>HYPERLINK("https://www.lazada.vn/products/bot-pha-nuoc-cam-tang-566g-my-i2606333076.html", "https://www.lazada.vn/products/bot-pha-nuoc-cam-tang-566g-my-i2606333076.html")</f>
        <v>https://www.lazada.vn/products/bot-pha-nuoc-cam-tang-566g-my-i2606333076.html</v>
      </c>
      <c r="C9812" s="10" t="s">
        <v>9812</v>
      </c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>
      <c r="A9813" s="8">
        <v>14667.0</v>
      </c>
      <c r="B9813" s="9" t="str">
        <f>HYPERLINK("https://www.lazada.vn/products/thach-zai-zai-duc-hanh-vi-tu-chon-500g-thach-thanh-dai-chuan-cty-duc-hanh-i1983919402.html", "https://www.lazada.vn/products/thach-zai-zai-duc-hanh-vi-tu-chon-500g-thach-thanh-dai-chuan-cty-duc-hanh-i1983919402.html")</f>
        <v>https://www.lazada.vn/products/thach-zai-zai-duc-hanh-vi-tu-chon-500g-thach-thanh-dai-chuan-cty-duc-hanh-i1983919402.html</v>
      </c>
      <c r="C9813" s="10" t="s">
        <v>9813</v>
      </c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>
      <c r="A9814" s="8">
        <v>14668.0</v>
      </c>
      <c r="B9814" s="9" t="str">
        <f>HYPERLINK("https://www.lazada.vn/products/mangoes-dried-fruit-licorice-olive-dried-salted-olives-nine-made-snacks-wild-olive-fruits-honeydew-dry-fruit-herbs-gourmet-i2923688397.html", "https://www.lazada.vn/products/mangoes-dried-fruit-licorice-olive-dried-salted-olives-nine-made-snacks-wild-olive-fruits-honeydew-dry-fruit-herbs-gourmet-i2923688397.html")</f>
        <v>https://www.lazada.vn/products/mangoes-dried-fruit-licorice-olive-dried-salted-olives-nine-made-snacks-wild-olive-fruits-honeydew-dry-fruit-herbs-gourmet-i2923688397.html</v>
      </c>
      <c r="C9814" s="10" t="s">
        <v>9814</v>
      </c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>
      <c r="A9815" s="8">
        <v>14669.0</v>
      </c>
      <c r="B9815" s="9" t="str">
        <f>HYPERLINK("https://www.lazada.vn/products/loc-6-chai-thuc-uong-bo-sung-ion-pocari-sweat-900ml-i1415342523.html", "https://www.lazada.vn/products/loc-6-chai-thuc-uong-bo-sung-ion-pocari-sweat-900ml-i1415342523.html")</f>
        <v>https://www.lazada.vn/products/loc-6-chai-thuc-uong-bo-sung-ion-pocari-sweat-900ml-i1415342523.html</v>
      </c>
      <c r="C9815" s="10" t="s">
        <v>9815</v>
      </c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>
      <c r="A9816" s="8">
        <v>14670.0</v>
      </c>
      <c r="B9816" s="9" t="str">
        <f>HYPERLINK("https://www.lazada.vn/products/cha-com-chay-an-tue-bich-500g-hang-lanh-chi-ship-tp-hcm-i2720498886.html", "https://www.lazada.vn/products/cha-com-chay-an-tue-bich-500g-hang-lanh-chi-ship-tp-hcm-i2720498886.html")</f>
        <v>https://www.lazada.vn/products/cha-com-chay-an-tue-bich-500g-hang-lanh-chi-ship-tp-hcm-i2720498886.html</v>
      </c>
      <c r="C9816" s="10" t="s">
        <v>9816</v>
      </c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>
      <c r="A9817" s="8">
        <v>14671.0</v>
      </c>
      <c r="B9817" s="9" t="str">
        <f>HYPERLINK("https://www.lazada.vn/products/500g-banh-khoai-tay-potato-hoang-gia-banh-potato-banh-quydo-sieu-ngon-i2621736350.html", "https://www.lazada.vn/products/500g-banh-khoai-tay-potato-hoang-gia-banh-potato-banh-quydo-sieu-ngon-i2621736350.html")</f>
        <v>https://www.lazada.vn/products/500g-banh-khoai-tay-potato-hoang-gia-banh-potato-banh-quydo-sieu-ngon-i2621736350.html</v>
      </c>
      <c r="C9817" s="10" t="s">
        <v>9817</v>
      </c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>
      <c r="A9818" s="8">
        <v>14672.0</v>
      </c>
      <c r="B9818" s="9" t="str">
        <f>HYPERLINK("https://www.lazada.vn/products/tong-hop-bia-liquan-lao-gia-thien-nga-tien-de-keng-1-lit-hang-cao-cap-thom-ngon-i2739666740.html", "https://www.lazada.vn/products/tong-hop-bia-liquan-lao-gia-thien-nga-tien-de-keng-1-lit-hang-cao-cap-thom-ngon-i2739666740.html")</f>
        <v>https://www.lazada.vn/products/tong-hop-bia-liquan-lao-gia-thien-nga-tien-de-keng-1-lit-hang-cao-cap-thom-ngon-i2739666740.html</v>
      </c>
      <c r="C9818" s="10" t="s">
        <v>9818</v>
      </c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>
      <c r="A9819" s="8">
        <v>14673.0</v>
      </c>
      <c r="B9819" s="9" t="str">
        <f>HYPERLINK("https://www.lazada.vn/products/ca-phe-chon-ban-me-500g-i2599619514.html", "https://www.lazada.vn/products/ca-phe-chon-ban-me-500g-i2599619514.html")</f>
        <v>https://www.lazada.vn/products/ca-phe-chon-ban-me-500g-i2599619514.html</v>
      </c>
      <c r="C9819" s="10" t="s">
        <v>9819</v>
      </c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>
      <c r="A9820" s="8">
        <v>14674.0</v>
      </c>
      <c r="B9820" s="9" t="str">
        <f>HYPERLINK("https://www.lazada.vn/products/thung-mi-tan-binh-500gram20-bich-i2768182658.html", "https://www.lazada.vn/products/thung-mi-tan-binh-500gram20-bich-i2768182658.html")</f>
        <v>https://www.lazada.vn/products/thung-mi-tan-binh-500gram20-bich-i2768182658.html</v>
      </c>
      <c r="C9820" s="10" t="s">
        <v>9820</v>
      </c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>
      <c r="A9821" s="8">
        <v>14675.0</v>
      </c>
      <c r="B9821" s="9" t="str">
        <f>HYPERLINK("https://www.lazada.vn/products/bong-milo-thai-lan-65kbich-12-goi-cam-ket-hang-dung-mo-ta-chat-luong-dam-bao-an-toan-den-suc-khoe-nguoi-su-dung-i673398620.html", "https://www.lazada.vn/products/bong-milo-thai-lan-65kbich-12-goi-cam-ket-hang-dung-mo-ta-chat-luong-dam-bao-an-toan-den-suc-khoe-nguoi-su-dung-i673398620.html")</f>
        <v>https://www.lazada.vn/products/bong-milo-thai-lan-65kbich-12-goi-cam-ket-hang-dung-mo-ta-chat-luong-dam-bao-an-toan-den-suc-khoe-nguoi-su-dung-i673398620.html</v>
      </c>
      <c r="C9821" s="10" t="s">
        <v>9821</v>
      </c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>
      <c r="A9822" s="8">
        <v>14676.0</v>
      </c>
      <c r="B9822" s="9" t="str">
        <f>HYPERLINK("https://www.lazada.vn/products/banh-tao-do-oc-cho-cha-la-banh-tao-do-khong-duong-an-kieng-shop-haimy-i2800452379.html", "https://www.lazada.vn/products/banh-tao-do-oc-cho-cha-la-banh-tao-do-khong-duong-an-kieng-shop-haimy-i2800452379.html")</f>
        <v>https://www.lazada.vn/products/banh-tao-do-oc-cho-cha-la-banh-tao-do-khong-duong-an-kieng-shop-haimy-i2800452379.html</v>
      </c>
      <c r="C9822" s="10" t="s">
        <v>9822</v>
      </c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>
      <c r="A9823" s="8">
        <v>14677.0</v>
      </c>
      <c r="B9823" s="9" t="str">
        <f>HYPERLINK("https://www.lazada.vn/products/mit-say-vinamit-210g-date-moi-nhat-i2828049244.html", "https://www.lazada.vn/products/mit-say-vinamit-210g-date-moi-nhat-i2828049244.html")</f>
        <v>https://www.lazada.vn/products/mit-say-vinamit-210g-date-moi-nhat-i2828049244.html</v>
      </c>
      <c r="C9823" s="10" t="s">
        <v>9823</v>
      </c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>
      <c r="A9824" s="8">
        <v>14678.0</v>
      </c>
      <c r="B9824" s="9" t="str">
        <f>HYPERLINK("https://www.lazada.vn/products/combo-tiet-kiem-3-hu-an-vat-tuoi-tho-nui-bo-say-gion-dui-ga-bo-cay-bim-bim-que-dau-i2090227741.html", "https://www.lazada.vn/products/combo-tiet-kiem-3-hu-an-vat-tuoi-tho-nui-bo-say-gion-dui-ga-bo-cay-bim-bim-que-dau-i2090227741.html")</f>
        <v>https://www.lazada.vn/products/combo-tiet-kiem-3-hu-an-vat-tuoi-tho-nui-bo-say-gion-dui-ga-bo-cay-bim-bim-que-dau-i2090227741.html</v>
      </c>
      <c r="C9824" s="10" t="s">
        <v>9824</v>
      </c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>
      <c r="A9825" s="8">
        <v>14679.0</v>
      </c>
      <c r="B9825" s="9" t="str">
        <f>HYPERLINK("https://www.lazada.vn/products/loc-6-chai-tra-oi-hong-455ml-uong-lien-cozy-tra-trai-cay-thom-ngon-ro-vi-oi-hong-tuoi-mat-ngot-thanh-i2655665184.html", "https://www.lazada.vn/products/loc-6-chai-tra-oi-hong-455ml-uong-lien-cozy-tra-trai-cay-thom-ngon-ro-vi-oi-hong-tuoi-mat-ngot-thanh-i2655665184.html")</f>
        <v>https://www.lazada.vn/products/loc-6-chai-tra-oi-hong-455ml-uong-lien-cozy-tra-trai-cay-thom-ngon-ro-vi-oi-hong-tuoi-mat-ngot-thanh-i2655665184.html</v>
      </c>
      <c r="C9825" s="10" t="s">
        <v>9825</v>
      </c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>
      <c r="A9826" s="8">
        <v>14680.0</v>
      </c>
      <c r="B9826" s="9" t="str">
        <f>HYPERLINK("https://www.lazada.vn/products/hot-thach-zai-zai-plus-tra-sua-tran-chau-1kg-thach-thanh-dai-chuan-cty-duc-hanh-i1983890498.html", "https://www.lazada.vn/products/hot-thach-zai-zai-plus-tra-sua-tran-chau-1kg-thach-thanh-dai-chuan-cty-duc-hanh-i1983890498.html")</f>
        <v>https://www.lazada.vn/products/hot-thach-zai-zai-plus-tra-sua-tran-chau-1kg-thach-thanh-dai-chuan-cty-duc-hanh-i1983890498.html</v>
      </c>
      <c r="C9826" s="10" t="s">
        <v>9826</v>
      </c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>
      <c r="A9827" s="8">
        <v>14681.0</v>
      </c>
      <c r="B9827" s="9" t="str">
        <f>HYPERLINK("https://www.lazada.vn/products/ruou-vang-conti-zecca-3-tre-grappoli-i2399329369.html", "https://www.lazada.vn/products/ruou-vang-conti-zecca-3-tre-grappoli-i2399329369.html")</f>
        <v>https://www.lazada.vn/products/ruou-vang-conti-zecca-3-tre-grappoli-i2399329369.html</v>
      </c>
      <c r="C9827" s="10" t="s">
        <v>9827</v>
      </c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>
      <c r="A9828" s="8">
        <v>14682.0</v>
      </c>
      <c r="B9828" s="9" t="str">
        <f>HYPERLINK("https://www.lazada.vn/products/thung-15-chai-thuc-uong-bo-sung-ion-pocari-sweat-900ml-i1415318341.html", "https://www.lazada.vn/products/thung-15-chai-thuc-uong-bo-sung-ion-pocari-sweat-900ml-i1415318341.html")</f>
        <v>https://www.lazada.vn/products/thung-15-chai-thuc-uong-bo-sung-ion-pocari-sweat-900ml-i1415318341.html</v>
      </c>
      <c r="C9828" s="10" t="s">
        <v>9828</v>
      </c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>
      <c r="A9829" s="8">
        <v>14683.0</v>
      </c>
      <c r="B9829" s="9" t="str">
        <f>HYPERLINK("https://www.lazada.vn/products/thach-zai-zai-plus-tra-sua-tran-chau-500g-zai-zai-thanh-dai-hang-cong-ty-duc-hanh-i1983789022.html", "https://www.lazada.vn/products/thach-zai-zai-plus-tra-sua-tran-chau-500g-zai-zai-thanh-dai-hang-cong-ty-duc-hanh-i1983789022.html")</f>
        <v>https://www.lazada.vn/products/thach-zai-zai-plus-tra-sua-tran-chau-500g-zai-zai-thanh-dai-hang-cong-ty-duc-hanh-i1983789022.html</v>
      </c>
      <c r="C9829" s="10" t="s">
        <v>9829</v>
      </c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>
      <c r="A9830" s="8">
        <v>14684.0</v>
      </c>
      <c r="B9830" s="9" t="str">
        <f>HYPERLINK("https://www.lazada.vn/products/hu-tieu-nam-vang-nhiep-song-1thung-30-goi-i2768153374.html", "https://www.lazada.vn/products/hu-tieu-nam-vang-nhiep-song-1thung-30-goi-i2768153374.html")</f>
        <v>https://www.lazada.vn/products/hu-tieu-nam-vang-nhiep-song-1thung-30-goi-i2768153374.html</v>
      </c>
      <c r="C9830" s="10" t="s">
        <v>9830</v>
      </c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>
      <c r="A9831" s="8">
        <v>14685.0</v>
      </c>
      <c r="B9831" s="9" t="str">
        <f>HYPERLINK("https://www.lazada.vn/products/banh-yogo-vung-dua-250g-banh-an-vat-tuoi-tho-i2800355501.html", "https://www.lazada.vn/products/banh-yogo-vung-dua-250g-banh-an-vat-tuoi-tho-i2800355501.html")</f>
        <v>https://www.lazada.vn/products/banh-yogo-vung-dua-250g-banh-an-vat-tuoi-tho-i2800355501.html</v>
      </c>
      <c r="C9831" s="10" t="s">
        <v>9831</v>
      </c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>
      <c r="A9832" s="8">
        <v>14686.0</v>
      </c>
      <c r="B9832" s="9" t="str">
        <f>HYPERLINK("https://www.lazada.vn/products/bot-pha-nuoc-cam-tang-bo-sung-vitamin-c-cua-my-566gr-i2606280504.html", "https://www.lazada.vn/products/bot-pha-nuoc-cam-tang-bo-sung-vitamin-c-cua-my-566gr-i2606280504.html")</f>
        <v>https://www.lazada.vn/products/bot-pha-nuoc-cam-tang-bo-sung-vitamin-c-cua-my-566gr-i2606280504.html</v>
      </c>
      <c r="C9832" s="10" t="s">
        <v>9832</v>
      </c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>
      <c r="A9833" s="8">
        <v>14687.0</v>
      </c>
      <c r="B9833" s="9" t="str">
        <f>HYPERLINK("https://www.lazada.vn/products/goi-400g-keo-deo-sua-song-hy-keo-dam-cuoi-hoi-keo-tet-banh-keo-an-vat-muasamnhanh-i2652531738.html", "https://www.lazada.vn/products/goi-400g-keo-deo-sua-song-hy-keo-dam-cuoi-hoi-keo-tet-banh-keo-an-vat-muasamnhanh-i2652531738.html")</f>
        <v>https://www.lazada.vn/products/goi-400g-keo-deo-sua-song-hy-keo-dam-cuoi-hoi-keo-tet-banh-keo-an-vat-muasamnhanh-i2652531738.html</v>
      </c>
      <c r="C9833" s="10" t="s">
        <v>9833</v>
      </c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>
      <c r="A9834" s="8">
        <v>14688.0</v>
      </c>
      <c r="B9834" s="9" t="str">
        <f>HYPERLINK("https://www.lazada.vn/products/an-vat-ngon-500-gam-bim-bim-tam-dau-ha-lan-i2621695764.html", "https://www.lazada.vn/products/an-vat-ngon-500-gam-bim-bim-tam-dau-ha-lan-i2621695764.html")</f>
        <v>https://www.lazada.vn/products/an-vat-ngon-500-gam-bim-bim-tam-dau-ha-lan-i2621695764.html</v>
      </c>
      <c r="C9834" s="10" t="s">
        <v>9834</v>
      </c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>
      <c r="A9835" s="8">
        <v>14689.0</v>
      </c>
      <c r="B9835" s="9" t="str">
        <f>HYPERLINK("https://www.lazada.vn/products/ca-phe-sua-hoa-tan-g7-3in1-bich-50-sachets-x-16gr-goi-vuong-i2599534991.html", "https://www.lazada.vn/products/ca-phe-sua-hoa-tan-g7-3in1-bich-50-sachets-x-16gr-goi-vuong-i2599534991.html")</f>
        <v>https://www.lazada.vn/products/ca-phe-sua-hoa-tan-g7-3in1-bich-50-sachets-x-16gr-goi-vuong-i2599534991.html</v>
      </c>
      <c r="C9835" s="10" t="s">
        <v>9835</v>
      </c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>
      <c r="A9836" s="8">
        <v>14690.0</v>
      </c>
      <c r="B9836" s="9" t="str">
        <f>HYPERLINK("https://www.lazada.vn/products/mam-tom-kho-muoi-nhe-quang-tay-500g-mam-tom-kho-tuoi-dac-san-dia-phuong-tay-son-khong-co-trung-quoc-dai-luc-xianyi-i2923644652.html", "https://www.lazada.vn/products/mam-tom-kho-muoi-nhe-quang-tay-500g-mam-tom-kho-tuoi-dac-san-dia-phuong-tay-son-khong-co-trung-quoc-dai-luc-xianyi-i2923644652.html")</f>
        <v>https://www.lazada.vn/products/mam-tom-kho-muoi-nhe-quang-tay-500g-mam-tom-kho-tuoi-dac-san-dia-phuong-tay-son-khong-co-trung-quoc-dai-luc-xianyi-i2923644652.html</v>
      </c>
      <c r="C9836" s="10" t="s">
        <v>9836</v>
      </c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>
      <c r="A9837" s="8">
        <v>14691.0</v>
      </c>
      <c r="B9837" s="9" t="str">
        <f>HYPERLINK("https://www.lazada.vn/products/da-me-deo-rim-dac-hu-1kg-thom-ngon-chua-ngot-i2828014576.html", "https://www.lazada.vn/products/da-me-deo-rim-dac-hu-1kg-thom-ngon-chua-ngot-i2828014576.html")</f>
        <v>https://www.lazada.vn/products/da-me-deo-rim-dac-hu-1kg-thom-ngon-chua-ngot-i2828014576.html</v>
      </c>
      <c r="C9837" s="10" t="s">
        <v>9837</v>
      </c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>
      <c r="A9838" s="8">
        <v>14692.0</v>
      </c>
      <c r="B9838" s="9" t="str">
        <f>HYPERLINK("https://www.lazada.vn/products/bich-10goi-nuoc-trai-cay-vi-sua-chua-thom-ngon-i2655595365.html", "https://www.lazada.vn/products/bich-10goi-nuoc-trai-cay-vi-sua-chua-thom-ngon-i2655595365.html")</f>
        <v>https://www.lazada.vn/products/bich-10goi-nuoc-trai-cay-vi-sua-chua-thom-ngon-i2655595365.html</v>
      </c>
      <c r="C9838" s="10" t="s">
        <v>9838</v>
      </c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>
      <c r="A9839" s="8">
        <v>14693.0</v>
      </c>
      <c r="B9839" s="9" t="str">
        <f>HYPERLINK("https://www.lazada.vn/products/bot-pha-nuoc-cam-tang-566g-my-i2606273578.html", "https://www.lazada.vn/products/bot-pha-nuoc-cam-tang-566g-my-i2606273578.html")</f>
        <v>https://www.lazada.vn/products/bot-pha-nuoc-cam-tang-566g-my-i2606273578.html</v>
      </c>
      <c r="C9839" s="10" t="s">
        <v>9839</v>
      </c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>
      <c r="A9840" s="8">
        <v>14694.0</v>
      </c>
      <c r="B9840" s="9" t="str">
        <f>HYPERLINK("https://www.lazada.vn/products/set-3q-do-an-vat-quay-hop-xien-vung-mieng-vung-i2088307015.html", "https://www.lazada.vn/products/set-3q-do-an-vat-quay-hop-xien-vung-mieng-vung-i2088307015.html")</f>
        <v>https://www.lazada.vn/products/set-3q-do-an-vat-quay-hop-xien-vung-mieng-vung-i2088307015.html</v>
      </c>
      <c r="C9840" s="10" t="s">
        <v>9840</v>
      </c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>
      <c r="A9841" s="8">
        <v>14695.0</v>
      </c>
      <c r="B9841" s="9" t="str">
        <f>HYPERLINK("https://www.lazada.vn/products/nuoc-yen-ngan-nhi-tribeco-30-lon-x-240-ml-i1412585029.html", "https://www.lazada.vn/products/nuoc-yen-ngan-nhi-tribeco-30-lon-x-240-ml-i1412585029.html")</f>
        <v>https://www.lazada.vn/products/nuoc-yen-ngan-nhi-tribeco-30-lon-x-240-ml-i1412585029.html</v>
      </c>
      <c r="C9841" s="10" t="s">
        <v>9841</v>
      </c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>
      <c r="A9842" s="8">
        <v>14696.0</v>
      </c>
      <c r="B9842" s="9" t="str">
        <f>HYPERLINK("https://www.lazada.vn/products/hop-1-chai-ruou-vang-valdivieso-grand-reserva-cabernet-sauvignon-i2399300529.html", "https://www.lazada.vn/products/hop-1-chai-ruou-vang-valdivieso-grand-reserva-cabernet-sauvignon-i2399300529.html")</f>
        <v>https://www.lazada.vn/products/hop-1-chai-ruou-vang-valdivieso-grand-reserva-cabernet-sauvignon-i2399300529.html</v>
      </c>
      <c r="C9842" s="10" t="s">
        <v>9842</v>
      </c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>
      <c r="A9843" s="8">
        <v>14697.0</v>
      </c>
      <c r="B9843" s="9" t="str">
        <f>HYPERLINK("https://www.lazada.vn/products/hcm-sale-3-ngayset-5-goi-keo-doi-lac-thai-binh-gion-thom-bui-ngonkeo-keo-goi-150g5-do-an-vat-an-vat-tet-tet-i2652498351.html", "https://www.lazada.vn/products/hcm-sale-3-ngayset-5-goi-keo-doi-lac-thai-binh-gion-thom-bui-ngonkeo-keo-goi-150g5-do-an-vat-an-vat-tet-tet-i2652498351.html")</f>
        <v>https://www.lazada.vn/products/hcm-sale-3-ngayset-5-goi-keo-doi-lac-thai-binh-gion-thom-bui-ngonkeo-keo-goi-150g5-do-an-vat-an-vat-tet-tet-i2652498351.html</v>
      </c>
      <c r="C9843" s="10" t="s">
        <v>9843</v>
      </c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>
      <c r="A9844" s="8">
        <v>14698.0</v>
      </c>
      <c r="B9844" s="9" t="str">
        <f>HYPERLINK("https://www.lazada.vn/products/snack-bimbim-ostar-khoai-tay-du-cac-vi-goi-60gr-date-luon-moi-i2620859001.html", "https://www.lazada.vn/products/snack-bimbim-ostar-khoai-tay-du-cac-vi-goi-60gr-date-luon-moi-i2620859001.html")</f>
        <v>https://www.lazada.vn/products/snack-bimbim-ostar-khoai-tay-du-cac-vi-goi-60gr-date-luon-moi-i2620859001.html</v>
      </c>
      <c r="C9844" s="10" t="s">
        <v>9844</v>
      </c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>
      <c r="A9845" s="8">
        <v>14699.0</v>
      </c>
      <c r="B9845" s="9" t="str">
        <f>HYPERLINK("https://www.lazada.vn/products/banh-yogo-vung-dua-500g-banh-an-vat-tuoi-tho-i2800288945.html", "https://www.lazada.vn/products/banh-yogo-vung-dua-500g-banh-an-vat-tuoi-tho-i2800288945.html")</f>
        <v>https://www.lazada.vn/products/banh-yogo-vung-dua-500g-banh-an-vat-tuoi-tho-i2800288945.html</v>
      </c>
      <c r="C9845" s="10" t="s">
        <v>9845</v>
      </c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>
      <c r="A9846" s="8">
        <v>14700.0</v>
      </c>
      <c r="B9846" s="9" t="str">
        <f>HYPERLINK("https://www.lazada.vn/products/mi-ly-chay-cung-dinh-thung-24-ly-65g-i2767151231.html", "https://www.lazada.vn/products/mi-ly-chay-cung-dinh-thung-24-ly-65g-i2767151231.html")</f>
        <v>https://www.lazada.vn/products/mi-ly-chay-cung-dinh-thung-24-ly-65g-i2767151231.html</v>
      </c>
      <c r="C9846" s="10" t="s">
        <v>9846</v>
      </c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>
      <c r="A9847" s="8">
        <v>14701.0</v>
      </c>
      <c r="B9847" s="9" t="str">
        <f>HYPERLINK("https://www.lazada.vn/products/thach-zai-zai-tui-500g-zai-zai-vi-tu-chon-hang-cong-ty-duc-hanh-i1983718656.html", "https://www.lazada.vn/products/thach-zai-zai-tui-500g-zai-zai-vi-tu-chon-hang-cong-ty-duc-hanh-i1983718656.html")</f>
        <v>https://www.lazada.vn/products/thach-zai-zai-tui-500g-zai-zai-vi-tu-chon-hang-cong-ty-duc-hanh-i1983718656.html</v>
      </c>
      <c r="C9847" s="10" t="s">
        <v>9847</v>
      </c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>
      <c r="A9848" s="8">
        <v>14702.0</v>
      </c>
      <c r="B9848" s="9" t="str">
        <f>HYPERLINK("https://www.lazada.vn/products/khoai-lang-say-vinamit-250g-date-moi-nhat-i2827976476.html", "https://www.lazada.vn/products/khoai-lang-say-vinamit-250g-date-moi-nhat-i2827976476.html")</f>
        <v>https://www.lazada.vn/products/khoai-lang-say-vinamit-250g-date-moi-nhat-i2827976476.html</v>
      </c>
      <c r="C9848" s="10" t="s">
        <v>9848</v>
      </c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>
      <c r="A9849" s="8">
        <v>14703.0</v>
      </c>
      <c r="B9849" s="9" t="str">
        <f>HYPERLINK("https://www.lazada.vn/products/nuoc-cot-dau-tam-dau-tay-chanh-day-atiso-do-100-dac-san-da-lat-tang-cuong-vitamin-tro-tieu-hoa-tang-suc-de-khang-i-kho-thao-duoc-24h-i2654682736.html", "https://www.lazada.vn/products/nuoc-cot-dau-tam-dau-tay-chanh-day-atiso-do-100-dac-san-da-lat-tang-cuong-vitamin-tro-tieu-hoa-tang-suc-de-khang-i-kho-thao-duoc-24h-i2654682736.html")</f>
        <v>https://www.lazada.vn/products/nuoc-cot-dau-tam-dau-tay-chanh-day-atiso-do-100-dac-san-da-lat-tang-cuong-vitamin-tro-tieu-hoa-tang-suc-de-khang-i-kho-thao-duoc-24h-i2654682736.html</v>
      </c>
      <c r="C9849" s="10" t="s">
        <v>9849</v>
      </c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>
      <c r="A9850" s="8">
        <v>14704.0</v>
      </c>
      <c r="B9850" s="9" t="str">
        <f>HYPERLINK("https://www.lazada.vn/products/bimbim-snack-ostar-khoai-tay-vi-tao-bienkim-chi-han-swing-goi-36gr-i2620799502.html", "https://www.lazada.vn/products/bimbim-snack-ostar-khoai-tay-vi-tao-bienkim-chi-han-swing-goi-36gr-i2620799502.html")</f>
        <v>https://www.lazada.vn/products/bimbim-snack-ostar-khoai-tay-vi-tao-bienkim-chi-han-swing-goi-36gr-i2620799502.html</v>
      </c>
      <c r="C9850" s="10" t="s">
        <v>9850</v>
      </c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>
      <c r="A9851" s="8">
        <v>14705.0</v>
      </c>
      <c r="B9851" s="9" t="str">
        <f>HYPERLINK("https://www.lazada.vn/products/hcm500gr-banh-tai-heo-nhi-trung-hieu-gion-rum-thom-ngon-an-vat-cuc-thich-i2087663007.html", "https://www.lazada.vn/products/hcm500gr-banh-tai-heo-nhi-trung-hieu-gion-rum-thom-ngon-an-vat-cuc-thich-i2087663007.html")</f>
        <v>https://www.lazada.vn/products/hcm500gr-banh-tai-heo-nhi-trung-hieu-gion-rum-thom-ngon-an-vat-cuc-thich-i2087663007.html</v>
      </c>
      <c r="C9851" s="10" t="s">
        <v>9851</v>
      </c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>
      <c r="A9852" s="8">
        <v>14706.0</v>
      </c>
      <c r="B9852" s="9" t="str">
        <f>HYPERLINK("https://www.lazada.vn/products/khoai-tay-cat-thang-savepak-10mm-goi-2kg-i2620786672.html", "https://www.lazada.vn/products/khoai-tay-cat-thang-savepak-10mm-goi-2kg-i2620786672.html")</f>
        <v>https://www.lazada.vn/products/khoai-tay-cat-thang-savepak-10mm-goi-2kg-i2620786672.html</v>
      </c>
      <c r="C9852" s="10" t="s">
        <v>9852</v>
      </c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>
      <c r="A9853" s="8">
        <v>14707.0</v>
      </c>
      <c r="B9853" s="9" t="str">
        <f>HYPERLINK("https://www.lazada.vn/products/hop-1-chai-ruou-vang-do-collefrisio-appassimento-i2399294566.html", "https://www.lazada.vn/products/hop-1-chai-ruou-vang-do-collefrisio-appassimento-i2399294566.html")</f>
        <v>https://www.lazada.vn/products/hop-1-chai-ruou-vang-do-collefrisio-appassimento-i2399294566.html</v>
      </c>
      <c r="C9853" s="10" t="s">
        <v>9853</v>
      </c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>
      <c r="A9854" s="8">
        <v>14708.0</v>
      </c>
      <c r="B9854" s="9" t="str">
        <f>HYPERLINK("https://www.lazada.vn/products/1goi-keo-sieu-chua-mua-10goi-tang-1-goi-muasamnhanh-i2652378922.html", "https://www.lazada.vn/products/1goi-keo-sieu-chua-mua-10goi-tang-1-goi-muasamnhanh-i2652378922.html")</f>
        <v>https://www.lazada.vn/products/1goi-keo-sieu-chua-mua-10goi-tang-1-goi-muasamnhanh-i2652378922.html</v>
      </c>
      <c r="C9854" s="10" t="s">
        <v>9854</v>
      </c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>
      <c r="A9855" s="8">
        <v>14709.0</v>
      </c>
      <c r="B9855" s="9" t="str">
        <f>HYPERLINK("https://www.lazada.vn/products/mi-cung-dinh-tom-chua-cay-thung-24-ly-65g-i2766968813.html", "https://www.lazada.vn/products/mi-cung-dinh-tom-chua-cay-thung-24-ly-65g-i2766968813.html")</f>
        <v>https://www.lazada.vn/products/mi-cung-dinh-tom-chua-cay-thung-24-ly-65g-i2766968813.html</v>
      </c>
      <c r="C9855" s="10" t="s">
        <v>9855</v>
      </c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>
      <c r="A9856" s="8">
        <v>14710.0</v>
      </c>
      <c r="B9856" s="9" t="str">
        <f>HYPERLINK("https://www.lazada.vn/products/nuoc-khoang-lavie-500ml-1-chai-i1405733046.html", "https://www.lazada.vn/products/nuoc-khoang-lavie-500ml-1-chai-i1405733046.html")</f>
        <v>https://www.lazada.vn/products/nuoc-khoang-lavie-500ml-1-chai-i1405733046.html</v>
      </c>
      <c r="C9856" s="10" t="s">
        <v>9856</v>
      </c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>
      <c r="A9857" s="8">
        <v>14711.0</v>
      </c>
      <c r="B9857" s="9" t="str">
        <f>HYPERLINK("https://www.lazada.vn/products/milo-hu-400g-thuc-uong-lua-mach-vn-active-go-barley-powder-i2606087920.html", "https://www.lazada.vn/products/milo-hu-400g-thuc-uong-lua-mach-vn-active-go-barley-powder-i2606087920.html")</f>
        <v>https://www.lazada.vn/products/milo-hu-400g-thuc-uong-lua-mach-vn-active-go-barley-powder-i2606087920.html</v>
      </c>
      <c r="C9857" s="10" t="s">
        <v>9857</v>
      </c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>
      <c r="A9858" s="8">
        <v>14712.0</v>
      </c>
      <c r="B9858" s="9" t="str">
        <f>HYPERLINK("https://www.lazada.vn/products/thach-zai-zai-plus-tra-sua-tran-chau-1kg-zai-zai-thanh-dai-hang-cong-ty-duc-hanh-i1983682672.html", "https://www.lazada.vn/products/thach-zai-zai-plus-tra-sua-tran-chau-1kg-zai-zai-thanh-dai-hang-cong-ty-duc-hanh-i1983682672.html")</f>
        <v>https://www.lazada.vn/products/thach-zai-zai-plus-tra-sua-tran-chau-1kg-zai-zai-thanh-dai-hang-cong-ty-duc-hanh-i1983682672.html</v>
      </c>
      <c r="C9858" s="10" t="s">
        <v>9858</v>
      </c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>
      <c r="A9859" s="8">
        <v>14713.0</v>
      </c>
      <c r="B9859" s="9" t="str">
        <f>HYPERLINK("https://www.lazada.vn/products/bim-bim-que-dau-ha-lan-lo-350-gram-tuoi-tho-ua-ve-i2800126519.html", "https://www.lazada.vn/products/bim-bim-que-dau-ha-lan-lo-350-gram-tuoi-tho-ua-ve-i2800126519.html")</f>
        <v>https://www.lazada.vn/products/bim-bim-que-dau-ha-lan-lo-350-gram-tuoi-tho-ua-ve-i2800126519.html</v>
      </c>
      <c r="C9859" s="10" t="s">
        <v>9859</v>
      </c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>
      <c r="A9860" s="8">
        <v>14714.0</v>
      </c>
      <c r="B9860" s="9" t="str">
        <f>HYPERLINK("https://www.lazada.vn/products/natural-dried-papaya-thread-premium-quality-rabbit-guinea-pig-digestive-aid-hair-elimination-gut-health-snack-fruit-dry-i2923608651.html", "https://www.lazada.vn/products/natural-dried-papaya-thread-premium-quality-rabbit-guinea-pig-digestive-aid-hair-elimination-gut-health-snack-fruit-dry-i2923608651.html")</f>
        <v>https://www.lazada.vn/products/natural-dried-papaya-thread-premium-quality-rabbit-guinea-pig-digestive-aid-hair-elimination-gut-health-snack-fruit-dry-i2923608651.html</v>
      </c>
      <c r="C9860" s="10" t="s">
        <v>9860</v>
      </c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>
      <c r="A9861" s="8">
        <v>14715.0</v>
      </c>
      <c r="B9861" s="9" t="str">
        <f>HYPERLINK("https://www.lazada.vn/products/nong-do-con-43-combo-3-thung-24-bia-333-pilsner-330ml-i2737093591.html", "https://www.lazada.vn/products/nong-do-con-43-combo-3-thung-24-bia-333-pilsner-330ml-i2737093591.html")</f>
        <v>https://www.lazada.vn/products/nong-do-con-43-combo-3-thung-24-bia-333-pilsner-330ml-i2737093591.html</v>
      </c>
      <c r="C9861" s="10" t="s">
        <v>9861</v>
      </c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>
      <c r="A9862" s="8">
        <v>14716.0</v>
      </c>
      <c r="B9862" s="9" t="str">
        <f>HYPERLINK("https://www.lazada.vn/products/tui-500g-khoai-lang-mat-da-lat-say-deo-bui-thom-ngot-mat-i2827002477.html", "https://www.lazada.vn/products/tui-500g-khoai-lang-mat-da-lat-say-deo-bui-thom-ngot-mat-i2827002477.html")</f>
        <v>https://www.lazada.vn/products/tui-500g-khoai-lang-mat-da-lat-say-deo-bui-thom-ngot-mat-i2827002477.html</v>
      </c>
      <c r="C9862" s="10" t="s">
        <v>9862</v>
      </c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>
      <c r="A9863" s="8">
        <v>14717.0</v>
      </c>
      <c r="B9863" s="9" t="str">
        <f>HYPERLINK("https://www.lazada.vn/products/nuoc-cot-atiso-do-100-chiet-xuat-tu-tinh-chat-dai-hoa-atiso-do-nhieu-cong-dung-tuyet-voi-cho-suc-khoe-con-nguoi-i-kho-thao-duoc-24h-i2654659752.html", "https://www.lazada.vn/products/nuoc-cot-atiso-do-100-chiet-xuat-tu-tinh-chat-dai-hoa-atiso-do-nhieu-cong-dung-tuyet-voi-cho-suc-khoe-con-nguoi-i-kho-thao-duoc-24h-i2654659752.html")</f>
        <v>https://www.lazada.vn/products/nuoc-cot-atiso-do-100-chiet-xuat-tu-tinh-chat-dai-hoa-atiso-do-nhieu-cong-dung-tuyet-voi-cho-suc-khoe-con-nguoi-i-kho-thao-duoc-24h-i2654659752.html</v>
      </c>
      <c r="C9863" s="10" t="s">
        <v>9863</v>
      </c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>
      <c r="A9864" s="8">
        <v>14718.0</v>
      </c>
      <c r="B9864" s="9" t="str">
        <f>HYPERLINK("https://www.lazada.vn/products/snack-bim-bim-khoai-mo-du-vi-goi-90g-i2620213265.html", "https://www.lazada.vn/products/snack-bim-bim-khoai-mo-du-vi-goi-90g-i2620213265.html")</f>
        <v>https://www.lazada.vn/products/snack-bim-bim-khoai-mo-du-vi-goi-90g-i2620213265.html</v>
      </c>
      <c r="C9864" s="10" t="s">
        <v>9864</v>
      </c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>
      <c r="A9865" s="8">
        <v>14719.0</v>
      </c>
      <c r="B9865" s="9" t="str">
        <f>HYPERLINK("https://www.lazada.vn/products/mi-siu-cay-vi-bo-1thung-24-goi-i2766818835.html", "https://www.lazada.vn/products/mi-siu-cay-vi-bo-1thung-24-goi-i2766818835.html")</f>
        <v>https://www.lazada.vn/products/mi-siu-cay-vi-bo-1thung-24-goi-i2766818835.html</v>
      </c>
      <c r="C9865" s="10" t="s">
        <v>9865</v>
      </c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>
      <c r="A9866" s="8">
        <v>14720.0</v>
      </c>
      <c r="B9866" s="9" t="str">
        <f>HYPERLINK("https://www.lazada.vn/products/loc-10-chai-bo-huc-noi-dia-chuan-thai-lan-redbull-i1386056230.html", "https://www.lazada.vn/products/loc-10-chai-bo-huc-noi-dia-chuan-thai-lan-redbull-i1386056230.html")</f>
        <v>https://www.lazada.vn/products/loc-10-chai-bo-huc-noi-dia-chuan-thai-lan-redbull-i1386056230.html</v>
      </c>
      <c r="C9866" s="10" t="s">
        <v>9866</v>
      </c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>
      <c r="A9867" s="8">
        <v>14721.0</v>
      </c>
      <c r="B9867" s="9" t="str">
        <f>HYPERLINK("https://www.lazada.vn/products/bot-cam-tang-thai-lan-thuc-pham-bo-sung-vitamin-c-huong-vi-cam-375g-i2605682611.html", "https://www.lazada.vn/products/bot-cam-tang-thai-lan-thuc-pham-bo-sung-vitamin-c-huong-vi-cam-375g-i2605682611.html")</f>
        <v>https://www.lazada.vn/products/bot-cam-tang-thai-lan-thuc-pham-bo-sung-vitamin-c-huong-vi-cam-375g-i2605682611.html</v>
      </c>
      <c r="C9867" s="10" t="s">
        <v>9867</v>
      </c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>
      <c r="A9868" s="8">
        <v>14722.0</v>
      </c>
      <c r="B9868" s="9" t="str">
        <f>HYPERLINK("https://www.lazada.vn/products/1kg-bim-bim-que-dau-ha-lan-i2087540676.html", "https://www.lazada.vn/products/1kg-bim-bim-que-dau-ha-lan-i2087540676.html")</f>
        <v>https://www.lazada.vn/products/1kg-bim-bim-que-dau-ha-lan-i2087540676.html</v>
      </c>
      <c r="C9868" s="10" t="s">
        <v>9868</v>
      </c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>
      <c r="A9869" s="8">
        <v>14723.0</v>
      </c>
      <c r="B9869" s="9" t="str">
        <f>HYPERLINK("https://www.lazada.vn/products/ruou-vang-do-uc-mcguigan-private-bin-cabernet-sauvignon-i2399169109.html", "https://www.lazada.vn/products/ruou-vang-do-uc-mcguigan-private-bin-cabernet-sauvignon-i2399169109.html")</f>
        <v>https://www.lazada.vn/products/ruou-vang-do-uc-mcguigan-private-bin-cabernet-sauvignon-i2399169109.html</v>
      </c>
      <c r="C9869" s="10" t="s">
        <v>9869</v>
      </c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>
      <c r="A9870" s="8">
        <v>14724.0</v>
      </c>
      <c r="B9870" s="9" t="str">
        <f>HYPERLINK("https://www.lazada.vn/products/thach-zai-zai-tui-1kg-zai-zai-vi-tu-chon-hang-cong-ty-duc-hanh-i1983681916.html", "https://www.lazada.vn/products/thach-zai-zai-tui-1kg-zai-zai-vi-tu-chon-hang-cong-ty-duc-hanh-i1983681916.html")</f>
        <v>https://www.lazada.vn/products/thach-zai-zai-tui-1kg-zai-zai-vi-tu-chon-hang-cong-ty-duc-hanh-i1983681916.html</v>
      </c>
      <c r="C9870" s="10" t="s">
        <v>9870</v>
      </c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>
      <c r="A9871" s="8">
        <v>14725.0</v>
      </c>
      <c r="B9871" s="9" t="str">
        <f>HYPERLINK("https://www.lazada.vn/products/tpbs-banh-cracker-afc-dinh-duong-vi-rau-i2799348241.html", "https://www.lazada.vn/products/tpbs-banh-cracker-afc-dinh-duong-vi-rau-i2799348241.html")</f>
        <v>https://www.lazada.vn/products/tpbs-banh-cracker-afc-dinh-duong-vi-rau-i2799348241.html</v>
      </c>
      <c r="C9871" s="10" t="s">
        <v>9871</v>
      </c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>
      <c r="A9872" s="8">
        <v>14726.0</v>
      </c>
      <c r="B9872" s="9" t="str">
        <f>HYPERLINK("https://www.lazada.vn/products/combo-1-tui-ca-phe-maccoffee-pho-nha-lam-1-pho-sua-da-gold-i2598799031.html", "https://www.lazada.vn/products/combo-1-tui-ca-phe-maccoffee-pho-nha-lam-1-pho-sua-da-gold-i2598799031.html")</f>
        <v>https://www.lazada.vn/products/combo-1-tui-ca-phe-maccoffee-pho-nha-lam-1-pho-sua-da-gold-i2598799031.html</v>
      </c>
      <c r="C9872" s="10" t="s">
        <v>9872</v>
      </c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>
      <c r="A9873" s="8">
        <v>14727.0</v>
      </c>
      <c r="B9873" s="9" t="str">
        <f>HYPERLINK("https://www.lazada.vn/products/qua-tang-dac-biet-nuoc-mam-ot-nam-giang-trung-quoc-tuoi-mat-uop-muoi-danh-vo-nap-lo-400g-che-bien-thuc-pham-i2923594653.html", "https://www.lazada.vn/products/qua-tang-dac-biet-nuoc-mam-ot-nam-giang-trung-quoc-tuoi-mat-uop-muoi-danh-vo-nap-lo-400g-che-bien-thuc-pham-i2923594653.html")</f>
        <v>https://www.lazada.vn/products/qua-tang-dac-biet-nuoc-mam-ot-nam-giang-trung-quoc-tuoi-mat-uop-muoi-danh-vo-nap-lo-400g-che-bien-thuc-pham-i2923594653.html</v>
      </c>
      <c r="C9873" s="10" t="s">
        <v>9873</v>
      </c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>
      <c r="A9874" s="8">
        <v>14728.0</v>
      </c>
      <c r="B9874" s="9" t="str">
        <f>HYPERLINK("https://www.lazada.vn/products/thung-24-lon-nuoc-ngot-huong-chanh-7up-320ml-i1782584809.html", "https://www.lazada.vn/products/thung-24-lon-nuoc-ngot-huong-chanh-7up-320ml-i1782584809.html")</f>
        <v>https://www.lazada.vn/products/thung-24-lon-nuoc-ngot-huong-chanh-7up-320ml-i1782584809.html</v>
      </c>
      <c r="C9874" s="10" t="s">
        <v>9874</v>
      </c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>
      <c r="A9875" s="8">
        <v>14729.0</v>
      </c>
      <c r="B9875" s="9" t="str">
        <f>HYPERLINK("https://www.lazada.vn/products/co-ngot-tay-bac-say-kho-dong-hang-cao-cap-khong-duong-van-ngot-100gr-i2951848272.html", "https://www.lazada.vn/products/co-ngot-tay-bac-say-kho-dong-hang-cao-cap-khong-duong-van-ngot-100gr-i2951848272.html")</f>
        <v>https://www.lazada.vn/products/co-ngot-tay-bac-say-kho-dong-hang-cao-cap-khong-duong-van-ngot-100gr-i2951848272.html</v>
      </c>
      <c r="C9875" s="10" t="s">
        <v>9875</v>
      </c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>
      <c r="A9876" s="8">
        <v>14730.0</v>
      </c>
      <c r="B9876" s="9" t="str">
        <f>HYPERLINK("https://www.lazada.vn/products/banh-bong-mai-nhan-khom-thai-lan-tui-zip-500-gram-i2857615768.html", "https://www.lazada.vn/products/banh-bong-mai-nhan-khom-thai-lan-tui-zip-500-gram-i2857615768.html")</f>
        <v>https://www.lazada.vn/products/banh-bong-mai-nhan-khom-thai-lan-tui-zip-500-gram-i2857615768.html</v>
      </c>
      <c r="C9876" s="10" t="s">
        <v>9876</v>
      </c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>
      <c r="A9877" s="8">
        <v>14731.0</v>
      </c>
      <c r="B9877" s="9" t="str">
        <f>HYPERLINK("https://www.lazada.vn/products/bap-rang-vi-mat-ong-va-pho-mai-upon-han-quoc-250g-snack-bim-bim-bong-ngo-sieu-ngon-i512594002.html", "https://www.lazada.vn/products/bap-rang-vi-mat-ong-va-pho-mai-upon-han-quoc-250g-snack-bim-bim-bong-ngo-sieu-ngon-i512594002.html")</f>
        <v>https://www.lazada.vn/products/bap-rang-vi-mat-ong-va-pho-mai-upon-han-quoc-250g-snack-bim-bim-bong-ngo-sieu-ngon-i512594002.html</v>
      </c>
      <c r="C9877" s="10" t="s">
        <v>9877</v>
      </c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>
      <c r="A9878" s="8">
        <v>14732.0</v>
      </c>
      <c r="B9878" s="9" t="str">
        <f>HYPERLINK("https://www.lazada.vn/products/socola-sua-hersheys-kisses-milk-chocolate-hang-my-bich-158kg-330-vien-i2841566397.html", "https://www.lazada.vn/products/socola-sua-hersheys-kisses-milk-chocolate-hang-my-bich-158kg-330-vien-i2841566397.html")</f>
        <v>https://www.lazada.vn/products/socola-sua-hersheys-kisses-milk-chocolate-hang-my-bich-158kg-330-vien-i2841566397.html</v>
      </c>
      <c r="C9878" s="10" t="s">
        <v>9878</v>
      </c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>
      <c r="A9879" s="8">
        <v>14733.0</v>
      </c>
      <c r="B9879" s="9" t="str">
        <f>HYPERLINK("https://www.lazada.vn/products/siro-xuyen-boi-ty-ba-300ml-cao-niem-tu-am-giam-ho-dau-hong-ho-khan-hieu-qua-mpthienduc-i2399296987.html", "https://www.lazada.vn/products/siro-xuyen-boi-ty-ba-300ml-cao-niem-tu-am-giam-ho-dau-hong-ho-khan-hieu-qua-mpthienduc-i2399296987.html")</f>
        <v>https://www.lazada.vn/products/siro-xuyen-boi-ty-ba-300ml-cao-niem-tu-am-giam-ho-dau-hong-ho-khan-hieu-qua-mpthienduc-i2399296987.html</v>
      </c>
      <c r="C9879" s="10" t="s">
        <v>9879</v>
      </c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>
      <c r="A9880" s="8">
        <v>14734.0</v>
      </c>
      <c r="B9880" s="9" t="str">
        <f>HYPERLINK("https://www.lazada.vn/products/tomat-kho-ngam-dau-sicily-cay-750g3-tom-hum-pizza-topping-salad-ready-to-eat-tin-dong-goi-san-pham-tu-y-i2923588701.html", "https://www.lazada.vn/products/tomat-kho-ngam-dau-sicily-cay-750g3-tom-hum-pizza-topping-salad-ready-to-eat-tin-dong-goi-san-pham-tu-y-i2923588701.html")</f>
        <v>https://www.lazada.vn/products/tomat-kho-ngam-dau-sicily-cay-750g3-tom-hum-pizza-topping-salad-ready-to-eat-tin-dong-goi-san-pham-tu-y-i2923588701.html</v>
      </c>
      <c r="C9880" s="10" t="s">
        <v>9880</v>
      </c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>
      <c r="A9881" s="8">
        <v>14735.0</v>
      </c>
      <c r="B9881" s="9" t="str">
        <f>HYPERLINK("https://www.lazada.vn/products/1kg-thach-zaizai-duc-hanh-mau-moi-thanh-dai-mix-nhieu-vi-i1983402453.html", "https://www.lazada.vn/products/1kg-thach-zaizai-duc-hanh-mau-moi-thanh-dai-mix-nhieu-vi-i1983402453.html")</f>
        <v>https://www.lazada.vn/products/1kg-thach-zaizai-duc-hanh-mau-moi-thanh-dai-mix-nhieu-vi-i1983402453.html</v>
      </c>
      <c r="C9881" s="10" t="s">
        <v>9881</v>
      </c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>
      <c r="A9882" s="8">
        <v>14736.0</v>
      </c>
      <c r="B9882" s="9" t="str">
        <f>HYPERLINK("https://www.lazada.vn/products/hop-banh-bo-mieng-vung-gion-cay-khay-3-ngan-hot-hit-do-an-vat-cong-truong-an-vat-tuoi-tho-snack-i2619093076.html", "https://www.lazada.vn/products/hop-banh-bo-mieng-vung-gion-cay-khay-3-ngan-hot-hit-do-an-vat-cong-truong-an-vat-tuoi-tho-snack-i2619093076.html")</f>
        <v>https://www.lazada.vn/products/hop-banh-bo-mieng-vung-gion-cay-khay-3-ngan-hot-hit-do-an-vat-cong-truong-an-vat-tuoi-tho-snack-i2619093076.html</v>
      </c>
      <c r="C9882" s="10" t="s">
        <v>9882</v>
      </c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>
      <c r="A9883" s="8">
        <v>14737.0</v>
      </c>
      <c r="B9883" s="9" t="str">
        <f>HYPERLINK("https://www.lazada.vn/products/khoai-lang-tim-say-deo-vi-it-ngot-tui-450g-i2826115381.html", "https://www.lazada.vn/products/khoai-lang-tim-say-deo-vi-it-ngot-tui-450g-i2826115381.html")</f>
        <v>https://www.lazada.vn/products/khoai-lang-tim-say-deo-vi-it-ngot-tui-450g-i2826115381.html</v>
      </c>
      <c r="C9883" s="10" t="s">
        <v>9883</v>
      </c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>
      <c r="A9884" s="8">
        <v>14738.0</v>
      </c>
      <c r="B9884" s="9" t="str">
        <f>HYPERLINK("https://www.lazada.vn/products/combo-1-tui-ca-phe-maccoffee-pho-sua-da-1-pho-sua-da-gold-i2598798139.html", "https://www.lazada.vn/products/combo-1-tui-ca-phe-maccoffee-pho-sua-da-1-pho-sua-da-gold-i2598798139.html")</f>
        <v>https://www.lazada.vn/products/combo-1-tui-ca-phe-maccoffee-pho-sua-da-1-pho-sua-da-gold-i2598798139.html</v>
      </c>
      <c r="C9884" s="10" t="s">
        <v>9884</v>
      </c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>
      <c r="A9885" s="8">
        <v>14739.0</v>
      </c>
      <c r="B9885" s="9" t="str">
        <f>HYPERLINK("https://www.lazada.vn/products/hu-tieu-suon-heo-1thung-30goi-i2766707419.html", "https://www.lazada.vn/products/hu-tieu-suon-heo-1thung-30goi-i2766707419.html")</f>
        <v>https://www.lazada.vn/products/hu-tieu-suon-heo-1thung-30goi-i2766707419.html</v>
      </c>
      <c r="C9885" s="10" t="s">
        <v>9885</v>
      </c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>
      <c r="A9886" s="8">
        <v>14740.0</v>
      </c>
      <c r="B9886" s="9" t="str">
        <f>HYPERLINK("https://www.lazada.vn/products/banh-gao-one-one-5-vi-gion-ngon-i2083851298.html", "https://www.lazada.vn/products/banh-gao-one-one-5-vi-gion-ngon-i2083851298.html")</f>
        <v>https://www.lazada.vn/products/banh-gao-one-one-5-vi-gion-ngon-i2083851298.html</v>
      </c>
      <c r="C9886" s="10" t="s">
        <v>9886</v>
      </c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>
      <c r="A9887" s="8">
        <v>14741.0</v>
      </c>
      <c r="B9887" s="9" t="str">
        <f>HYPERLINK("https://www.lazada.vn/products/socola-chocolate-150-vien-255kg-all-chocolate-kirkland-signature-co-tach-le-i2841517747.html", "https://www.lazada.vn/products/socola-chocolate-150-vien-255kg-all-chocolate-kirkland-signature-co-tach-le-i2841517747.html")</f>
        <v>https://www.lazada.vn/products/socola-chocolate-150-vien-255kg-all-chocolate-kirkland-signature-co-tach-le-i2841517747.html</v>
      </c>
      <c r="C9887" s="10" t="s">
        <v>9887</v>
      </c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>
      <c r="A9888" s="8">
        <v>14742.0</v>
      </c>
      <c r="B9888" s="9" t="str">
        <f>HYPERLINK("https://www.lazada.vn/products/500g-200g-mu-trom-hat-tam-nguyen-chat-tien-loi-no-nhanh-dac-san-ninh-thuan-i2929465560.html", "https://www.lazada.vn/products/500g-200g-mu-trom-hat-tam-nguyen-chat-tien-loi-no-nhanh-dac-san-ninh-thuan-i2929465560.html")</f>
        <v>https://www.lazada.vn/products/500g-200g-mu-trom-hat-tam-nguyen-chat-tien-loi-no-nhanh-dac-san-ninh-thuan-i2929465560.html</v>
      </c>
      <c r="C9888" s="10" t="s">
        <v>9888</v>
      </c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>
      <c r="A9889" s="8">
        <v>14743.0</v>
      </c>
      <c r="B9889" s="9" t="str">
        <f>HYPERLINK("https://www.lazada.vn/products/ruou-vang-do-uc-mcguigan-single-batch-project-shiraz-i2399120184.html", "https://www.lazada.vn/products/ruou-vang-do-uc-mcguigan-single-batch-project-shiraz-i2399120184.html")</f>
        <v>https://www.lazada.vn/products/ruou-vang-do-uc-mcguigan-single-batch-project-shiraz-i2399120184.html</v>
      </c>
      <c r="C9889" s="10" t="s">
        <v>9889</v>
      </c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>
      <c r="A9890" s="8">
        <v>14744.0</v>
      </c>
      <c r="B9890" s="9" t="str">
        <f>HYPERLINK("https://www.lazada.vn/products/sieu-toc-angkor-lon-330ml-thung-24-lon-i2735258719.html", "https://www.lazada.vn/products/sieu-toc-angkor-lon-330ml-thung-24-lon-i2735258719.html")</f>
        <v>https://www.lazada.vn/products/sieu-toc-angkor-lon-330ml-thung-24-lon-i2735258719.html</v>
      </c>
      <c r="C9890" s="10" t="s">
        <v>9890</v>
      </c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>
      <c r="A9891" s="8">
        <v>14745.0</v>
      </c>
      <c r="B9891" s="9" t="str">
        <f>HYPERLINK("https://www.lazada.vn/products/banh-che-lam-dac-san-que-bac-nghe-an-banh-keo-thanh-huy-thom-ngon-che-lam-nha-lam-i2856586752.html", "https://www.lazada.vn/products/banh-che-lam-dac-san-que-bac-nghe-an-banh-keo-thanh-huy-thom-ngon-che-lam-nha-lam-i2856586752.html")</f>
        <v>https://www.lazada.vn/products/banh-che-lam-dac-san-que-bac-nghe-an-banh-keo-thanh-huy-thom-ngon-che-lam-nha-lam-i2856586752.html</v>
      </c>
      <c r="C9891" s="10" t="s">
        <v>9891</v>
      </c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>
      <c r="A9892" s="8">
        <v>14746.0</v>
      </c>
      <c r="B9892" s="9" t="str">
        <f>HYPERLINK("https://www.lazada.vn/products/nuoc-cot-chanh-day-100-chanh-day-tuoi-da-lat-tang-cuong-vitamin-c-giup-tim-khoe-manh-tro-tieu-hoa-tang-de-khang-i-kho-thao-duoc-24h-i2654643445.html", "https://www.lazada.vn/products/nuoc-cot-chanh-day-100-chanh-day-tuoi-da-lat-tang-cuong-vitamin-c-giup-tim-khoe-manh-tro-tieu-hoa-tang-de-khang-i-kho-thao-duoc-24h-i2654643445.html")</f>
        <v>https://www.lazada.vn/products/nuoc-cot-chanh-day-100-chanh-day-tuoi-da-lat-tang-cuong-vitamin-c-giup-tim-khoe-manh-tro-tieu-hoa-tang-de-khang-i-kho-thao-duoc-24h-i2654643445.html</v>
      </c>
      <c r="C9892" s="10" t="s">
        <v>9892</v>
      </c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>
      <c r="A9893" s="8">
        <v>14747.0</v>
      </c>
      <c r="B9893" s="9" t="str">
        <f>HYPERLINK("https://www.lazada.vn/products/sgt-thung-bo-huc-noi-dia-thai-lan-redbull-chai-thuy-tinh-150ml-i1385950590.html", "https://www.lazada.vn/products/sgt-thung-bo-huc-noi-dia-thai-lan-redbull-chai-thuy-tinh-150ml-i1385950590.html")</f>
        <v>https://www.lazada.vn/products/sgt-thung-bo-huc-noi-dia-thai-lan-redbull-chai-thuy-tinh-150ml-i1385950590.html</v>
      </c>
      <c r="C9893" s="10" t="s">
        <v>9893</v>
      </c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>
      <c r="A9894" s="8">
        <v>14748.0</v>
      </c>
      <c r="B9894" s="9" t="str">
        <f>HYPERLINK("https://www.lazada.vn/products/si-5-ki-bap-chien-gion-tam-gia-vi-gion-ngon-dam-vi-i341288035.html", "https://www.lazada.vn/products/si-5-ki-bap-chien-gion-tam-gia-vi-gion-ngon-dam-vi-i341288035.html")</f>
        <v>https://www.lazada.vn/products/si-5-ki-bap-chien-gion-tam-gia-vi-gion-ngon-dam-vi-i341288035.html</v>
      </c>
      <c r="C9894" s="10" t="s">
        <v>9894</v>
      </c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>
      <c r="A9895" s="8">
        <v>14749.0</v>
      </c>
      <c r="B9895" s="9" t="str">
        <f>HYPERLINK("https://www.lazada.vn/products/banh-gao-huu-co-yommy-maeil-vi-tao-va-ca-rot-i2799314109.html", "https://www.lazada.vn/products/banh-gao-huu-co-yommy-maeil-vi-tao-va-ca-rot-i2799314109.html")</f>
        <v>https://www.lazada.vn/products/banh-gao-huu-co-yommy-maeil-vi-tao-va-ca-rot-i2799314109.html</v>
      </c>
      <c r="C9895" s="10" t="s">
        <v>9895</v>
      </c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>
      <c r="A9896" s="8">
        <v>14750.0</v>
      </c>
      <c r="B9896" s="9" t="str">
        <f>HYPERLINK("https://www.lazada.vn/products/thung-12-chai-nuoc-ngot-huong-chanh-7up-15l-i1782584440.html", "https://www.lazada.vn/products/thung-12-chai-nuoc-ngot-huong-chanh-7up-15l-i1782584440.html")</f>
        <v>https://www.lazada.vn/products/thung-12-chai-nuoc-ngot-huong-chanh-7up-15l-i1782584440.html</v>
      </c>
      <c r="C9896" s="10" t="s">
        <v>9896</v>
      </c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>
      <c r="A9897" s="8">
        <v>14751.0</v>
      </c>
      <c r="B9897" s="9" t="str">
        <f>HYPERLINK("https://www.lazada.vn/products/chinh-hang2025-chai-siro-pros-pan-duc-i2397813514.html", "https://www.lazada.vn/products/chinh-hang2025-chai-siro-pros-pan-duc-i2397813514.html")</f>
        <v>https://www.lazada.vn/products/chinh-hang2025-chai-siro-pros-pan-duc-i2397813514.html</v>
      </c>
      <c r="C9897" s="10" t="s">
        <v>9897</v>
      </c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>
      <c r="A9898" s="8">
        <v>14752.0</v>
      </c>
      <c r="B9898" s="9" t="str">
        <f>HYPERLINK("https://www.lazada.vn/products/banh-khoai-tay-5-potato-crisps-vi-truyen-thong-hop-30-goi-vang-i2617135593.html", "https://www.lazada.vn/products/banh-khoai-tay-5-potato-crisps-vi-truyen-thong-hop-30-goi-vang-i2617135593.html")</f>
        <v>https://www.lazada.vn/products/banh-khoai-tay-5-potato-crisps-vi-truyen-thong-hop-30-goi-vang-i2617135593.html</v>
      </c>
      <c r="C9898" s="10" t="s">
        <v>9898</v>
      </c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>
      <c r="A9899" s="8">
        <v>14753.0</v>
      </c>
      <c r="B9899" s="9" t="str">
        <f>HYPERLINK("https://www.lazada.vn/products/tro-ship-qua-tang-thach-zaizai-duc-hanh-thom-ngon-nhieu-vi-ngot-ngao-an-toan-mavasa-dh01-mua-1-tang-1-i1980398633.html", "https://www.lazada.vn/products/tro-ship-qua-tang-thach-zaizai-duc-hanh-thom-ngon-nhieu-vi-ngot-ngao-an-toan-mavasa-dh01-mua-1-tang-1-i1980398633.html")</f>
        <v>https://www.lazada.vn/products/tro-ship-qua-tang-thach-zaizai-duc-hanh-thom-ngon-nhieu-vi-ngot-ngao-an-toan-mavasa-dh01-mua-1-tang-1-i1980398633.html</v>
      </c>
      <c r="C9899" s="10" t="s">
        <v>9899</v>
      </c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>
      <c r="A9900" s="8">
        <v>14754.0</v>
      </c>
      <c r="B9900" s="9" t="str">
        <f>HYPERLINK("https://www.lazada.vn/products/vo-khoai-mon-say-gion-300g-i2825343391.html", "https://www.lazada.vn/products/vo-khoai-mon-say-gion-300g-i2825343391.html")</f>
        <v>https://www.lazada.vn/products/vo-khoai-mon-say-gion-300g-i2825343391.html</v>
      </c>
      <c r="C9900" s="10" t="s">
        <v>9900</v>
      </c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>
      <c r="A9901" s="8">
        <v>14755.0</v>
      </c>
      <c r="B9901" s="9" t="str">
        <f>HYPERLINK("https://www.lazada.vn/products/olives-chin-loai-dac-san-quang-dong-chao-shu-dac-san-kho-trai-cay-mat-ong-trai-cay-kho-trai-cay-kho-ngot-ngon-do-an-nhe-i2923580885.html", "https://www.lazada.vn/products/olives-chin-loai-dac-san-quang-dong-chao-shu-dac-san-kho-trai-cay-mat-ong-trai-cay-kho-trai-cay-kho-ngot-ngon-do-an-nhe-i2923580885.html")</f>
        <v>https://www.lazada.vn/products/olives-chin-loai-dac-san-quang-dong-chao-shu-dac-san-kho-trai-cay-mat-ong-trai-cay-kho-trai-cay-kho-ngot-ngon-do-an-nhe-i2923580885.html</v>
      </c>
      <c r="C9901" s="10" t="s">
        <v>9901</v>
      </c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>
      <c r="A9902" s="8">
        <v>14756.0</v>
      </c>
      <c r="B9902" s="9" t="str">
        <f>HYPERLINK("https://www.lazada.vn/products/banh-dua-nuong-bao-linh-thom-ngon-gion-rum-cong-thuc-gia-truyen-dac-san-quang-nam-hang-chinh-hang-i2083790942.html", "https://www.lazada.vn/products/banh-dua-nuong-bao-linh-thom-ngon-gion-rum-cong-thuc-gia-truyen-dac-san-quang-nam-hang-chinh-hang-i2083790942.html")</f>
        <v>https://www.lazada.vn/products/banh-dua-nuong-bao-linh-thom-ngon-gion-rum-cong-thuc-gia-truyen-dac-san-quang-nam-hang-chinh-hang-i2083790942.html</v>
      </c>
      <c r="C9902" s="10" t="s">
        <v>9902</v>
      </c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>
      <c r="A9903" s="8">
        <v>14757.0</v>
      </c>
      <c r="B9903" s="9" t="str">
        <f>HYPERLINK("https://www.lazada.vn/products/mi-ly-size-mini-cho-be-tokyo-noodle-hop-35g-i2763565697.html", "https://www.lazada.vn/products/mi-ly-size-mini-cho-be-tokyo-noodle-hop-35g-i2763565697.html")</f>
        <v>https://www.lazada.vn/products/mi-ly-size-mini-cho-be-tokyo-noodle-hop-35g-i2763565697.html</v>
      </c>
      <c r="C9903" s="10" t="s">
        <v>9903</v>
      </c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>
      <c r="A9904" s="8">
        <v>14758.0</v>
      </c>
      <c r="B9904" s="9" t="str">
        <f>HYPERLINK("https://www.lazada.vn/products/ly-le-uni-president-mi-unif-ly-huong-vi-lau-kim-chi-chua-cay-62gly-mi-dzai-dzai-ly-lau-kim-chi-chua-cay-i2762289217.html", "https://www.lazada.vn/products/ly-le-uni-president-mi-unif-ly-huong-vi-lau-kim-chi-chua-cay-62gly-mi-dzai-dzai-ly-lau-kim-chi-chua-cay-i2762289217.html")</f>
        <v>https://www.lazada.vn/products/ly-le-uni-president-mi-unif-ly-huong-vi-lau-kim-chi-chua-cay-62gly-mi-dzai-dzai-ly-lau-kim-chi-chua-cay-i2762289217.html</v>
      </c>
      <c r="C9904" s="10" t="s">
        <v>9904</v>
      </c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>
      <c r="A9905" s="8">
        <v>14759.0</v>
      </c>
      <c r="B9905" s="9" t="str">
        <f>HYPERLINK("https://www.lazada.vn/products/ly-le-uni-president-mi-unif-ly-huong-vi-bo-ham-62gly-dzai-dzai-mi-ly-bo-ham-mi-bo-ham-ly-unif-i2762286334.html", "https://www.lazada.vn/products/ly-le-uni-president-mi-unif-ly-huong-vi-bo-ham-62gly-dzai-dzai-mi-ly-bo-ham-mi-bo-ham-ly-unif-i2762286334.html")</f>
        <v>https://www.lazada.vn/products/ly-le-uni-president-mi-unif-ly-huong-vi-bo-ham-62gly-dzai-dzai-mi-ly-bo-ham-mi-bo-ham-ly-unif-i2762286334.html</v>
      </c>
      <c r="C9905" s="10" t="s">
        <v>9905</v>
      </c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>
      <c r="A9906" s="8">
        <v>14760.0</v>
      </c>
      <c r="B9906" s="9" t="str">
        <f>HYPERLINK("https://www.lazada.vn/products/nuoc-cot-dau-tay-100-dau-tay-da-lat-tang-cuong-vitamin-giup-tim-khoe-manh-tro-tieu-hoa-tang-suc-de-khang-tre-hoa-i-kho-thao-duoc-24h-i2654635821.html", "https://www.lazada.vn/products/nuoc-cot-dau-tay-100-dau-tay-da-lat-tang-cuong-vitamin-giup-tim-khoe-manh-tro-tieu-hoa-tang-suc-de-khang-tre-hoa-i-kho-thao-duoc-24h-i2654635821.html")</f>
        <v>https://www.lazada.vn/products/nuoc-cot-dau-tay-100-dau-tay-da-lat-tang-cuong-vitamin-giup-tim-khoe-manh-tro-tieu-hoa-tang-suc-de-khang-tre-hoa-i-kho-thao-duoc-24h-i2654635821.html</v>
      </c>
      <c r="C9906" s="10" t="s">
        <v>9906</v>
      </c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>
      <c r="A9907" s="8">
        <v>14761.0</v>
      </c>
      <c r="B9907" s="9" t="str">
        <f>HYPERLINK("https://www.lazada.vn/products/date-0825-socola-sua-mm-milk-chocolate-my-2835g-i2840976491.html", "https://www.lazada.vn/products/date-0825-socola-sua-mm-milk-chocolate-my-2835g-i2840976491.html")</f>
        <v>https://www.lazada.vn/products/date-0825-socola-sua-mm-milk-chocolate-my-2835g-i2840976491.html</v>
      </c>
      <c r="C9907" s="10" t="s">
        <v>9907</v>
      </c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>
      <c r="A9908" s="8">
        <v>14762.0</v>
      </c>
      <c r="B9908" s="9" t="str">
        <f>HYPERLINK("https://www.lazada.vn/products/loc-6-lon-bia-ha-noi-bia-333-bia-sai-gon-habeco-330ml-lon-shop-thu-quan-i2732074047.html", "https://www.lazada.vn/products/loc-6-lon-bia-ha-noi-bia-333-bia-sai-gon-habeco-330ml-lon-shop-thu-quan-i2732074047.html")</f>
        <v>https://www.lazada.vn/products/loc-6-lon-bia-ha-noi-bia-333-bia-sai-gon-habeco-330ml-lon-shop-thu-quan-i2732074047.html</v>
      </c>
      <c r="C9908" s="10" t="s">
        <v>9908</v>
      </c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>
      <c r="A9909" s="8">
        <v>14763.0</v>
      </c>
      <c r="B9909" s="9" t="str">
        <f>HYPERLINK("https://www.lazada.vn/products/chi-giao-hcm-quyt-uc-600g-i2922262722.html", "https://www.lazada.vn/products/chi-giao-hcm-quyt-uc-600g-i2922262722.html")</f>
        <v>https://www.lazada.vn/products/chi-giao-hcm-quyt-uc-600g-i2922262722.html</v>
      </c>
      <c r="C9909" s="10" t="s">
        <v>9909</v>
      </c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>
      <c r="A9910" s="8">
        <v>14764.0</v>
      </c>
      <c r="B9910" s="9" t="str">
        <f>HYPERLINK("https://www.lazada.vn/products/loc-6-lon-nuoc-ngot-soda-chanh-khong-calo-7up-320ml-i1777035096.html", "https://www.lazada.vn/products/loc-6-lon-nuoc-ngot-soda-chanh-khong-calo-7up-320ml-i1777035096.html")</f>
        <v>https://www.lazada.vn/products/loc-6-lon-nuoc-ngot-soda-chanh-khong-calo-7up-320ml-i1777035096.html</v>
      </c>
      <c r="C9910" s="10" t="s">
        <v>9910</v>
      </c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>
      <c r="A9911" s="8">
        <v>14765.0</v>
      </c>
      <c r="B9911" s="9" t="str">
        <f>HYPERLINK("https://www.lazada.vn/products/ruou-vang-do-uc-mcguigan-private-bin-shiraz-i2399051256.html", "https://www.lazada.vn/products/ruou-vang-do-uc-mcguigan-private-bin-shiraz-i2399051256.html")</f>
        <v>https://www.lazada.vn/products/ruou-vang-do-uc-mcguigan-private-bin-shiraz-i2399051256.html</v>
      </c>
      <c r="C9911" s="10" t="s">
        <v>9911</v>
      </c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>
      <c r="A9912" s="8">
        <v>14766.0</v>
      </c>
      <c r="B9912" s="9" t="str">
        <f>HYPERLINK("https://www.lazada.vn/products/hang-uc-banh-kep-nhan-marshmallow-mut-dau-phu-socola-arnotts-wagon-wheels-original-vi-8-banh-roi-i2856021056.html", "https://www.lazada.vn/products/hang-uc-banh-kep-nhan-marshmallow-mut-dau-phu-socola-arnotts-wagon-wheels-original-vi-8-banh-roi-i2856021056.html")</f>
        <v>https://www.lazada.vn/products/hang-uc-banh-kep-nhan-marshmallow-mut-dau-phu-socola-arnotts-wagon-wheels-original-vi-8-banh-roi-i2856021056.html</v>
      </c>
      <c r="C9912" s="10" t="s">
        <v>9912</v>
      </c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>
      <c r="A9913" s="8">
        <v>14767.0</v>
      </c>
      <c r="B9913" s="9" t="str">
        <f>HYPERLINK("https://www.lazada.vn/products/ca-phe-arabica-bich-to-bich-60-goi-x-20gr-tran-quang-i2598779151.html", "https://www.lazada.vn/products/ca-phe-arabica-bich-to-bich-60-goi-x-20gr-tran-quang-i2598779151.html")</f>
        <v>https://www.lazada.vn/products/ca-phe-arabica-bich-to-bich-60-goi-x-20gr-tran-quang-i2598779151.html</v>
      </c>
      <c r="C9913" s="10" t="s">
        <v>9913</v>
      </c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>
      <c r="A9914" s="8">
        <v>14768.0</v>
      </c>
      <c r="B9914" s="9" t="str">
        <f>HYPERLINK("https://www.lazada.vn/products/banh-goute-hat-i2799239910.html", "https://www.lazada.vn/products/banh-goute-hat-i2799239910.html")</f>
        <v>https://www.lazada.vn/products/banh-goute-hat-i2799239910.html</v>
      </c>
      <c r="C9914" s="10" t="s">
        <v>9914</v>
      </c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>
      <c r="A9915" s="8">
        <v>14769.0</v>
      </c>
      <c r="B9915" s="9" t="str">
        <f>HYPERLINK("https://www.lazada.vn/products/mau-moi-nhat-2025-siro-ha_sot-doli-prane-hang-phapvi-dau-i2397718427.html", "https://www.lazada.vn/products/mau-moi-nhat-2025-siro-ha_sot-doli-prane-hang-phapvi-dau-i2397718427.html")</f>
        <v>https://www.lazada.vn/products/mau-moi-nhat-2025-siro-ha_sot-doli-prane-hang-phapvi-dau-i2397718427.html</v>
      </c>
      <c r="C9915" s="10" t="s">
        <v>9915</v>
      </c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>
      <c r="A9916" s="8">
        <v>14770.0</v>
      </c>
      <c r="B9916" s="9" t="str">
        <f>HYPERLINK("https://www.lazada.vn/products/bap-chien-gion-tam-gia-vi-500gr-gion-ngon-dam-vi-do-an-vat-tuoi-tho-tu-yotafood-i341258180.html", "https://www.lazada.vn/products/bap-chien-gion-tam-gia-vi-500gr-gion-ngon-dam-vi-do-an-vat-tuoi-tho-tu-yotafood-i341258180.html")</f>
        <v>https://www.lazada.vn/products/bap-chien-gion-tam-gia-vi-500gr-gion-ngon-dam-vi-do-an-vat-tuoi-tho-tu-yotafood-i341258180.html</v>
      </c>
      <c r="C9916" s="10" t="s">
        <v>9916</v>
      </c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>
      <c r="A9917" s="8">
        <v>14771.0</v>
      </c>
      <c r="B9917" s="9" t="str">
        <f>HYPERLINK("https://www.lazada.vn/products/snack-gan-ga-nong-sot-ba-anh-em-food-59k-bich-30-goi-30g-i2616947141.html", "https://www.lazada.vn/products/snack-gan-ga-nong-sot-ba-anh-em-food-59k-bich-30-goi-30g-i2616947141.html")</f>
        <v>https://www.lazada.vn/products/snack-gan-ga-nong-sot-ba-anh-em-food-59k-bich-30-goi-30g-i2616947141.html</v>
      </c>
      <c r="C9917" s="10" t="s">
        <v>9917</v>
      </c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>
      <c r="A9918" s="8">
        <v>14772.0</v>
      </c>
      <c r="B9918" s="9" t="str">
        <f>HYPERLINK("https://www.lazada.vn/products/xoai-say-xeo-250gr-72292-i2825048011.html", "https://www.lazada.vn/products/xoai-say-xeo-250gr-72292-i2825048011.html")</f>
        <v>https://www.lazada.vn/products/xoai-say-xeo-250gr-72292-i2825048011.html</v>
      </c>
      <c r="C9918" s="10" t="s">
        <v>9918</v>
      </c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>
      <c r="A9919" s="8">
        <v>14773.0</v>
      </c>
      <c r="B9919" s="9" t="str">
        <f>HYPERLINK("https://www.lazada.vn/products/cat-dali-duoi-khoai-gao-55g3-tui-san-pham-dac-san-yunnan-cho-phu-nu-dang-suc-che-bien-thuc-an-do-an-ngot-ngao-i2923580720.html", "https://www.lazada.vn/products/cat-dali-duoi-khoai-gao-55g3-tui-san-pham-dac-san-yunnan-cho-phu-nu-dang-suc-che-bien-thuc-an-do-an-ngot-ngao-i2923580720.html")</f>
        <v>https://www.lazada.vn/products/cat-dali-duoi-khoai-gao-55g3-tui-san-pham-dac-san-yunnan-cho-phu-nu-dang-suc-che-bien-thuc-an-do-an-ngot-ngao-i2923580720.html</v>
      </c>
      <c r="C9919" s="10" t="s">
        <v>9919</v>
      </c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>
      <c r="A9920" s="8">
        <v>14774.0</v>
      </c>
      <c r="B9920" s="9" t="str">
        <f>HYPERLINK("https://www.lazada.vn/products/olives-kho-dac-san-khong-hat-cua-olives-uolanku-garden-huong-vi-ngot-ngao-thit-dac-san-cua-tinh-quang-dong-cua-trung-quoc-i2923579691.html", "https://www.lazada.vn/products/olives-kho-dac-san-khong-hat-cua-olives-uolanku-garden-huong-vi-ngot-ngao-thit-dac-san-cua-tinh-quang-dong-cua-trung-quoc-i2923579691.html")</f>
        <v>https://www.lazada.vn/products/olives-kho-dac-san-khong-hat-cua-olives-uolanku-garden-huong-vi-ngot-ngao-thit-dac-san-cua-tinh-quang-dong-cua-trung-quoc-i2923579691.html</v>
      </c>
      <c r="C9920" s="10" t="s">
        <v>9920</v>
      </c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>
      <c r="A9921" s="8">
        <v>14775.0</v>
      </c>
      <c r="B9921" s="9" t="str">
        <f>HYPERLINK("https://www.lazada.vn/products/thung-24-ly-uni-president-mi-unif-ly-huong-vi-tom-chua-cay-62gly-mi-ly-tom-chua-cay-dzai-dzai-ly-tom-chua-cay-i2762276331.html", "https://www.lazada.vn/products/thung-24-ly-uni-president-mi-unif-ly-huong-vi-tom-chua-cay-62gly-mi-ly-tom-chua-cay-dzai-dzai-ly-tom-chua-cay-i2762276331.html")</f>
        <v>https://www.lazada.vn/products/thung-24-ly-uni-president-mi-unif-ly-huong-vi-tom-chua-cay-62gly-mi-ly-tom-chua-cay-dzai-dzai-ly-tom-chua-cay-i2762276331.html</v>
      </c>
      <c r="C9921" s="10" t="s">
        <v>9921</v>
      </c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>
      <c r="A9922" s="8">
        <v>14776.0</v>
      </c>
      <c r="B9922" s="9" t="str">
        <f>HYPERLINK("https://www.lazada.vn/products/sieu-toc-bia-angkor-campuchia-thung-24-chai-330ml-i2732052196.html", "https://www.lazada.vn/products/sieu-toc-bia-angkor-campuchia-thung-24-chai-330ml-i2732052196.html")</f>
        <v>https://www.lazada.vn/products/sieu-toc-bia-angkor-campuchia-thung-24-chai-330ml-i2732052196.html</v>
      </c>
      <c r="C9922" s="10" t="s">
        <v>9922</v>
      </c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>
      <c r="A9923" s="8">
        <v>14777.0</v>
      </c>
      <c r="B9923" s="9" t="str">
        <f>HYPERLINK("https://www.lazada.vn/products/thung-24-lon-nuoc-ngot-soda-chanh-khong-calo-7up-320ml-i1776961370.html", "https://www.lazada.vn/products/thung-24-lon-nuoc-ngot-soda-chanh-khong-calo-7up-320ml-i1776961370.html")</f>
        <v>https://www.lazada.vn/products/thung-24-lon-nuoc-ngot-soda-chanh-khong-calo-7up-320ml-i1776961370.html</v>
      </c>
      <c r="C9923" s="10" t="s">
        <v>9923</v>
      </c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>
      <c r="A9924" s="8">
        <v>14778.0</v>
      </c>
      <c r="B9924" s="9" t="str">
        <f>HYPERLINK("https://www.lazada.vn/products/ruou-nep-nha-nau-ruou-nau-an-ruou-ngam-nguyen-chat-i2899641044.html", "https://www.lazada.vn/products/ruou-nep-nha-nau-ruou-nau-an-ruou-ngam-nguyen-chat-i2899641044.html")</f>
        <v>https://www.lazada.vn/products/ruou-nep-nha-nau-ruou-nau-an-ruou-ngam-nguyen-chat-i2899641044.html</v>
      </c>
      <c r="C9924" s="10" t="s">
        <v>9924</v>
      </c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>
      <c r="A9925" s="8">
        <v>14779.0</v>
      </c>
      <c r="B9925" s="9" t="str">
        <f>HYPERLINK("https://www.lazada.vn/products/banh-jamy-nhan-mut-cam-dau-nho-bibica-200g-i2854184176.html", "https://www.lazada.vn/products/banh-jamy-nhan-mut-cam-dau-nho-bibica-200g-i2854184176.html")</f>
        <v>https://www.lazada.vn/products/banh-jamy-nhan-mut-cam-dau-nho-bibica-200g-i2854184176.html</v>
      </c>
      <c r="C9925" s="10" t="s">
        <v>9925</v>
      </c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>
      <c r="A9926" s="8">
        <v>14780.0</v>
      </c>
      <c r="B9926" s="9" t="str">
        <f>HYPERLINK("https://www.lazada.vn/products/ca-phe-arabica-bich-to-bich-60-goi-x-20gr-tran-quang-i2598688731.html", "https://www.lazada.vn/products/ca-phe-arabica-bich-to-bich-60-goi-x-20gr-tran-quang-i2598688731.html")</f>
        <v>https://www.lazada.vn/products/ca-phe-arabica-bich-to-bich-60-goi-x-20gr-tran-quang-i2598688731.html</v>
      </c>
      <c r="C9926" s="10" t="s">
        <v>9926</v>
      </c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>
      <c r="A9927" s="8">
        <v>14781.0</v>
      </c>
      <c r="B9927" s="9" t="str">
        <f>HYPERLINK("https://www.lazada.vn/products/thanh-dinh-duong-socola-den-bo-dau-phong-kind-minis-peanut-butter-dark-chocolate-i2840418542.html", "https://www.lazada.vn/products/thanh-dinh-duong-socola-den-bo-dau-phong-kind-minis-peanut-butter-dark-chocolate-i2840418542.html")</f>
        <v>https://www.lazada.vn/products/thanh-dinh-duong-socola-den-bo-dau-phong-kind-minis-peanut-butter-dark-chocolate-i2840418542.html</v>
      </c>
      <c r="C9927" s="10" t="s">
        <v>9927</v>
      </c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>
      <c r="A9928" s="8">
        <v>14782.0</v>
      </c>
      <c r="B9928" s="9" t="str">
        <f>HYPERLINK("https://www.lazada.vn/products/1kg-bap-chien-gion-tam-gia-vi-gion-ngon-dam-vi-do-an-vat-tuoi-tho-tu-yotafood-i341228915.html", "https://www.lazada.vn/products/1kg-bap-chien-gion-tam-gia-vi-gion-ngon-dam-vi-do-an-vat-tuoi-tho-tu-yotafood-i341228915.html")</f>
        <v>https://www.lazada.vn/products/1kg-bap-chien-gion-tam-gia-vi-gion-ngon-dam-vi-do-an-vat-tuoi-tho-tu-yotafood-i341228915.html</v>
      </c>
      <c r="C9928" s="10" t="s">
        <v>9928</v>
      </c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>
      <c r="A9929" s="8">
        <v>14783.0</v>
      </c>
      <c r="B9929" s="9" t="str">
        <f>HYPERLINK("https://www.lazada.vn/products/banh-afc-vi-rau-cu-hop-8goi-combo-2-tang-1-i2796791862.html", "https://www.lazada.vn/products/banh-afc-vi-rau-cu-hop-8goi-combo-2-tang-1-i2796791862.html")</f>
        <v>https://www.lazada.vn/products/banh-afc-vi-rau-cu-hop-8goi-combo-2-tang-1-i2796791862.html</v>
      </c>
      <c r="C9929" s="10" t="s">
        <v>9929</v>
      </c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>
      <c r="A9930" s="8">
        <v>14784.0</v>
      </c>
      <c r="B9930" s="9" t="str">
        <f>HYPERLINK("https://www.lazada.vn/products/ruou-vang-do-phap-chateau-faugeres-i2398902290.html", "https://www.lazada.vn/products/ruou-vang-do-phap-chateau-faugeres-i2398902290.html")</f>
        <v>https://www.lazada.vn/products/ruou-vang-do-phap-chateau-faugeres-i2398902290.html</v>
      </c>
      <c r="C9930" s="10" t="s">
        <v>9930</v>
      </c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>
      <c r="A9931" s="8">
        <v>14785.0</v>
      </c>
      <c r="B9931" s="9" t="str">
        <f>HYPERLINK("https://www.lazada.vn/products/siro-chanh-freshy-lime-syrup-nguyen-lieu-pha-che-tra-sua-chai-710ml-i2396611675.html", "https://www.lazada.vn/products/siro-chanh-freshy-lime-syrup-nguyen-lieu-pha-che-tra-sua-chai-710ml-i2396611675.html")</f>
        <v>https://www.lazada.vn/products/siro-chanh-freshy-lime-syrup-nguyen-lieu-pha-che-tra-sua-chai-710ml-i2396611675.html</v>
      </c>
      <c r="C9931" s="10" t="s">
        <v>9931</v>
      </c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>
      <c r="A9932" s="8">
        <v>14786.0</v>
      </c>
      <c r="B9932" s="9" t="str">
        <f>HYPERLINK("https://www.lazada.vn/products/si-10-goi-snack-an-vat-cung-ba-tuyet-bimbim-mai-ton-bo-lo-mai-ngoi-dui-ga-i2616809122.html", "https://www.lazada.vn/products/si-10-goi-snack-an-vat-cung-ba-tuyet-bimbim-mai-ton-bo-lo-mai-ngoi-dui-ga-i2616809122.html")</f>
        <v>https://www.lazada.vn/products/si-10-goi-snack-an-vat-cung-ba-tuyet-bimbim-mai-ton-bo-lo-mai-ngoi-dui-ga-i2616809122.html</v>
      </c>
      <c r="C9932" s="10" t="s">
        <v>9932</v>
      </c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>
      <c r="A9933" s="8">
        <v>14787.0</v>
      </c>
      <c r="B9933" s="9" t="str">
        <f>HYPERLINK("https://www.lazada.vn/products/hop-qua-tang-2-hu-gac-chanh-leo-duong-phen-co-dac-gac-garden-550g-i2654456590.html", "https://www.lazada.vn/products/hop-qua-tang-2-hu-gac-chanh-leo-duong-phen-co-dac-gac-garden-550g-i2654456590.html")</f>
        <v>https://www.lazada.vn/products/hop-qua-tang-2-hu-gac-chanh-leo-duong-phen-co-dac-gac-garden-550g-i2654456590.html</v>
      </c>
      <c r="C9933" s="10" t="s">
        <v>9933</v>
      </c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>
      <c r="A9934" s="8">
        <v>14788.0</v>
      </c>
      <c r="B9934" s="9" t="str">
        <f>HYPERLINK("https://www.lazada.vn/products/snack-nui-chien-gion-hung-cuong-goi-200g-18110-i2824957023.html", "https://www.lazada.vn/products/snack-nui-chien-gion-hung-cuong-goi-200g-18110-i2824957023.html")</f>
        <v>https://www.lazada.vn/products/snack-nui-chien-gion-hung-cuong-goi-200g-18110-i2824957023.html</v>
      </c>
      <c r="C9934" s="10" t="s">
        <v>9934</v>
      </c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>
      <c r="A9935" s="8">
        <v>14789.0</v>
      </c>
      <c r="B9935" s="9" t="str">
        <f>HYPERLINK("https://www.lazada.vn/products/thung-24-ly-uni-president-mi-unif-ly-vi-lau-kim-chi-chua-cay-62gly-mi-dzai-dzai-ly-lau-kim-chi-chua-cay-i2762216423.html", "https://www.lazada.vn/products/thung-24-ly-uni-president-mi-unif-ly-vi-lau-kim-chi-chua-cay-62gly-mi-dzai-dzai-ly-lau-kim-chi-chua-cay-i2762216423.html")</f>
        <v>https://www.lazada.vn/products/thung-24-ly-uni-president-mi-unif-ly-vi-lau-kim-chi-chua-cay-62gly-mi-dzai-dzai-ly-lau-kim-chi-chua-cay-i2762216423.html</v>
      </c>
      <c r="C9935" s="10" t="s">
        <v>9935</v>
      </c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>
      <c r="A9936" s="8">
        <v>14790.0</v>
      </c>
      <c r="B9936" s="9" t="str">
        <f>HYPERLINK("https://www.lazada.vn/products/banh-pia-mini-phuc-hung-dac-san-soc-trang-1kg-i2846249006.html", "https://www.lazada.vn/products/banh-pia-mini-phuc-hung-dac-san-soc-trang-1kg-i2846249006.html")</f>
        <v>https://www.lazada.vn/products/banh-pia-mini-phuc-hung-dac-san-soc-trang-1kg-i2846249006.html</v>
      </c>
      <c r="C9936" s="10" t="s">
        <v>9936</v>
      </c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>
      <c r="A9937" s="8">
        <v>14791.0</v>
      </c>
      <c r="B9937" s="9" t="str">
        <f>HYPERLINK("https://www.lazada.vn/products/nuoc-yen-sao-danh-cho-nguoi-an-kieng-cho-nguoi-tieu-duong-yen-sofia-i2815803870.html", "https://www.lazada.vn/products/nuoc-yen-sao-danh-cho-nguoi-an-kieng-cho-nguoi-tieu-duong-yen-sofia-i2815803870.html")</f>
        <v>https://www.lazada.vn/products/nuoc-yen-sao-danh-cho-nguoi-an-kieng-cho-nguoi-tieu-duong-yen-sofia-i2815803870.html</v>
      </c>
      <c r="C9937" s="10" t="s">
        <v>9937</v>
      </c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>
      <c r="A9938" s="8">
        <v>14792.0</v>
      </c>
      <c r="B9938" s="9" t="str">
        <f>HYPERLINK("https://www.lazada.vn/products/combo-lam-bap-rang-bo-500g-ngo-my-200g-bo-cai-lan-i280536461.html", "https://www.lazada.vn/products/combo-lam-bap-rang-bo-500g-ngo-my-200g-bo-cai-lan-i280536461.html")</f>
        <v>https://www.lazada.vn/products/combo-lam-bap-rang-bo-500g-ngo-my-200g-bo-cai-lan-i280536461.html</v>
      </c>
      <c r="C9938" s="10" t="s">
        <v>9938</v>
      </c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>
      <c r="A9939" s="8">
        <v>14793.0</v>
      </c>
      <c r="B9939" s="9" t="str">
        <f>HYPERLINK("https://www.lazada.vn/products/bich-192g-12-goi-banh-cracker-rau-cu-kenju-richy-tot-cho-nguoi-an-kieng-giam-can-eat-clean-i2794660556.html", "https://www.lazada.vn/products/bich-192g-12-goi-banh-cracker-rau-cu-kenju-richy-tot-cho-nguoi-an-kieng-giam-can-eat-clean-i2794660556.html")</f>
        <v>https://www.lazada.vn/products/bich-192g-12-goi-banh-cracker-rau-cu-kenju-richy-tot-cho-nguoi-an-kieng-giam-can-eat-clean-i2794660556.html</v>
      </c>
      <c r="C9939" s="10" t="s">
        <v>9939</v>
      </c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>
      <c r="A9940" s="8">
        <v>14794.0</v>
      </c>
      <c r="B9940" s="9" t="str">
        <f>HYPERLINK("https://www.lazada.vn/products/socola-kitkat-nhat-ban-i2838585887.html", "https://www.lazada.vn/products/socola-kitkat-nhat-ban-i2838585887.html")</f>
        <v>https://www.lazada.vn/products/socola-kitkat-nhat-ban-i2838585887.html</v>
      </c>
      <c r="C9940" s="10" t="s">
        <v>9940</v>
      </c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>
      <c r="A9941" s="8">
        <v>14795.0</v>
      </c>
      <c r="B9941" s="9" t="str">
        <f>HYPERLINK("https://www.lazada.vn/products/si-10-goi-snack-an-vat-cung-ba-tuyet-bimbim-mai-ton-bo-lo-mai-ngoi-dui-ga-i2616721644.html", "https://www.lazada.vn/products/si-10-goi-snack-an-vat-cung-ba-tuyet-bimbim-mai-ton-bo-lo-mai-ngoi-dui-ga-i2616721644.html")</f>
        <v>https://www.lazada.vn/products/si-10-goi-snack-an-vat-cung-ba-tuyet-bimbim-mai-ton-bo-lo-mai-ngoi-dui-ga-i2616721644.html</v>
      </c>
      <c r="C9941" s="10" t="s">
        <v>9941</v>
      </c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>
      <c r="A9942" s="8">
        <v>14796.0</v>
      </c>
      <c r="B9942" s="9" t="str">
        <f>HYPERLINK("https://www.lazada.vn/products/ruou-vang-do-phap-chateau-leoville-poyferre-i2398731947.html", "https://www.lazada.vn/products/ruou-vang-do-phap-chateau-leoville-poyferre-i2398731947.html")</f>
        <v>https://www.lazada.vn/products/ruou-vang-do-phap-chateau-leoville-poyferre-i2398731947.html</v>
      </c>
      <c r="C9942" s="10" t="s">
        <v>9942</v>
      </c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>
      <c r="A9943" s="8">
        <v>14797.0</v>
      </c>
      <c r="B9943" s="9" t="str">
        <f>HYPERLINK("https://www.lazada.vn/products/siro-so-co-la-trang-longbeach-white-chocolate-flavoured-syrup-740ml-i2395697189.html", "https://www.lazada.vn/products/siro-so-co-la-trang-longbeach-white-chocolate-flavoured-syrup-740ml-i2395697189.html")</f>
        <v>https://www.lazada.vn/products/siro-so-co-la-trang-longbeach-white-chocolate-flavoured-syrup-740ml-i2395697189.html</v>
      </c>
      <c r="C9943" s="10" t="s">
        <v>9943</v>
      </c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>
      <c r="A9944" s="8">
        <v>14798.0</v>
      </c>
      <c r="B9944" s="9" t="str">
        <f>HYPERLINK("https://www.lazada.vn/products/bia-anchor-campuchia-thung-24-lon-x-330ml-i2732037305.html", "https://www.lazada.vn/products/bia-anchor-campuchia-thung-24-lon-x-330ml-i2732037305.html")</f>
        <v>https://www.lazada.vn/products/bia-anchor-campuchia-thung-24-lon-x-330ml-i2732037305.html</v>
      </c>
      <c r="C9944" s="10" t="s">
        <v>9944</v>
      </c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>
      <c r="A9945" s="8">
        <v>14799.0</v>
      </c>
      <c r="B9945" s="9" t="str">
        <f>HYPERLINK("https://www.lazada.vn/products/dua-say-gion-thaifruitz-goi-80g-20047-i2824919717.html", "https://www.lazada.vn/products/dua-say-gion-thaifruitz-goi-80g-20047-i2824919717.html")</f>
        <v>https://www.lazada.vn/products/dua-say-gion-thaifruitz-goi-80g-20047-i2824919717.html</v>
      </c>
      <c r="C9945" s="10" t="s">
        <v>9945</v>
      </c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>
      <c r="A9946" s="8">
        <v>14800.0</v>
      </c>
      <c r="B9946" s="9" t="str">
        <f>HYPERLINK("https://www.lazada.vn/products/set-5-ly-uni-president-mi-unif-ly-huong-vi-tom-chua-cay-62gly-mi-ly-tom-chua-cay-dzai-dzai-ly-tom-chua-cay-i2762202470.html", "https://www.lazada.vn/products/set-5-ly-uni-president-mi-unif-ly-huong-vi-tom-chua-cay-62gly-mi-ly-tom-chua-cay-dzai-dzai-ly-tom-chua-cay-i2762202470.html")</f>
        <v>https://www.lazada.vn/products/set-5-ly-uni-president-mi-unif-ly-huong-vi-tom-chua-cay-62gly-mi-ly-tom-chua-cay-dzai-dzai-ly-tom-chua-cay-i2762202470.html</v>
      </c>
      <c r="C9946" s="10" t="s">
        <v>9946</v>
      </c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>
      <c r="A9947" s="8">
        <v>14801.0</v>
      </c>
      <c r="B9947" s="9" t="str">
        <f>HYPERLINK("https://www.lazada.vn/products/set-5-ly-uni-president-mi-unif-ly-huong-vi-bo-ham-62gly-dzai-dzai-mi-ly-bo-ham-mi-bo-ham-ly-unif-i2762178669.html", "https://www.lazada.vn/products/set-5-ly-uni-president-mi-unif-ly-huong-vi-bo-ham-62gly-dzai-dzai-mi-ly-bo-ham-mi-bo-ham-ly-unif-i2762178669.html")</f>
        <v>https://www.lazada.vn/products/set-5-ly-uni-president-mi-unif-ly-huong-vi-bo-ham-62gly-dzai-dzai-mi-ly-bo-ham-mi-bo-ham-ly-unif-i2762178669.html</v>
      </c>
      <c r="C9947" s="10" t="s">
        <v>9947</v>
      </c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>
      <c r="A9948" s="8">
        <v>14802.0</v>
      </c>
      <c r="B9948" s="9" t="str">
        <f>HYPERLINK("https://www.lazada.vn/products/combo-2kg-dac-tuoi-loai-nho-mem-deo-khong-cung-i2798271497.html", "https://www.lazada.vn/products/combo-2kg-dac-tuoi-loai-nho-mem-deo-khong-cung-i2798271497.html")</f>
        <v>https://www.lazada.vn/products/combo-2kg-dac-tuoi-loai-nho-mem-deo-khong-cung-i2798271497.html</v>
      </c>
      <c r="C9948" s="10" t="s">
        <v>9948</v>
      </c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>
      <c r="A9949" s="8">
        <v>14803.0</v>
      </c>
      <c r="B9949" s="9" t="str">
        <f>HYPERLINK("https://www.lazada.vn/products/huong-vi-moi-combo-500g-banh-quy-keo-kem-banh-quy-sandwich-mircen-do-an-nhe-nhieu-huong-vi-thom-ngon-cuc-cuon-i2842724427.html", "https://www.lazada.vn/products/huong-vi-moi-combo-500g-banh-quy-keo-kem-banh-quy-sandwich-mircen-do-an-nhe-nhieu-huong-vi-thom-ngon-cuc-cuon-i2842724427.html")</f>
        <v>https://www.lazada.vn/products/huong-vi-moi-combo-500g-banh-quy-keo-kem-banh-quy-sandwich-mircen-do-an-nhe-nhieu-huong-vi-thom-ngon-cuc-cuon-i2842724427.html</v>
      </c>
      <c r="C9949" s="10" t="s">
        <v>9949</v>
      </c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>
      <c r="A9950" s="8">
        <v>14804.0</v>
      </c>
      <c r="B9950" s="9" t="str">
        <f>HYPERLINK("https://www.lazada.vn/products/bap-rang-tam-mat-ong-pho-mai-han-quoc-255g-i276270949.html", "https://www.lazada.vn/products/bap-rang-tam-mat-ong-pho-mai-han-quoc-255g-i276270949.html")</f>
        <v>https://www.lazada.vn/products/bap-rang-tam-mat-ong-pho-mai-han-quoc-255g-i276270949.html</v>
      </c>
      <c r="C9950" s="10" t="s">
        <v>9950</v>
      </c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>
      <c r="A9951" s="8">
        <v>14805.0</v>
      </c>
      <c r="B9951" s="9" t="str">
        <f>HYPERLINK("https://www.lazada.vn/products/socola-solidarnosc-golden-cherry-225g-i2838427451.html", "https://www.lazada.vn/products/socola-solidarnosc-golden-cherry-225g-i2838427451.html")</f>
        <v>https://www.lazada.vn/products/socola-solidarnosc-golden-cherry-225g-i2838427451.html</v>
      </c>
      <c r="C9951" s="10" t="s">
        <v>9951</v>
      </c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>
      <c r="A9952" s="8">
        <v>14806.0</v>
      </c>
      <c r="B9952" s="9" t="str">
        <f>HYPERLINK("https://www.lazada.vn/products/ruou-vang-do-phap-chateau-dauzac-i2398612932.html", "https://www.lazada.vn/products/ruou-vang-do-phap-chateau-dauzac-i2398612932.html")</f>
        <v>https://www.lazada.vn/products/ruou-vang-do-phap-chateau-dauzac-i2398612932.html</v>
      </c>
      <c r="C9952" s="10" t="s">
        <v>9952</v>
      </c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>
      <c r="A9953" s="8">
        <v>14807.0</v>
      </c>
      <c r="B9953" s="9" t="str">
        <f>HYPERLINK("https://www.lazada.vn/products/snack-pho-mat-khi-ba-anh-em-food-combo-30-goi-do-an-tuoi-tho-i2614615724.html", "https://www.lazada.vn/products/snack-pho-mat-khi-ba-anh-em-food-combo-30-goi-do-an-tuoi-tho-i2614615724.html")</f>
        <v>https://www.lazada.vn/products/snack-pho-mat-khi-ba-anh-em-food-combo-30-goi-do-an-tuoi-tho-i2614615724.html</v>
      </c>
      <c r="C9953" s="10" t="s">
        <v>9953</v>
      </c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>
      <c r="A9954" s="8">
        <v>14808.0</v>
      </c>
      <c r="B9954" s="9" t="str">
        <f>HYPERLINK("https://www.lazada.vn/products/tran-chau-konjac-nguyen-vi-longbeach-konjac-pearls-original-taste-800g-i2395692862.html", "https://www.lazada.vn/products/tran-chau-konjac-nguyen-vi-longbeach-konjac-pearls-original-taste-800g-i2395692862.html")</f>
        <v>https://www.lazada.vn/products/tran-chau-konjac-nguyen-vi-longbeach-konjac-pearls-original-taste-800g-i2395692862.html</v>
      </c>
      <c r="C9954" s="10" t="s">
        <v>9954</v>
      </c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>
      <c r="A9955" s="8">
        <v>14809.0</v>
      </c>
      <c r="B9955" s="9" t="str">
        <f>HYPERLINK("https://www.lazada.vn/products/golden-crown-loveleek-licorice-olive-240g-jar-dried-fruit-snack-honey-candy-olive-snacks-from-hong-kong-quality-street-food-i2923578941.html", "https://www.lazada.vn/products/golden-crown-loveleek-licorice-olive-240g-jar-dried-fruit-snack-honey-candy-olive-snacks-from-hong-kong-quality-street-food-i2923578941.html")</f>
        <v>https://www.lazada.vn/products/golden-crown-loveleek-licorice-olive-240g-jar-dried-fruit-snack-honey-candy-olive-snacks-from-hong-kong-quality-street-food-i2923578941.html</v>
      </c>
      <c r="C9955" s="10" t="s">
        <v>9955</v>
      </c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>
      <c r="A9956" s="8">
        <v>14810.0</v>
      </c>
      <c r="B9956" s="9" t="str">
        <f>HYPERLINK("https://www.lazada.vn/products/thung-24-lon-nuoc-ngot-sa-xi-chuong-duong-320ml-i1773372283.html", "https://www.lazada.vn/products/thung-24-lon-nuoc-ngot-sa-xi-chuong-duong-320ml-i1773372283.html")</f>
        <v>https://www.lazada.vn/products/thung-24-lon-nuoc-ngot-sa-xi-chuong-duong-320ml-i1773372283.html</v>
      </c>
      <c r="C9956" s="10" t="s">
        <v>9956</v>
      </c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>
      <c r="A9957" s="8">
        <v>14811.0</v>
      </c>
      <c r="B9957" s="9" t="str">
        <f>HYPERLINK("https://www.lazada.vn/products/sieu-tochcm-bia-chang-thai-lan-thung-24-chai-i2731993729.html", "https://www.lazada.vn/products/sieu-tochcm-bia-chang-thai-lan-thung-24-chai-i2731993729.html")</f>
        <v>https://www.lazada.vn/products/sieu-tochcm-bia-chang-thai-lan-thung-24-chai-i2731993729.html</v>
      </c>
      <c r="C9957" s="10" t="s">
        <v>9957</v>
      </c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>
      <c r="A9958" s="8">
        <v>14812.0</v>
      </c>
      <c r="B9958" s="9" t="str">
        <f>HYPERLINK("https://www.lazada.vn/products/loc-6-lon-soda-schweppes-330ml-phu-hop-khi-hau-nhieu-vung-mien-i2654300077.html", "https://www.lazada.vn/products/loc-6-lon-soda-schweppes-330ml-phu-hop-khi-hau-nhieu-vung-mien-i2654300077.html")</f>
        <v>https://www.lazada.vn/products/loc-6-lon-soda-schweppes-330ml-phu-hop-khi-hau-nhieu-vung-mien-i2654300077.html</v>
      </c>
      <c r="C9958" s="10" t="s">
        <v>9958</v>
      </c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>
      <c r="A9959" s="8">
        <v>14813.0</v>
      </c>
      <c r="B9959" s="9" t="str">
        <f>HYPERLINK("https://www.lazada.vn/products/ly-le-uni-president-mi-unif-ly-huong-vi-tom-chua-cay-62gly-mi-ly-tom-chua-cay-dzai-dzai-ly-tom-chua-cay-i2762131862.html", "https://www.lazada.vn/products/ly-le-uni-president-mi-unif-ly-huong-vi-tom-chua-cay-62gly-mi-ly-tom-chua-cay-dzai-dzai-ly-tom-chua-cay-i2762131862.html")</f>
        <v>https://www.lazada.vn/products/ly-le-uni-president-mi-unif-ly-huong-vi-tom-chua-cay-62gly-mi-ly-tom-chua-cay-dzai-dzai-ly-tom-chua-cay-i2762131862.html</v>
      </c>
      <c r="C9959" s="10" t="s">
        <v>9959</v>
      </c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>
      <c r="A9960" s="8">
        <v>14814.0</v>
      </c>
      <c r="B9960" s="9" t="str">
        <f>HYPERLINK("https://www.lazada.vn/products/trai-cay-say-gung-say-tac-mat-ong-nam-xanh-40g-30827-i2824829634.html", "https://www.lazada.vn/products/trai-cay-say-gung-say-tac-mat-ong-nam-xanh-40g-30827-i2824829634.html")</f>
        <v>https://www.lazada.vn/products/trai-cay-say-gung-say-tac-mat-ong-nam-xanh-40g-30827-i2824829634.html</v>
      </c>
      <c r="C9960" s="10" t="s">
        <v>9960</v>
      </c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>
      <c r="A9961" s="8">
        <v>14815.0</v>
      </c>
      <c r="B9961" s="9" t="str">
        <f>HYPERLINK("https://www.lazada.vn/products/banh-che-lam-men-huong-che-lam-que-bac-banh-dac-san-nha-lam-mua-10-tang-1-i2842068249.html", "https://www.lazada.vn/products/banh-che-lam-men-huong-che-lam-que-bac-banh-dac-san-nha-lam-mua-10-tang-1-i2842068249.html")</f>
        <v>https://www.lazada.vn/products/banh-che-lam-men-huong-che-lam-que-bac-banh-dac-san-nha-lam-mua-10-tang-1-i2842068249.html</v>
      </c>
      <c r="C9961" s="10" t="s">
        <v>9961</v>
      </c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>
      <c r="A9962" s="8">
        <v>14816.0</v>
      </c>
      <c r="B9962" s="9" t="str">
        <f>HYPERLINK("https://www.lazada.vn/products/combo-2-tui-luong-kho-sbtmoi-tui-285gvoi-13-vi-i2791303587.html", "https://www.lazada.vn/products/combo-2-tui-luong-kho-sbtmoi-tui-285gvoi-13-vi-i2791303587.html")</f>
        <v>https://www.lazada.vn/products/combo-2-tui-luong-kho-sbtmoi-tui-285gvoi-13-vi-i2791303587.html</v>
      </c>
      <c r="C9962" s="10" t="s">
        <v>9962</v>
      </c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>
      <c r="A9963" s="8">
        <v>14817.0</v>
      </c>
      <c r="B9963" s="9" t="str">
        <f>HYPERLINK("https://www.lazada.vn/products/hop-12-tui-nuoc-uong-ion-kiem-giau-hydrogen-cao-cap-fujiwa-dang-tui-bac-270ml-detox-nhanh-chong-oxy-hoa-manh-i2718877743.html", "https://www.lazada.vn/products/hop-12-tui-nuoc-uong-ion-kiem-giau-hydrogen-cao-cap-fujiwa-dang-tui-bac-270ml-detox-nhanh-chong-oxy-hoa-manh-i2718877743.html")</f>
        <v>https://www.lazada.vn/products/hop-12-tui-nuoc-uong-ion-kiem-giau-hydrogen-cao-cap-fujiwa-dang-tui-bac-270ml-detox-nhanh-chong-oxy-hoa-manh-i2718877743.html</v>
      </c>
      <c r="C9963" s="10" t="s">
        <v>9963</v>
      </c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>
      <c r="A9964" s="8">
        <v>14818.0</v>
      </c>
      <c r="B9964" s="9" t="str">
        <f>HYPERLINK("https://www.lazada.vn/products/combo-2kg-ca-phe-huong-chon-2goi-thuong-hang-1goi-ban-me-1goi-79-i2598531540.html", "https://www.lazada.vn/products/combo-2kg-ca-phe-huong-chon-2goi-thuong-hang-1goi-ban-me-1goi-79-i2598531540.html")</f>
        <v>https://www.lazada.vn/products/combo-2kg-ca-phe-huong-chon-2goi-thuong-hang-1goi-ban-me-1goi-79-i2598531540.html</v>
      </c>
      <c r="C9964" s="10" t="s">
        <v>9964</v>
      </c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>
      <c r="A9965" s="8">
        <v>14819.0</v>
      </c>
      <c r="B9965" s="9" t="str">
        <f>HYPERLINK("https://www.lazada.vn/products/ngo-my-lam-bap-rang-bo-chat-luong-1kg-bap-no-popcorn-i211205057.html", "https://www.lazada.vn/products/ngo-my-lam-bap-rang-bo-chat-luong-1kg-bap-no-popcorn-i211205057.html")</f>
        <v>https://www.lazada.vn/products/ngo-my-lam-bap-rang-bo-chat-luong-1kg-bap-no-popcorn-i211205057.html</v>
      </c>
      <c r="C9965" s="10" t="s">
        <v>9965</v>
      </c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>
      <c r="A9966" s="8">
        <v>14820.0</v>
      </c>
      <c r="B9966" s="9" t="str">
        <f>HYPERLINK("https://www.lazada.vn/products/hang-uc-keo-socola-nhan-to-ong-gion-thom-bo-ko-gluten-australias-violet-crumble-glutenfree-chocolate-goi-120gr-150gr-i2837877050.html", "https://www.lazada.vn/products/hang-uc-keo-socola-nhan-to-ong-gion-thom-bo-ko-gluten-australias-violet-crumble-glutenfree-chocolate-goi-120gr-150gr-i2837877050.html")</f>
        <v>https://www.lazada.vn/products/hang-uc-keo-socola-nhan-to-ong-gion-thom-bo-ko-gluten-australias-violet-crumble-glutenfree-chocolate-goi-120gr-150gr-i2837877050.html</v>
      </c>
      <c r="C9966" s="10" t="s">
        <v>9966</v>
      </c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>
      <c r="A9967" s="8">
        <v>14821.0</v>
      </c>
      <c r="B9967" s="9" t="str">
        <f>HYPERLINK("https://www.lazada.vn/products/combo-10-goi-snack-bim-bim-oishi-32gr-1-loc-1-vi-i2614072278.html", "https://www.lazada.vn/products/combo-10-goi-snack-bim-bim-oishi-32gr-1-loc-1-vi-i2614072278.html")</f>
        <v>https://www.lazada.vn/products/combo-10-goi-snack-bim-bim-oishi-32gr-1-loc-1-vi-i2614072278.html</v>
      </c>
      <c r="C9967" s="10" t="s">
        <v>9967</v>
      </c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>
      <c r="A9968" s="8">
        <v>14822.0</v>
      </c>
      <c r="B9968" s="9" t="str">
        <f>HYPERLINK("https://www.lazada.vn/products/siro-hanh-nhan-rang-longbeach-roasted-almond-flavoured-syrup-740ml-i2395690278.html", "https://www.lazada.vn/products/siro-hanh-nhan-rang-longbeach-roasted-almond-flavoured-syrup-740ml-i2395690278.html")</f>
        <v>https://www.lazada.vn/products/siro-hanh-nhan-rang-longbeach-roasted-almond-flavoured-syrup-740ml-i2395690278.html</v>
      </c>
      <c r="C9968" s="10" t="s">
        <v>9968</v>
      </c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>
      <c r="A9969" s="8">
        <v>14823.0</v>
      </c>
      <c r="B9969" s="9" t="str">
        <f>HYPERLINK("https://www.lazada.vn/products/vang-do-uc-hill-harrington-13-750ml-i2398552391.html", "https://www.lazada.vn/products/vang-do-uc-hill-harrington-13-750ml-i2398552391.html")</f>
        <v>https://www.lazada.vn/products/vang-do-uc-hill-harrington-13-750ml-i2398552391.html</v>
      </c>
      <c r="C9969" s="10" t="s">
        <v>9969</v>
      </c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>
      <c r="A9970" s="8">
        <v>14824.0</v>
      </c>
      <c r="B9970" s="9" t="str">
        <f>HYPERLINK("https://www.lazada.vn/products/sieu-toc-hcm-bia-chang-thai-lan-thung-24-lon-x-330ml500ml-i2731966819.html", "https://www.lazada.vn/products/sieu-toc-hcm-bia-chang-thai-lan-thung-24-lon-x-330ml500ml-i2731966819.html")</f>
        <v>https://www.lazada.vn/products/sieu-toc-hcm-bia-chang-thai-lan-thung-24-lon-x-330ml500ml-i2731966819.html</v>
      </c>
      <c r="C9970" s="10" t="s">
        <v>9970</v>
      </c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>
      <c r="A9971" s="8">
        <v>14825.0</v>
      </c>
      <c r="B9971" s="9" t="str">
        <f>HYPERLINK("https://www.lazada.vn/products/trai-cay-say-gung-nuong-mat-png-nam-xanh-80g-40020-i2824800585.html", "https://www.lazada.vn/products/trai-cay-say-gung-nuong-mat-png-nam-xanh-80g-40020-i2824800585.html")</f>
        <v>https://www.lazada.vn/products/trai-cay-say-gung-nuong-mat-png-nam-xanh-80g-40020-i2824800585.html</v>
      </c>
      <c r="C9971" s="10" t="s">
        <v>9971</v>
      </c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>
      <c r="A9972" s="8">
        <v>14826.0</v>
      </c>
      <c r="B9972" s="9" t="str">
        <f>HYPERLINK("https://www.lazada.vn/products/chao-bong-mai-750g-thuc-pham-chay-thien-tam-i2939653055.html", "https://www.lazada.vn/products/chao-bong-mai-750g-thuc-pham-chay-thien-tam-i2939653055.html")</f>
        <v>https://www.lazada.vn/products/chao-bong-mai-750g-thuc-pham-chay-thien-tam-i2939653055.html</v>
      </c>
      <c r="C9972" s="10" t="s">
        <v>9972</v>
      </c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>
      <c r="A9973" s="8">
        <v>14827.0</v>
      </c>
      <c r="B9973" s="9" t="str">
        <f>HYPERLINK("https://www.lazada.vn/products/thung-24-ly-uni-president-mi-unif-ly-huong-vi-bo-ham-62gly-dzai-dzai-mi-ly-bo-ham-mi-bo-ham-ly-unif-i2762106987.html", "https://www.lazada.vn/products/thung-24-ly-uni-president-mi-unif-ly-huong-vi-bo-ham-62gly-dzai-dzai-mi-ly-bo-ham-mi-bo-ham-ly-unif-i2762106987.html")</f>
        <v>https://www.lazada.vn/products/thung-24-ly-uni-president-mi-unif-ly-huong-vi-bo-ham-62gly-dzai-dzai-mi-ly-bo-ham-mi-bo-ham-ly-unif-i2762106987.html</v>
      </c>
      <c r="C9973" s="10" t="s">
        <v>9973</v>
      </c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>
      <c r="A9974" s="8">
        <v>14828.0</v>
      </c>
      <c r="B9974" s="9" t="str">
        <f>HYPERLINK("https://www.lazada.vn/products/thung-30-non-x-240ml-nuoc-yen-ngan-nhi-tribeco-shop-sieu-thi-lan-chi-sieu-thi-lan-chi-i2600059735.html", "https://www.lazada.vn/products/thung-30-non-x-240ml-nuoc-yen-ngan-nhi-tribeco-shop-sieu-thi-lan-chi-sieu-thi-lan-chi-i2600059735.html")</f>
        <v>https://www.lazada.vn/products/thung-30-non-x-240ml-nuoc-yen-ngan-nhi-tribeco-shop-sieu-thi-lan-chi-sieu-thi-lan-chi-i2600059735.html</v>
      </c>
      <c r="C9974" s="10" t="s">
        <v>9974</v>
      </c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>
      <c r="A9975" s="8">
        <v>14829.0</v>
      </c>
      <c r="B9975" s="9" t="str">
        <f>HYPERLINK("https://www.lazada.vn/products/combo-5-goi-banh-nuong-gion-cest-bon-orion-baguette-vi-bo-toi-dut-lo-tui-5-goi-i2841594525.html", "https://www.lazada.vn/products/combo-5-goi-banh-nuong-gion-cest-bon-orion-baguette-vi-bo-toi-dut-lo-tui-5-goi-i2841594525.html")</f>
        <v>https://www.lazada.vn/products/combo-5-goi-banh-nuong-gion-cest-bon-orion-baguette-vi-bo-toi-dut-lo-tui-5-goi-i2841594525.html</v>
      </c>
      <c r="C9975" s="10" t="s">
        <v>9975</v>
      </c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>
      <c r="A9976" s="8">
        <v>14830.0</v>
      </c>
      <c r="B9976" s="9" t="str">
        <f>HYPERLINK("https://www.lazada.vn/products/soocola-xo-cac-loai-scl-bi-nhan-trai-cay-scl-gion-i2837244086.html", "https://www.lazada.vn/products/soocola-xo-cac-loai-scl-bi-nhan-trai-cay-scl-gion-i2837244086.html")</f>
        <v>https://www.lazada.vn/products/soocola-xo-cac-loai-scl-bi-nhan-trai-cay-scl-gion-i2837244086.html</v>
      </c>
      <c r="C9976" s="10" t="s">
        <v>9976</v>
      </c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>
      <c r="A9977" s="8">
        <v>14831.0</v>
      </c>
      <c r="B9977" s="9" t="str">
        <f>HYPERLINK("https://www.lazada.vn/products/ngo-my-lam-bap-rang-bo-chat-luong-500g-bap-no-popcorn-i211188922.html", "https://www.lazada.vn/products/ngo-my-lam-bap-rang-bo-chat-luong-500g-bap-no-popcorn-i211188922.html")</f>
        <v>https://www.lazada.vn/products/ngo-my-lam-bap-rang-bo-chat-luong-500g-bap-no-popcorn-i211188922.html</v>
      </c>
      <c r="C9977" s="10" t="s">
        <v>9977</v>
      </c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>
      <c r="A9978" s="8">
        <v>14832.0</v>
      </c>
      <c r="B9978" s="9" t="str">
        <f>HYPERLINK("https://www.lazada.vn/products/siro-khong-calo-huong-caramel-nguyen-vi-longbeach-classic-caramel-zero-calorie-concentrated-flavoured-syrup-740-ml-i2395687355.html", "https://www.lazada.vn/products/siro-khong-calo-huong-caramel-nguyen-vi-longbeach-classic-caramel-zero-calorie-concentrated-flavoured-syrup-740-ml-i2395687355.html")</f>
        <v>https://www.lazada.vn/products/siro-khong-calo-huong-caramel-nguyen-vi-longbeach-classic-caramel-zero-calorie-concentrated-flavoured-syrup-740-ml-i2395687355.html</v>
      </c>
      <c r="C9978" s="10" t="s">
        <v>9978</v>
      </c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>
      <c r="A9979" s="8">
        <v>14833.0</v>
      </c>
      <c r="B9979" s="9" t="str">
        <f>HYPERLINK("https://www.lazada.vn/products/combo-10-goi-banh-snack-lays-i2612707922.html", "https://www.lazada.vn/products/combo-10-goi-banh-snack-lays-i2612707922.html")</f>
        <v>https://www.lazada.vn/products/combo-10-goi-banh-snack-lays-i2612707922.html</v>
      </c>
      <c r="C9979" s="10" t="s">
        <v>9979</v>
      </c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>
      <c r="A9980" s="8">
        <v>14834.0</v>
      </c>
      <c r="B9980" s="9" t="str">
        <f>HYPERLINK("https://www.lazada.vn/products/vang-do-uc-hill-harrington-13-750ml-cabernet-sauvignon-i2398489743.html", "https://www.lazada.vn/products/vang-do-uc-hill-harrington-13-750ml-cabernet-sauvignon-i2398489743.html")</f>
        <v>https://www.lazada.vn/products/vang-do-uc-hill-harrington-13-750ml-cabernet-sauvignon-i2398489743.html</v>
      </c>
      <c r="C9980" s="10" t="s">
        <v>9980</v>
      </c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>
      <c r="A9981" s="8">
        <v>14835.0</v>
      </c>
      <c r="B9981" s="9" t="str">
        <f>HYPERLINK("https://www.lazada.vn/products/bia-blackpanther-campuchia-i2731909978.html", "https://www.lazada.vn/products/bia-blackpanther-campuchia-i2731909978.html")</f>
        <v>https://www.lazada.vn/products/bia-blackpanther-campuchia-i2731909978.html</v>
      </c>
      <c r="C9981" s="10" t="s">
        <v>9981</v>
      </c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>
      <c r="A9982" s="8">
        <v>14836.0</v>
      </c>
      <c r="B9982" s="9" t="str">
        <f>HYPERLINK("https://www.lazada.vn/products/set-5-ly-uni-president-mi-unif-ly-vi-lau-kim-chi-chua-cay-62gly-mi-dzai-dzai-ly-lau-kim-chi-chua-cay-i2762095994.html", "https://www.lazada.vn/products/set-5-ly-uni-president-mi-unif-ly-vi-lau-kim-chi-chua-cay-62gly-mi-dzai-dzai-ly-lau-kim-chi-chua-cay-i2762095994.html")</f>
        <v>https://www.lazada.vn/products/set-5-ly-uni-president-mi-unif-ly-vi-lau-kim-chi-chua-cay-62gly-mi-dzai-dzai-ly-lau-kim-chi-chua-cay-i2762095994.html</v>
      </c>
      <c r="C9982" s="10" t="s">
        <v>9982</v>
      </c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>
      <c r="A9983" s="8">
        <v>14837.0</v>
      </c>
      <c r="B9983" s="9" t="str">
        <f>HYPERLINK("https://www.lazada.vn/products/banh-nuong-gion-cest-bon-orion-baguette-vi-bo-toi-dut-lo-tui-5-goi-i2841549433.html", "https://www.lazada.vn/products/banh-nuong-gion-cest-bon-orion-baguette-vi-bo-toi-dut-lo-tui-5-goi-i2841549433.html")</f>
        <v>https://www.lazada.vn/products/banh-nuong-gion-cest-bon-orion-baguette-vi-bo-toi-dut-lo-tui-5-goi-i2841549433.html</v>
      </c>
      <c r="C9983" s="10" t="s">
        <v>9983</v>
      </c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>
      <c r="A9984" s="8">
        <v>14838.0</v>
      </c>
      <c r="B9984" s="9" t="str">
        <f>HYPERLINK("https://www.lazada.vn/products/chocolate-hachez-cacao-premier-cru-100g-nhap-khau-duc-77-va-88-dang-i2837032383.html", "https://www.lazada.vn/products/chocolate-hachez-cacao-premier-cru-100g-nhap-khau-duc-77-va-88-dang-i2837032383.html")</f>
        <v>https://www.lazada.vn/products/chocolate-hachez-cacao-premier-cru-100g-nhap-khau-duc-77-va-88-dang-i2837032383.html</v>
      </c>
      <c r="C9984" s="10" t="s">
        <v>9984</v>
      </c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>
      <c r="A9985" s="8">
        <v>14839.0</v>
      </c>
      <c r="B9985" s="9" t="str">
        <f>HYPERLINK("https://www.lazada.vn/products/thach-dua-minh-chau-i2599883329.html", "https://www.lazada.vn/products/thach-dua-minh-chau-i2599883329.html")</f>
        <v>https://www.lazada.vn/products/thach-dua-minh-chau-i2599883329.html</v>
      </c>
      <c r="C9985" s="10" t="s">
        <v>9985</v>
      </c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>
      <c r="A9986" s="8">
        <v>14840.0</v>
      </c>
      <c r="B9986" s="9" t="str">
        <f>HYPERLINK("https://www.lazada.vn/products/bap-my-kho-dung-lam-bap-rang-bo-500gr-i3064843277.html", "https://www.lazada.vn/products/bap-my-kho-dung-lam-bap-rang-bo-500gr-i3064843277.html")</f>
        <v>https://www.lazada.vn/products/bap-my-kho-dung-lam-bap-rang-bo-500gr-i3064843277.html</v>
      </c>
      <c r="C9986" s="10" t="s">
        <v>9986</v>
      </c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>
      <c r="A9987" s="8">
        <v>14841.0</v>
      </c>
      <c r="B9987" s="9" t="str">
        <f>HYPERLINK("https://www.lazada.vn/products/siro-dua-luoi-hoang-kim-longbeach-cantaloupe-flavoured-syrup-740ml-i2395423243.html", "https://www.lazada.vn/products/siro-dua-luoi-hoang-kim-longbeach-cantaloupe-flavoured-syrup-740ml-i2395423243.html")</f>
        <v>https://www.lazada.vn/products/siro-dua-luoi-hoang-kim-longbeach-cantaloupe-flavoured-syrup-740ml-i2395423243.html</v>
      </c>
      <c r="C9987" s="10" t="s">
        <v>9987</v>
      </c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>
      <c r="A9988" s="8">
        <v>14842.0</v>
      </c>
      <c r="B9988" s="9" t="str">
        <f>HYPERLINK("https://www.lazada.vn/products/10-goi-snack-khoai-tay-tu-nhien-fresh-cuts-oishi-i2612346640.html", "https://www.lazada.vn/products/10-goi-snack-khoai-tay-tu-nhien-fresh-cuts-oishi-i2612346640.html")</f>
        <v>https://www.lazada.vn/products/10-goi-snack-khoai-tay-tu-nhien-fresh-cuts-oishi-i2612346640.html</v>
      </c>
      <c r="C9988" s="10" t="s">
        <v>9988</v>
      </c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>
      <c r="A9989" s="8">
        <v>14843.0</v>
      </c>
      <c r="B9989" s="9" t="str">
        <f>HYPERLINK("https://www.lazada.vn/products/thung-x-6-chai-vang-do-uc-hill-harrington-13-750ml-i2398467965.html", "https://www.lazada.vn/products/thung-x-6-chai-vang-do-uc-hill-harrington-13-750ml-i2398467965.html")</f>
        <v>https://www.lazada.vn/products/thung-x-6-chai-vang-do-uc-hill-harrington-13-750ml-i2398467965.html</v>
      </c>
      <c r="C9989" s="10" t="s">
        <v>9989</v>
      </c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>
      <c r="A9990" s="8">
        <v>14844.0</v>
      </c>
      <c r="B9990" s="9" t="str">
        <f>HYPERLINK("https://www.lazada.vn/products/chanh-dao-mat-ong-duong-phen-giam-ho-rat-hong-gac-garden-hu-550ml-i2654214694.html", "https://www.lazada.vn/products/chanh-dao-mat-ong-duong-phen-giam-ho-rat-hong-gac-garden-hu-550ml-i2654214694.html")</f>
        <v>https://www.lazada.vn/products/chanh-dao-mat-ong-duong-phen-giam-ho-rat-hong-gac-garden-hu-550ml-i2654214694.html</v>
      </c>
      <c r="C9990" s="10" t="s">
        <v>9990</v>
      </c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>
      <c r="A9991" s="8">
        <v>14845.0</v>
      </c>
      <c r="B9991" s="9" t="str">
        <f>HYPERLINK("https://www.lazada.vn/products/ly-le-uni-president-mi-unif-ly-huong-vi-bo-rau-thom-60gly-unif-mi-bo-rau-thom-ly-mi-ly-dzai-dzai-i2762081206.html", "https://www.lazada.vn/products/ly-le-uni-president-mi-unif-ly-huong-vi-bo-rau-thom-60gly-unif-mi-bo-rau-thom-ly-mi-ly-dzai-dzai-i2762081206.html")</f>
        <v>https://www.lazada.vn/products/ly-le-uni-president-mi-unif-ly-huong-vi-bo-rau-thom-60gly-unif-mi-bo-rau-thom-ly-mi-ly-dzai-dzai-i2762081206.html</v>
      </c>
      <c r="C9991" s="10" t="s">
        <v>9991</v>
      </c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>
      <c r="A9992" s="8">
        <v>14846.0</v>
      </c>
      <c r="B9992" s="9" t="str">
        <f>HYPERLINK("https://www.lazada.vn/products/thung-24-chai-nuoc-uong-ion-kiem-cao-cap-dong-chai-fujiwa-450ml-nuoc-uong-detox-voi-cong-nghe-dien-phan-ion-kiem-i2598857174.html", "https://www.lazada.vn/products/thung-24-chai-nuoc-uong-ion-kiem-cao-cap-dong-chai-fujiwa-450ml-nuoc-uong-detox-voi-cong-nghe-dien-phan-ion-kiem-i2598857174.html")</f>
        <v>https://www.lazada.vn/products/thung-24-chai-nuoc-uong-ion-kiem-cao-cap-dong-chai-fujiwa-450ml-nuoc-uong-detox-voi-cong-nghe-dien-phan-ion-kiem-i2598857174.html</v>
      </c>
      <c r="C9992" s="10" t="s">
        <v>9992</v>
      </c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>
      <c r="A9993" s="8">
        <v>14847.0</v>
      </c>
      <c r="B9993" s="9" t="str">
        <f>HYPERLINK("https://www.lazada.vn/products/banh-tao-do-kep-hat-oc-cho-khong-duongbanh-tao-kep-oc-cho-tao-do-dinh-duong-thom-ngon-an-vat-492-i2839895758.html", "https://www.lazada.vn/products/banh-tao-do-kep-hat-oc-cho-khong-duongbanh-tao-kep-oc-cho-tao-do-dinh-duong-thom-ngon-an-vat-492-i2839895758.html")</f>
        <v>https://www.lazada.vn/products/banh-tao-do-kep-hat-oc-cho-khong-duongbanh-tao-kep-oc-cho-tao-do-dinh-duong-thom-ngon-an-vat-492-i2839895758.html</v>
      </c>
      <c r="C9993" s="10" t="s">
        <v>9993</v>
      </c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>
      <c r="A9994" s="8">
        <v>14848.0</v>
      </c>
      <c r="B9994" s="9" t="str">
        <f>HYPERLINK("https://www.lazada.vn/products/do-an-vat-keo-cuoi-do-an-vat-do-an-nhe-do-an-vat-do-an-vat-keo-tron-keo-tron-sua-do-an-vat-keo-tron-sua-doves-i2834878669.html", "https://www.lazada.vn/products/do-an-vat-keo-cuoi-do-an-vat-do-an-nhe-do-an-vat-do-an-vat-keo-tron-keo-tron-sua-do-an-vat-keo-tron-sua-doves-i2834878669.html")</f>
        <v>https://www.lazada.vn/products/do-an-vat-keo-cuoi-do-an-vat-do-an-nhe-do-an-vat-do-an-vat-keo-tron-keo-tron-sua-do-an-vat-keo-tron-sua-doves-i2834878669.html</v>
      </c>
      <c r="C9994" s="10" t="s">
        <v>9994</v>
      </c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>
      <c r="A9995" s="8">
        <v>14849.0</v>
      </c>
      <c r="B9995" s="9" t="str">
        <f>HYPERLINK("https://www.lazada.vn/products/bap-rang-bo-angies-boom-chicka-pop-709g-date-1025-i3045734803.html", "https://www.lazada.vn/products/bap-rang-bo-angies-boom-chicka-pop-709g-date-1025-i3045734803.html")</f>
        <v>https://www.lazada.vn/products/bap-rang-bo-angies-boom-chicka-pop-709g-date-1025-i3045734803.html</v>
      </c>
      <c r="C9995" s="10" t="s">
        <v>9995</v>
      </c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>
      <c r="A9996" s="8">
        <v>14850.0</v>
      </c>
      <c r="B9996" s="9" t="str">
        <f>HYPERLINK("https://www.lazada.vn/products/loc-6-lon-nuoc-ngot-sa-xi-chuong-duong-320ml-i1773300755.html", "https://www.lazada.vn/products/loc-6-lon-nuoc-ngot-sa-xi-chuong-duong-320ml-i1773300755.html")</f>
        <v>https://www.lazada.vn/products/loc-6-lon-nuoc-ngot-sa-xi-chuong-duong-320ml-i1773300755.html</v>
      </c>
      <c r="C9996" s="10" t="s">
        <v>9996</v>
      </c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>
      <c r="A9997" s="8">
        <v>14851.0</v>
      </c>
      <c r="B9997" s="9" t="str">
        <f>HYPERLINK("https://www.lazada.vn/products/siro-me-longbeach-tamarind-flavoured-syrup-740ml-i2395401400.html", "https://www.lazada.vn/products/siro-me-longbeach-tamarind-flavoured-syrup-740ml-i2395401400.html")</f>
        <v>https://www.lazada.vn/products/siro-me-longbeach-tamarind-flavoured-syrup-740ml-i2395401400.html</v>
      </c>
      <c r="C9997" s="10" t="s">
        <v>9997</v>
      </c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>
      <c r="A9998" s="8">
        <v>14852.0</v>
      </c>
      <c r="B9998" s="9" t="str">
        <f>HYPERLINK("https://www.lazada.vn/products/an-chay-duoc-khoai-mon-mo-hanh-say-cong-loai-dac-biet-gion-tan-xop-bui-man-beo-dac-san-thao-da-lat-i2611615249.html", "https://www.lazada.vn/products/an-chay-duoc-khoai-mon-mo-hanh-say-cong-loai-dac-biet-gion-tan-xop-bui-man-beo-dac-san-thao-da-lat-i2611615249.html")</f>
        <v>https://www.lazada.vn/products/an-chay-duoc-khoai-mon-mo-hanh-say-cong-loai-dac-biet-gion-tan-xop-bui-man-beo-dac-san-thao-da-lat-i2611615249.html</v>
      </c>
      <c r="C9998" s="10" t="s">
        <v>9998</v>
      </c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>
      <c r="A9999" s="8">
        <v>14853.0</v>
      </c>
      <c r="B9999" s="9" t="str">
        <f>HYPERLINK("https://www.lazada.vn/products/thung-x-6-chai-vang-da-lat-sweet-1992-105-750ml-vang-ngot-do-i2398450714.html", "https://www.lazada.vn/products/thung-x-6-chai-vang-da-lat-sweet-1992-105-750ml-vang-ngot-do-i2398450714.html")</f>
        <v>https://www.lazada.vn/products/thung-x-6-chai-vang-da-lat-sweet-1992-105-750ml-vang-ngot-do-i2398450714.html</v>
      </c>
      <c r="C9999" s="10" t="s">
        <v>9999</v>
      </c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>
      <c r="A10000" s="11">
        <v>14854.0</v>
      </c>
      <c r="B10000" s="12" t="str">
        <f>HYPERLINK("https://www.lazada.vn/products/tui-luong-kho-sbtfucuco-1kgmix-14-vi-san-pham-chinh-hang-i2790765785.html", "https://www.lazada.vn/products/tui-luong-kho-sbtfucuco-1kgmix-14-vi-san-pham-chinh-hang-i2790765785.html")</f>
        <v>https://www.lazada.vn/products/tui-luong-kho-sbtfucuco-1kgmix-14-vi-san-pham-chinh-hang-i2790765785.html</v>
      </c>
      <c r="C10000" s="13" t="s">
        <v>10000</v>
      </c>
      <c r="D10000" s="14"/>
      <c r="E10000" s="14"/>
      <c r="F10000" s="14"/>
      <c r="G10000" s="14"/>
      <c r="H10000" s="14"/>
      <c r="I10000" s="14"/>
      <c r="J10000" s="14"/>
      <c r="K10000" s="14"/>
      <c r="L10000" s="14"/>
      <c r="M10000" s="14"/>
      <c r="N10000" s="14"/>
      <c r="O10000" s="14"/>
      <c r="P10000" s="14"/>
      <c r="Q10000" s="14"/>
      <c r="R10000" s="14"/>
      <c r="S10000" s="14"/>
      <c r="T10000" s="14"/>
      <c r="U10000" s="14"/>
      <c r="V10000" s="14"/>
      <c r="W10000" s="14"/>
      <c r="X10000" s="14"/>
      <c r="Y10000" s="14"/>
      <c r="Z10000" s="14"/>
    </row>
  </sheetData>
  <drawing r:id="rId1"/>
</worksheet>
</file>