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deb7ebd88e07a/Documentos/"/>
    </mc:Choice>
  </mc:AlternateContent>
  <xr:revisionPtr revIDLastSave="3659" documentId="8_{32ED0CEC-52CE-4AED-AD01-465EFCC62BD4}" xr6:coauthVersionLast="47" xr6:coauthVersionMax="47" xr10:uidLastSave="{253DFDE3-2BAC-487B-99E2-BE1F7438E124}"/>
  <bookViews>
    <workbookView xWindow="-110" yWindow="-110" windowWidth="19420" windowHeight="11500" xr2:uid="{409A7AA2-CBC6-4F62-8BAE-8B45105B7AB7}"/>
  </bookViews>
  <sheets>
    <sheet name="Summary" sheetId="9" r:id="rId1"/>
    <sheet name="Drivers" sheetId="5" r:id="rId2"/>
    <sheet name="Forecast" sheetId="4" r:id="rId3"/>
    <sheet name="3_statement_model" sheetId="6" r:id="rId4"/>
    <sheet name="DCF" sheetId="7" r:id="rId5"/>
    <sheet name="Valuation_&amp;_EPS_Sensitivity" sheetId="8" r:id="rId6"/>
    <sheet name="Historical_Financials" sheetId="1" r:id="rId7"/>
    <sheet name="Growth_Metrics" sheetId="3" r:id="rId8"/>
    <sheet name="Source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8" l="1"/>
  <c r="D26" i="8"/>
  <c r="F23" i="8"/>
  <c r="F24" i="8"/>
  <c r="E23" i="8"/>
  <c r="E24" i="8"/>
  <c r="F22" i="8"/>
  <c r="E22" i="8"/>
  <c r="D24" i="8"/>
  <c r="D23" i="8"/>
  <c r="D22" i="8"/>
  <c r="D30" i="5"/>
  <c r="D29" i="5"/>
  <c r="K26" i="9"/>
  <c r="D16" i="8"/>
  <c r="E16" i="8"/>
  <c r="F16" i="8"/>
  <c r="G16" i="8"/>
  <c r="C16" i="8"/>
  <c r="G15" i="8"/>
  <c r="F15" i="8"/>
  <c r="D15" i="8"/>
  <c r="E15" i="8"/>
  <c r="E14" i="8"/>
  <c r="F14" i="8"/>
  <c r="G14" i="8"/>
  <c r="E13" i="8"/>
  <c r="F13" i="8"/>
  <c r="G13" i="8"/>
  <c r="E12" i="8"/>
  <c r="F12" i="8"/>
  <c r="G12" i="8"/>
  <c r="D14" i="8"/>
  <c r="D13" i="8"/>
  <c r="D12" i="8"/>
  <c r="C15" i="8"/>
  <c r="C14" i="8"/>
  <c r="C13" i="8"/>
  <c r="C12" i="8"/>
  <c r="H33" i="4"/>
  <c r="D11" i="8"/>
  <c r="E11" i="8"/>
  <c r="F11" i="8"/>
  <c r="G11" i="8"/>
  <c r="C11" i="8"/>
  <c r="K28" i="9"/>
  <c r="K27" i="9"/>
  <c r="I31" i="9"/>
  <c r="I30" i="9"/>
  <c r="I29" i="9"/>
  <c r="C30" i="9"/>
  <c r="C29" i="9"/>
  <c r="C28" i="9"/>
  <c r="C27" i="9"/>
  <c r="C26" i="9"/>
  <c r="C17" i="7"/>
  <c r="D21" i="9"/>
  <c r="C21" i="9"/>
  <c r="C20" i="9"/>
  <c r="C16" i="9"/>
  <c r="K5" i="8"/>
  <c r="K31" i="9" s="1"/>
  <c r="K4" i="8"/>
  <c r="K3" i="8"/>
  <c r="J5" i="8"/>
  <c r="J4" i="8"/>
  <c r="K30" i="9" s="1"/>
  <c r="J3" i="8"/>
  <c r="I5" i="8"/>
  <c r="I4" i="8"/>
  <c r="I3" i="8"/>
  <c r="K29" i="9" s="1"/>
  <c r="H5" i="8"/>
  <c r="H3" i="8"/>
  <c r="J7" i="7"/>
  <c r="G12" i="7" s="1"/>
  <c r="F12" i="7"/>
  <c r="G10" i="7"/>
  <c r="G6" i="7"/>
  <c r="L32" i="4"/>
  <c r="K32" i="4"/>
  <c r="L30" i="4"/>
  <c r="K30" i="4"/>
  <c r="L26" i="4"/>
  <c r="L21" i="4"/>
  <c r="K21" i="4"/>
  <c r="L16" i="4"/>
  <c r="L14" i="4"/>
  <c r="C4" i="5"/>
  <c r="H32" i="4"/>
  <c r="C6" i="7"/>
  <c r="E6" i="7"/>
  <c r="D6" i="7"/>
  <c r="F6" i="7"/>
  <c r="J4" i="7"/>
  <c r="C32" i="6"/>
  <c r="C26" i="6"/>
  <c r="C24" i="6"/>
  <c r="F13" i="6"/>
  <c r="D13" i="6"/>
  <c r="C14" i="6"/>
  <c r="C36" i="6" s="1"/>
  <c r="C13" i="6"/>
  <c r="H24" i="6"/>
  <c r="D32" i="4"/>
  <c r="E32" i="4" s="1"/>
  <c r="F32" i="4" s="1"/>
  <c r="F24" i="6" s="1"/>
  <c r="C31" i="4"/>
  <c r="C30" i="4"/>
  <c r="G30" i="4" s="1"/>
  <c r="I30" i="4" s="1"/>
  <c r="J30" i="4" s="1"/>
  <c r="C19" i="7" s="1"/>
  <c r="C29" i="4"/>
  <c r="C26" i="4"/>
  <c r="D26" i="4"/>
  <c r="D11" i="6" s="1"/>
  <c r="E26" i="4"/>
  <c r="F26" i="4" s="1"/>
  <c r="C27" i="4"/>
  <c r="C12" i="6" s="1"/>
  <c r="D28" i="4"/>
  <c r="F28" i="4" s="1"/>
  <c r="I11" i="3"/>
  <c r="J11" i="3"/>
  <c r="K11" i="3"/>
  <c r="H11" i="3"/>
  <c r="E22" i="3"/>
  <c r="F21" i="4"/>
  <c r="G21" i="4" s="1"/>
  <c r="I21" i="4" s="1"/>
  <c r="J21" i="4" s="1"/>
  <c r="E21" i="4"/>
  <c r="D21" i="4"/>
  <c r="E18" i="4"/>
  <c r="D18" i="4"/>
  <c r="C7" i="5"/>
  <c r="F18" i="4"/>
  <c r="H18" i="4" s="1"/>
  <c r="C35" i="4"/>
  <c r="C22" i="6" s="1"/>
  <c r="C34" i="4"/>
  <c r="C34" i="6" s="1"/>
  <c r="C33" i="4"/>
  <c r="C33" i="6" s="1"/>
  <c r="C32" i="4"/>
  <c r="C28" i="4"/>
  <c r="C25" i="4"/>
  <c r="C24" i="4"/>
  <c r="C10" i="6" s="1"/>
  <c r="C23" i="4"/>
  <c r="C9" i="6" s="1"/>
  <c r="C22" i="4"/>
  <c r="C8" i="6" s="1"/>
  <c r="C21" i="4"/>
  <c r="C18" i="4"/>
  <c r="C20" i="4"/>
  <c r="C7" i="6" s="1"/>
  <c r="C19" i="4"/>
  <c r="C6" i="6" s="1"/>
  <c r="C17" i="4"/>
  <c r="C5" i="6" s="1"/>
  <c r="C15" i="4"/>
  <c r="D15" i="4" s="1"/>
  <c r="C14" i="4"/>
  <c r="C16" i="4" s="1"/>
  <c r="D15" i="3"/>
  <c r="C15" i="3"/>
  <c r="G4" i="3"/>
  <c r="C4" i="3"/>
  <c r="D21" i="3"/>
  <c r="C21" i="3"/>
  <c r="D20" i="3"/>
  <c r="C20" i="3"/>
  <c r="D19" i="3"/>
  <c r="C19" i="3"/>
  <c r="D18" i="3"/>
  <c r="C18" i="3"/>
  <c r="D17" i="3"/>
  <c r="C17" i="3"/>
  <c r="D16" i="3"/>
  <c r="C16" i="3"/>
  <c r="D14" i="3"/>
  <c r="C14" i="3"/>
  <c r="C8" i="3"/>
  <c r="C7" i="3"/>
  <c r="C6" i="3"/>
  <c r="C5" i="3"/>
  <c r="C3" i="3"/>
  <c r="C9" i="3"/>
  <c r="C10" i="3"/>
  <c r="G10" i="3"/>
  <c r="L46" i="1"/>
  <c r="F10" i="3" s="1"/>
  <c r="E10" i="3"/>
  <c r="D10" i="3"/>
  <c r="G9" i="3"/>
  <c r="F9" i="3"/>
  <c r="E9" i="3"/>
  <c r="D9" i="3"/>
  <c r="G8" i="3"/>
  <c r="F8" i="3"/>
  <c r="E8" i="3"/>
  <c r="D8" i="3"/>
  <c r="G7" i="3"/>
  <c r="F5" i="3"/>
  <c r="F7" i="3"/>
  <c r="E7" i="3"/>
  <c r="D7" i="3"/>
  <c r="G6" i="3"/>
  <c r="E6" i="3"/>
  <c r="D6" i="3"/>
  <c r="G5" i="3"/>
  <c r="E5" i="3"/>
  <c r="D5" i="3"/>
  <c r="G3" i="3"/>
  <c r="E3" i="3"/>
  <c r="D3" i="3"/>
  <c r="M40" i="1"/>
  <c r="G11" i="3" s="1"/>
  <c r="D40" i="1"/>
  <c r="E40" i="1"/>
  <c r="F40" i="1"/>
  <c r="C22" i="3" s="1"/>
  <c r="H40" i="1"/>
  <c r="C11" i="3" s="1"/>
  <c r="I40" i="1"/>
  <c r="D11" i="3" s="1"/>
  <c r="J40" i="1"/>
  <c r="E11" i="3" s="1"/>
  <c r="K40" i="1"/>
  <c r="F11" i="3" s="1"/>
  <c r="C40" i="1"/>
  <c r="L53" i="1"/>
  <c r="N53" i="1" s="1"/>
  <c r="D43" i="1"/>
  <c r="E43" i="1" s="1"/>
  <c r="G43" i="1" s="1"/>
  <c r="I43" i="1"/>
  <c r="J43" i="1" s="1"/>
  <c r="L43" i="1" s="1"/>
  <c r="N43" i="1" s="1"/>
  <c r="G22" i="1"/>
  <c r="D17" i="1"/>
  <c r="E17" i="1"/>
  <c r="F17" i="1"/>
  <c r="H17" i="1"/>
  <c r="I17" i="1"/>
  <c r="J17" i="1"/>
  <c r="K17" i="1"/>
  <c r="M17" i="1"/>
  <c r="C17" i="1"/>
  <c r="L25" i="1"/>
  <c r="G25" i="1"/>
  <c r="L42" i="1"/>
  <c r="N42" i="1" s="1"/>
  <c r="L4" i="1"/>
  <c r="N4" i="1" s="1"/>
  <c r="L5" i="1"/>
  <c r="N5" i="1" s="1"/>
  <c r="L6" i="1"/>
  <c r="N6" i="1" s="1"/>
  <c r="L7" i="1"/>
  <c r="N7" i="1" s="1"/>
  <c r="L9" i="1"/>
  <c r="L10" i="1"/>
  <c r="L11" i="1"/>
  <c r="L12" i="1"/>
  <c r="L13" i="1"/>
  <c r="L14" i="1"/>
  <c r="L15" i="1"/>
  <c r="N15" i="1" s="1"/>
  <c r="L16" i="1"/>
  <c r="L17" i="1" s="1"/>
  <c r="L19" i="1"/>
  <c r="N19" i="1" s="1"/>
  <c r="L20" i="1"/>
  <c r="N20" i="1" s="1"/>
  <c r="L21" i="1"/>
  <c r="N21" i="1" s="1"/>
  <c r="L22" i="1"/>
  <c r="N22" i="1" s="1"/>
  <c r="L24" i="1"/>
  <c r="L3" i="1"/>
  <c r="F3" i="3" s="1"/>
  <c r="G42" i="1"/>
  <c r="G24" i="1"/>
  <c r="G21" i="1"/>
  <c r="G19" i="1"/>
  <c r="G16" i="1"/>
  <c r="G17" i="1" s="1"/>
  <c r="G15" i="1"/>
  <c r="G10" i="1"/>
  <c r="G11" i="1"/>
  <c r="G12" i="1"/>
  <c r="G13" i="1"/>
  <c r="G14" i="1"/>
  <c r="G9" i="1"/>
  <c r="G4" i="1"/>
  <c r="G5" i="1"/>
  <c r="G6" i="1"/>
  <c r="G7" i="1"/>
  <c r="G3" i="1"/>
  <c r="F20" i="1"/>
  <c r="G20" i="1" s="1"/>
  <c r="F18" i="1"/>
  <c r="F8" i="1"/>
  <c r="K18" i="1"/>
  <c r="K8" i="1"/>
  <c r="C18" i="1"/>
  <c r="C8" i="1"/>
  <c r="D18" i="1"/>
  <c r="D8" i="1"/>
  <c r="I18" i="1"/>
  <c r="I8" i="1"/>
  <c r="E18" i="1"/>
  <c r="E8" i="1"/>
  <c r="H18" i="1"/>
  <c r="H8" i="1"/>
  <c r="J18" i="1"/>
  <c r="J8" i="1"/>
  <c r="M8" i="1"/>
  <c r="D12" i="7" l="1"/>
  <c r="F10" i="7"/>
  <c r="I32" i="4"/>
  <c r="D10" i="7" s="1"/>
  <c r="J32" i="4"/>
  <c r="E10" i="7"/>
  <c r="G26" i="4"/>
  <c r="G11" i="6" s="1"/>
  <c r="C35" i="6"/>
  <c r="C37" i="6" s="1"/>
  <c r="C38" i="6" s="1"/>
  <c r="H26" i="4"/>
  <c r="F11" i="6"/>
  <c r="E11" i="6"/>
  <c r="H21" i="4"/>
  <c r="C21" i="6"/>
  <c r="C11" i="6"/>
  <c r="E15" i="4"/>
  <c r="F15" i="4" s="1"/>
  <c r="H15" i="4" s="1"/>
  <c r="E12" i="7"/>
  <c r="C12" i="7"/>
  <c r="D24" i="6"/>
  <c r="E24" i="6"/>
  <c r="C20" i="6"/>
  <c r="C23" i="6" s="1"/>
  <c r="C25" i="6" s="1"/>
  <c r="G32" i="4"/>
  <c r="E28" i="4"/>
  <c r="D14" i="4"/>
  <c r="D16" i="4" s="1"/>
  <c r="D17" i="4" s="1"/>
  <c r="E15" i="3"/>
  <c r="E14" i="3"/>
  <c r="E4" i="3"/>
  <c r="H5" i="3"/>
  <c r="F4" i="3"/>
  <c r="D22" i="3"/>
  <c r="F6" i="3"/>
  <c r="D4" i="3"/>
  <c r="H4" i="3" s="1"/>
  <c r="H3" i="3"/>
  <c r="H8" i="3"/>
  <c r="K7" i="3"/>
  <c r="E18" i="3"/>
  <c r="H9" i="3"/>
  <c r="E20" i="3"/>
  <c r="J5" i="3"/>
  <c r="K5" i="3"/>
  <c r="H6" i="3"/>
  <c r="H10" i="3"/>
  <c r="E16" i="3"/>
  <c r="J9" i="3"/>
  <c r="E19" i="3"/>
  <c r="E17" i="3"/>
  <c r="I6" i="3"/>
  <c r="J6" i="3"/>
  <c r="K6" i="3"/>
  <c r="E21" i="3"/>
  <c r="H7" i="3"/>
  <c r="I7" i="3"/>
  <c r="J7" i="3"/>
  <c r="I8" i="3"/>
  <c r="I3" i="3"/>
  <c r="J3" i="3"/>
  <c r="K3" i="3"/>
  <c r="K9" i="3"/>
  <c r="J10" i="3"/>
  <c r="J8" i="3"/>
  <c r="K8" i="3"/>
  <c r="I9" i="3"/>
  <c r="I10" i="3"/>
  <c r="K10" i="3"/>
  <c r="I5" i="3"/>
  <c r="N50" i="1"/>
  <c r="N3" i="1"/>
  <c r="N54" i="1" s="1"/>
  <c r="N17" i="1"/>
  <c r="N16" i="1"/>
  <c r="G8" i="1"/>
  <c r="L8" i="1"/>
  <c r="L18" i="1"/>
  <c r="N18" i="1" s="1"/>
  <c r="G18" i="1"/>
  <c r="G28" i="4" l="1"/>
  <c r="G13" i="6" s="1"/>
  <c r="E13" i="6"/>
  <c r="I26" i="4"/>
  <c r="J26" i="4" s="1"/>
  <c r="K26" i="4" s="1"/>
  <c r="H11" i="6"/>
  <c r="D5" i="6"/>
  <c r="D34" i="4"/>
  <c r="D34" i="6" s="1"/>
  <c r="C10" i="7"/>
  <c r="G24" i="6"/>
  <c r="D23" i="4"/>
  <c r="D35" i="4"/>
  <c r="D22" i="6" s="1"/>
  <c r="D22" i="4"/>
  <c r="D8" i="6" s="1"/>
  <c r="D20" i="4"/>
  <c r="D7" i="6" s="1"/>
  <c r="E14" i="4"/>
  <c r="F14" i="4" s="1"/>
  <c r="H14" i="4" s="1"/>
  <c r="H16" i="4" s="1"/>
  <c r="H17" i="4" s="1"/>
  <c r="D19" i="4"/>
  <c r="D6" i="6" s="1"/>
  <c r="J4" i="3"/>
  <c r="K4" i="3"/>
  <c r="I4" i="3"/>
  <c r="N8" i="1"/>
  <c r="N52" i="1" s="1"/>
  <c r="H22" i="4" l="1"/>
  <c r="H8" i="6" s="1"/>
  <c r="H23" i="4"/>
  <c r="H9" i="6" s="1"/>
  <c r="H21" i="6" s="1"/>
  <c r="H34" i="4"/>
  <c r="H34" i="6" s="1"/>
  <c r="H5" i="6"/>
  <c r="H20" i="4"/>
  <c r="H19" i="4"/>
  <c r="H6" i="6" s="1"/>
  <c r="D9" i="6"/>
  <c r="D21" i="6" s="1"/>
  <c r="D33" i="4"/>
  <c r="D33" i="6" s="1"/>
  <c r="E16" i="4"/>
  <c r="E17" i="4" s="1"/>
  <c r="F16" i="4"/>
  <c r="G14" i="4"/>
  <c r="I14" i="4" s="1"/>
  <c r="D24" i="4"/>
  <c r="J14" i="4" l="1"/>
  <c r="I16" i="4"/>
  <c r="H24" i="4"/>
  <c r="H7" i="6"/>
  <c r="E19" i="4"/>
  <c r="E6" i="6" s="1"/>
  <c r="E34" i="4"/>
  <c r="E34" i="6" s="1"/>
  <c r="E5" i="6"/>
  <c r="D27" i="4"/>
  <c r="D12" i="6" s="1"/>
  <c r="D10" i="6"/>
  <c r="E20" i="4"/>
  <c r="E7" i="6" s="1"/>
  <c r="E22" i="4"/>
  <c r="E8" i="6" s="1"/>
  <c r="E35" i="4"/>
  <c r="E22" i="6" s="1"/>
  <c r="E23" i="4"/>
  <c r="D25" i="4"/>
  <c r="F17" i="4"/>
  <c r="G16" i="4"/>
  <c r="D29" i="4" l="1"/>
  <c r="D14" i="6" s="1"/>
  <c r="D36" i="6" s="1"/>
  <c r="H25" i="4"/>
  <c r="H10" i="6"/>
  <c r="H27" i="4"/>
  <c r="K14" i="4"/>
  <c r="K16" i="4" s="1"/>
  <c r="J16" i="4"/>
  <c r="G17" i="4"/>
  <c r="G5" i="6" s="1"/>
  <c r="F34" i="4"/>
  <c r="F5" i="6"/>
  <c r="F19" i="4"/>
  <c r="F6" i="6" s="1"/>
  <c r="F22" i="4"/>
  <c r="F8" i="6" s="1"/>
  <c r="F23" i="4"/>
  <c r="F9" i="6" s="1"/>
  <c r="F21" i="6" s="1"/>
  <c r="E33" i="4"/>
  <c r="E33" i="6" s="1"/>
  <c r="E9" i="6"/>
  <c r="E21" i="6" s="1"/>
  <c r="G15" i="4"/>
  <c r="I15" i="4" s="1"/>
  <c r="E24" i="4"/>
  <c r="F20" i="4"/>
  <c r="F7" i="6" s="1"/>
  <c r="D20" i="6" l="1"/>
  <c r="D23" i="6" s="1"/>
  <c r="D25" i="6" s="1"/>
  <c r="D26" i="6" s="1"/>
  <c r="H28" i="4"/>
  <c r="H13" i="6" s="1"/>
  <c r="H12" i="6"/>
  <c r="H14" i="6"/>
  <c r="H20" i="6" s="1"/>
  <c r="H29" i="4"/>
  <c r="J15" i="4"/>
  <c r="K15" i="4" s="1"/>
  <c r="L15" i="4" s="1"/>
  <c r="L17" i="4" s="1"/>
  <c r="I17" i="4"/>
  <c r="I22" i="4" s="1"/>
  <c r="G19" i="4"/>
  <c r="G6" i="6" s="1"/>
  <c r="G22" i="4"/>
  <c r="G8" i="6" s="1"/>
  <c r="F34" i="6"/>
  <c r="H35" i="4"/>
  <c r="H22" i="6" s="1"/>
  <c r="E27" i="4"/>
  <c r="E12" i="6" s="1"/>
  <c r="E10" i="6"/>
  <c r="D32" i="6"/>
  <c r="D35" i="6" s="1"/>
  <c r="D37" i="6" s="1"/>
  <c r="D38" i="6" s="1"/>
  <c r="G34" i="4"/>
  <c r="E25" i="4"/>
  <c r="G20" i="4"/>
  <c r="F24" i="4"/>
  <c r="F35" i="4"/>
  <c r="F33" i="4"/>
  <c r="G23" i="4"/>
  <c r="H23" i="6" l="1"/>
  <c r="H25" i="6" s="1"/>
  <c r="L22" i="4"/>
  <c r="L23" i="4"/>
  <c r="G8" i="7" s="1"/>
  <c r="L34" i="4"/>
  <c r="G18" i="4"/>
  <c r="I18" i="4" s="1"/>
  <c r="J18" i="4" s="1"/>
  <c r="K18" i="4" s="1"/>
  <c r="L18" i="4" s="1"/>
  <c r="G7" i="6"/>
  <c r="I23" i="4"/>
  <c r="D8" i="7" s="1"/>
  <c r="I20" i="4"/>
  <c r="I34" i="4"/>
  <c r="G9" i="6"/>
  <c r="G21" i="6" s="1"/>
  <c r="C8" i="7"/>
  <c r="K17" i="4"/>
  <c r="J17" i="4"/>
  <c r="J22" i="4" s="1"/>
  <c r="G35" i="4"/>
  <c r="F22" i="6"/>
  <c r="G34" i="6"/>
  <c r="I35" i="4"/>
  <c r="D9" i="7" s="1"/>
  <c r="F27" i="4"/>
  <c r="F29" i="4" s="1"/>
  <c r="F10" i="6"/>
  <c r="E29" i="4"/>
  <c r="E14" i="6" s="1"/>
  <c r="F33" i="6"/>
  <c r="G33" i="4"/>
  <c r="G24" i="4"/>
  <c r="F25" i="4"/>
  <c r="G25" i="4" s="1"/>
  <c r="K23" i="4" l="1"/>
  <c r="K22" i="4"/>
  <c r="K34" i="4"/>
  <c r="L35" i="4"/>
  <c r="G9" i="7" s="1"/>
  <c r="I19" i="4"/>
  <c r="L19" i="4"/>
  <c r="L20" i="4"/>
  <c r="L24" i="4" s="1"/>
  <c r="I24" i="4"/>
  <c r="I27" i="4" s="1"/>
  <c r="I28" i="4" s="1"/>
  <c r="I29" i="4" s="1"/>
  <c r="I31" i="4" s="1"/>
  <c r="K20" i="4"/>
  <c r="F8" i="7"/>
  <c r="K19" i="4"/>
  <c r="J20" i="4"/>
  <c r="J23" i="4"/>
  <c r="E8" i="7" s="1"/>
  <c r="J34" i="4"/>
  <c r="J35" i="4" s="1"/>
  <c r="E9" i="7" s="1"/>
  <c r="J19" i="4"/>
  <c r="C9" i="7"/>
  <c r="G22" i="6"/>
  <c r="G29" i="4"/>
  <c r="F14" i="6"/>
  <c r="F20" i="6" s="1"/>
  <c r="F23" i="6" s="1"/>
  <c r="F25" i="6" s="1"/>
  <c r="C5" i="7"/>
  <c r="C7" i="7" s="1"/>
  <c r="G10" i="6"/>
  <c r="E20" i="6"/>
  <c r="E23" i="6" s="1"/>
  <c r="E25" i="6" s="1"/>
  <c r="E26" i="6" s="1"/>
  <c r="E36" i="6"/>
  <c r="G27" i="4"/>
  <c r="G12" i="6" s="1"/>
  <c r="F12" i="6"/>
  <c r="I33" i="4"/>
  <c r="K33" i="4" s="1"/>
  <c r="G33" i="6"/>
  <c r="H33" i="6"/>
  <c r="G5" i="7" l="1"/>
  <c r="G7" i="7" s="1"/>
  <c r="G11" i="7" s="1"/>
  <c r="L27" i="4"/>
  <c r="L25" i="4"/>
  <c r="F36" i="6"/>
  <c r="I25" i="4"/>
  <c r="D5" i="7"/>
  <c r="D7" i="7" s="1"/>
  <c r="D11" i="7" s="1"/>
  <c r="D13" i="7" s="1"/>
  <c r="J24" i="4"/>
  <c r="J27" i="4" s="1"/>
  <c r="J28" i="4" s="1"/>
  <c r="J29" i="4" s="1"/>
  <c r="J31" i="4" s="1"/>
  <c r="K24" i="4"/>
  <c r="K35" i="4"/>
  <c r="F9" i="7" s="1"/>
  <c r="J33" i="4"/>
  <c r="L33" i="4" s="1"/>
  <c r="C11" i="7"/>
  <c r="C13" i="7" s="1"/>
  <c r="E32" i="6"/>
  <c r="E35" i="6" s="1"/>
  <c r="E37" i="6" s="1"/>
  <c r="E38" i="6" s="1"/>
  <c r="F26" i="6"/>
  <c r="G31" i="4"/>
  <c r="G14" i="6"/>
  <c r="G20" i="6" s="1"/>
  <c r="G23" i="6" s="1"/>
  <c r="G25" i="6" s="1"/>
  <c r="J25" i="4" l="1"/>
  <c r="L28" i="4"/>
  <c r="L29" i="4" s="1"/>
  <c r="L31" i="4" s="1"/>
  <c r="G13" i="7"/>
  <c r="C14" i="7"/>
  <c r="E5" i="7"/>
  <c r="E7" i="7" s="1"/>
  <c r="E11" i="7" s="1"/>
  <c r="E13" i="7" s="1"/>
  <c r="K27" i="4"/>
  <c r="K28" i="4" s="1"/>
  <c r="K25" i="4"/>
  <c r="F5" i="7"/>
  <c r="F7" i="7" s="1"/>
  <c r="F11" i="7" s="1"/>
  <c r="G26" i="6"/>
  <c r="F32" i="6"/>
  <c r="F35" i="6" s="1"/>
  <c r="F37" i="6" s="1"/>
  <c r="F38" i="6" s="1"/>
  <c r="G36" i="6"/>
  <c r="H36" i="6" s="1"/>
  <c r="K29" i="4" l="1"/>
  <c r="K31" i="4" s="1"/>
  <c r="F13" i="7"/>
  <c r="C15" i="7"/>
  <c r="G32" i="6"/>
  <c r="G35" i="6" s="1"/>
  <c r="G37" i="6" s="1"/>
  <c r="G38" i="6" s="1"/>
  <c r="H26" i="6"/>
  <c r="H32" i="6" s="1"/>
  <c r="C16" i="7" l="1"/>
  <c r="H35" i="6"/>
  <c r="H37" i="6" s="1"/>
  <c r="H38" i="6" s="1"/>
  <c r="C18" i="7" l="1"/>
  <c r="C20" i="7" s="1"/>
  <c r="B25" i="7" l="1"/>
  <c r="H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tc={F3FC5702-5474-456A-AB3A-3A74323F3751}</author>
  </authors>
  <commentList>
    <comment ref="G15" authorId="0" shapeId="0" xr:uid="{F3FC5702-5474-456A-AB3A-3A74323F37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Revenue-Weighted Average AUV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tc={7B35888D-1BFE-4470-BB2D-0E09353BFC2A}</author>
  </authors>
  <commentList>
    <comment ref="C25" authorId="0" shapeId="0" xr:uid="{7B35888D-1BFE-4470-BB2D-0E09353BF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CapEx entered as negative, FCF = CFO + CapEx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tc={7AAE2407-9378-4BE3-9F4F-0EA99F142255}</author>
  </authors>
  <commentList>
    <comment ref="B7" authorId="0" shapeId="0" xr:uid="{7AAE2407-9378-4BE3-9F4F-0EA99F14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EBIT x (1-T)</t>
      </text>
    </comment>
  </commentList>
</comments>
</file>

<file path=xl/sharedStrings.xml><?xml version="1.0" encoding="utf-8"?>
<sst xmlns="http://schemas.openxmlformats.org/spreadsheetml/2006/main" count="584" uniqueCount="433">
  <si>
    <t>Store Count</t>
  </si>
  <si>
    <t>Digital Revenue %</t>
  </si>
  <si>
    <t>Revenue</t>
  </si>
  <si>
    <t>Food &amp; Bev COGS</t>
  </si>
  <si>
    <t>Labor Expense</t>
  </si>
  <si>
    <t>Occupancy &amp; Operating Cost</t>
  </si>
  <si>
    <t>Total Rest. Operating Cost</t>
  </si>
  <si>
    <t>Gross Profit</t>
  </si>
  <si>
    <t>G&amp;A</t>
  </si>
  <si>
    <t>D&amp;A</t>
  </si>
  <si>
    <t>Pre-Opening</t>
  </si>
  <si>
    <t>Impairment/Closure</t>
  </si>
  <si>
    <t>Loss on Disposal</t>
  </si>
  <si>
    <t>Restructuring</t>
  </si>
  <si>
    <t>Total Operating Expenses</t>
  </si>
  <si>
    <t>Interest Income/Expense</t>
  </si>
  <si>
    <t>Other Expense/Income</t>
  </si>
  <si>
    <t>Pre-Tax Income (Loss)</t>
  </si>
  <si>
    <t>Income Taxes</t>
  </si>
  <si>
    <t>Net Income (Loss)</t>
  </si>
  <si>
    <t>EPS (Diluted)</t>
  </si>
  <si>
    <t>Shares (Diluted)</t>
  </si>
  <si>
    <t>Net Cash from Operations</t>
  </si>
  <si>
    <t>CapEx</t>
  </si>
  <si>
    <t>Cash at Quarter End</t>
  </si>
  <si>
    <t>Net New Stores</t>
  </si>
  <si>
    <t>AUV</t>
  </si>
  <si>
    <t>Adj. EBITDA</t>
  </si>
  <si>
    <t>Restaurant-Level Margin (%)</t>
  </si>
  <si>
    <t>Adj. EBITDA Margin (%)</t>
  </si>
  <si>
    <t>Q1_2023</t>
  </si>
  <si>
    <t>Q2_2023</t>
  </si>
  <si>
    <t>Q3_2023</t>
  </si>
  <si>
    <t>FY_2023</t>
  </si>
  <si>
    <t>Q4_2023_Derived</t>
  </si>
  <si>
    <t>Q1_2024</t>
  </si>
  <si>
    <t>Q2_2024</t>
  </si>
  <si>
    <t>Q3_2024</t>
  </si>
  <si>
    <t>FY_2024</t>
  </si>
  <si>
    <t>Q4_2024_Derived</t>
  </si>
  <si>
    <t>Q1_2025</t>
  </si>
  <si>
    <t>Tax Rate</t>
  </si>
  <si>
    <t>Notes: All data sourced using 10-K and 10-Q SEC Filings, accessed through EDGAR</t>
  </si>
  <si>
    <t>Q4 Calculations =10-K Q4 Value - Q1 - Q2 - Q3</t>
  </si>
  <si>
    <t>NOPAT (0% Tax Rate)</t>
  </si>
  <si>
    <t>Metric (in thousands)</t>
  </si>
  <si>
    <t>SEC EDGAR FILING REFERENCES</t>
  </si>
  <si>
    <t>Q1 2025 10-Q: https://www.sec.gov/ix?doc=/Archives/edgar/data/0001477815/000162828025023817/sg-20250330.htm (Filed: May 8, 2025)</t>
  </si>
  <si>
    <t>2024 10-K: https://www.sec.gov/Archives/edgar/data/1477815/000162828025008367/sg-20241229.htm (Filed: February 27, 2025)</t>
  </si>
  <si>
    <t>Q3 2024 10-Q: https://www.sec.gov/Archives/edgar/data/1477815/000162828024046463/sg-20240929.htm (Filed: November 7, 2024)</t>
  </si>
  <si>
    <t>Q2 2024 10-Q: https://www.sec.gov/Archives/edgar/data/1477815/000162828024036302/sg-20240630.htm (Filed: August 8, 2024)</t>
  </si>
  <si>
    <t>Q1 2024 10-Q: https://www.sec.gov/Archives/edgar/data/1477815/000162828024022413/sg-20240331.htm (Filed: May 10, 2024)</t>
  </si>
  <si>
    <t>2023 10-K: https://www.sec.gov/Archives/edgar/data/1477815/000162828024008066/sg-20231231.htm (Filed: February 29, 2024)</t>
  </si>
  <si>
    <t>Q1 2023 10-Q: https://www.sec.gov/Archives/edgar/data/1477815/000162828023015927/sg-20230326.htm (Filed: May 5, 2023)</t>
  </si>
  <si>
    <t>CONDENSED CONSOLIDATED STATEMENTS OF OPERATIONS</t>
  </si>
  <si>
    <t xml:space="preserve">    Q1 2025: Q1 2025 10-Q, "Condensed Consolidated Statements of Operations", Line "Revenue" = $166,304k</t>
  </si>
  <si>
    <t xml:space="preserve">    Q4 2024: 2024 10-K, "Consolidated Statements of Operations", Annual Revenue $676,826k minus (Q1+Q2+Q3 2024) = $160,904k</t>
  </si>
  <si>
    <t xml:space="preserve">    Q3 2024: Q3 2024 10-Q, "Condensed Consolidated Statements of Operations", Line "Revenue" = $173,431k</t>
  </si>
  <si>
    <t xml:space="preserve">    Q2 2024: Q2 2024 10-Q, "Condensed Consolidated Statements of Operations", Line "Revenue" = $184,641k</t>
  </si>
  <si>
    <t xml:space="preserve">    Q1 2024: Q1 2025 10-Q, "Condensed Consolidated Statements of Operations", Comparative Column = $157,850k</t>
  </si>
  <si>
    <t xml:space="preserve">    Q4 2023: 2023 10-K, "Consolidated Statements of Operations", Annual Revenue $584,041k minus (Q1+Q2+Q3 2023) = $153,026k</t>
  </si>
  <si>
    <t xml:space="preserve">    Q3 2023: Q3 2024 10-Q, Thirty-nine weeks ended comparative data, derived from Q1-Q3 totals</t>
  </si>
  <si>
    <t xml:space="preserve">    Q2 2023: Q2 2024 10-Q, Twenty-six weeks ended comparative data, derived from Q1-Q2 totals</t>
  </si>
  <si>
    <t xml:space="preserve">    Q1 2023: Q1 2023 10-Q, "Condensed Consolidated Statements of Operations", Line "Revenue" = $125,062k</t>
  </si>
  <si>
    <t>Food, Beverage, and Packaging</t>
  </si>
  <si>
    <t xml:space="preserve">    Q1 2025: Q1 2025 10-Q, "Restaurant operating costs" section, Line "Food, beverage, and packaging" = $43,992k</t>
  </si>
  <si>
    <t xml:space="preserve">    Q4 2024: 2024 10-K, Annual total $185,367k minus (Q1+Q2+Q3 2024) = $44,060k</t>
  </si>
  <si>
    <t xml:space="preserve">    Q3 2024: Q3 2024 10-Q, "Restaurant operating costs" section, Line "Food, beverage, and packaging" = $47,706k</t>
  </si>
  <si>
    <t xml:space="preserve">    Q2 2024: Q2 2024 10-Q, "Restaurant operating costs" section, Line "Food, beverage, and packaging" = $49,883k</t>
  </si>
  <si>
    <t xml:space="preserve">    Q1 2024: Q1 2025 10-Q, Comparative column = $43,718k</t>
  </si>
  <si>
    <t xml:space="preserve">    Q4 2023: 2023 10-K, Annual total $161,725k minus (Q1+Q2+Q3 2023) = $43,392k</t>
  </si>
  <si>
    <t xml:space="preserve">    Q3 2023: Derived from comparative data in quarterly filings</t>
  </si>
  <si>
    <t xml:space="preserve">    Q2 2023: Derived from comparative data in quarterly filings</t>
  </si>
  <si>
    <t xml:space="preserve">    Q1 2023: Q1 2023 10-Q, "Restaurant operating costs" section, Line "Food, beverage, and packaging" = $35,587k</t>
  </si>
  <si>
    <t>Labor and Related Expenses</t>
  </si>
  <si>
    <t xml:space="preserve">    Q1 2025: Q1 2025 10-Q, "Restaurant operating costs" section, Line "Labor and related expenses" = $48,071k</t>
  </si>
  <si>
    <t xml:space="preserve">    Q4 2024: 2024 10-K, Annual total $188,867k minus (Q1+Q2+Q3 2024) = $45,913k</t>
  </si>
  <si>
    <t xml:space="preserve">    Q3 2024: Q3 2024 10-Q, "Restaurant operating costs" section, Line "Labor and related expenses" = $47,520k</t>
  </si>
  <si>
    <t xml:space="preserve">    Q2 2024: Q2 2024 10-Q, "Restaurant operating costs" section, Line "Labor and related expenses" = $49,668k</t>
  </si>
  <si>
    <t xml:space="preserve">    Q1 2024: Q1 2025 10-Q, Comparative column = $45,766k</t>
  </si>
  <si>
    <t xml:space="preserve">    Q4 2023: 2023 10-K, Annual total $171,306k minus (Q1+Q2+Q3 2023) = $44,800k</t>
  </si>
  <si>
    <t xml:space="preserve">    Q1 2023: Q1 2023 10-Q, "Restaurant operating costs" section, Line "Labor and related expenses" = $39,243k</t>
  </si>
  <si>
    <t>Occupancy and Related Expenses</t>
  </si>
  <si>
    <t xml:space="preserve">    Q1 2025: Q1 2025 10-Q, "Restaurant operating costs" section, Line "Occupancy and related expenses" = $15,674k</t>
  </si>
  <si>
    <t xml:space="preserve">    Q4 2024: 2024 10-K, Annual total $59,536k minus (Q1+Q2+Q3 2024) = $15,013k</t>
  </si>
  <si>
    <t xml:space="preserve">    Q3 2024: Q3 2024 10-Q, "Restaurant operating costs" section, Line "Occupancy and related expenses" = $15,054k</t>
  </si>
  <si>
    <t xml:space="preserve">    Q2 2024: Q2 2024 10-Q, "Restaurant operating costs" section, Line "Occupancy and related expenses" = $15,021k</t>
  </si>
  <si>
    <t xml:space="preserve">    Q1 2024: Q1 2025 10-Q, Comparative column = $14,448k</t>
  </si>
  <si>
    <t xml:space="preserve">    Q4 2023: 2023 10-K, Annual total $54,281k minus (Q1+Q2+Q3 2023) = $14,164k</t>
  </si>
  <si>
    <t xml:space="preserve">    Q1 2023: Q1 2023 10-Q, "Restaurant operating costs" section, Line "Occupancy and related expenses" = $12,630k</t>
  </si>
  <si>
    <t>Other Restaurant Operating Costs</t>
  </si>
  <si>
    <t xml:space="preserve">    Q1 2025: Q1 2025 10-Q, "Restaurant operating costs" section, Line "Other restaurant operating costs" = $28,880k</t>
  </si>
  <si>
    <t xml:space="preserve">    Q4 2024: 2024 10-K, Annual total $110,107k minus (Q1+Q2+Q3 2024) = $28,465k</t>
  </si>
  <si>
    <t xml:space="preserve">    Q3 2024: Q3 2024 10-Q, "Restaurant operating costs" section, Line "Other restaurant operating costs" = $28,210k</t>
  </si>
  <si>
    <t xml:space="preserve">    Q2 2024: Q2 2024 10-Q, "Restaurant operating costs" section, Line "Other restaurant operating costs" = $28,550k</t>
  </si>
  <si>
    <t xml:space="preserve">    Q1 2024: Q1 2025 10-Q, Comparative column = $25,381k</t>
  </si>
  <si>
    <t xml:space="preserve">    Q4 2023: 2023 10-K, Annual total $94,809k minus (Q1+Q2+Q3 2023) = $25,157k</t>
  </si>
  <si>
    <t xml:space="preserve">    Q1 2023: Q1 2023 10-Q, "Restaurant operating costs" section, Line "Other restaurant operating costs" = $20,665k</t>
  </si>
  <si>
    <t>General and Administrative</t>
  </si>
  <si>
    <t xml:space="preserve">    Q1 2025: Q1 2025 10-Q, "Operating expenses" section, Line "General and administrative" = $38,337k</t>
  </si>
  <si>
    <t xml:space="preserve">    Q4 2024: 2024 10-K, Annual total $149,942k minus (Q1+Q2+Q3 2024) = $37,098k</t>
  </si>
  <si>
    <t xml:space="preserve">    Q3 2024: Q3 2024 10-Q, "Operating expenses" section, Line "General and administrative" = $36,777k</t>
  </si>
  <si>
    <t xml:space="preserve">    Q2 2024: Q2 2024 10-Q, "Operating expenses" section, Line "General and administrative" = $39,202k</t>
  </si>
  <si>
    <t xml:space="preserve">    Q1 2024: Q1 2025 10-Q, Comparative column = $36,865k</t>
  </si>
  <si>
    <t xml:space="preserve">    Q4 2023: 2023 10-K, Annual total $146,762k minus (Q1+Q2+Q3 2023) = $35,452k</t>
  </si>
  <si>
    <t xml:space="preserve">    Q1 2023: Q1 2023 10-Q, "Operating expenses" section, Line "General and administrative" = $34,907k</t>
  </si>
  <si>
    <t>Depreciation and Amortization</t>
  </si>
  <si>
    <t xml:space="preserve">    Q1 2025: Q1 2025 10-Q, "Operating expenses" section, Line "Depreciation and amortization" = $17,106k</t>
  </si>
  <si>
    <t xml:space="preserve">    Q4 2024: 2024 10-K, Annual total $67,346k minus (Q1+Q2+Q3 2024) = $17,277k</t>
  </si>
  <si>
    <t xml:space="preserve">    Q3 2024: Q3 2024 10-Q, "Operating expenses" section, Line "Depreciation and amortization" = $16,905k</t>
  </si>
  <si>
    <t xml:space="preserve">    Q2 2024: Q2 2024 10-Q, "Operating expenses" section, Line "Depreciation and amortization" = $16,737k</t>
  </si>
  <si>
    <t xml:space="preserve">    Q1 2024: Q1 2025 10-Q, Comparative column = $16,427k</t>
  </si>
  <si>
    <t xml:space="preserve">    Q4 2023: 2023 10-K, Annual total $59,491k minus (Q1+Q2+Q3 2023) = $16,181k</t>
  </si>
  <si>
    <t xml:space="preserve">    Q1 2023: Q1 2023 10-Q, "Operating expenses" section, Line "Depreciation and amortization" = $13,110k</t>
  </si>
  <si>
    <t>CONDENSED CONSOLIDATED STATEMENTS OF CASH FLOWS</t>
  </si>
  <si>
    <t>Net Cash from Operating Activities</t>
  </si>
  <si>
    <t xml:space="preserve">    Q1 2025: Q1 2025 10-Q, "Cash flows from operating activities" section, Line "Net cash provided by operating activities" = $(13,128)k</t>
  </si>
  <si>
    <t xml:space="preserve">    Q4 2024: 2024 10-K, Annual total $43,390k minus (Q1+Q2+Q3 2024) = $43,390k derived</t>
  </si>
  <si>
    <t xml:space="preserve">    Q3 2024: Q3 2024 10-Q, "Cash flows from operating activities" section, Line "Net cash provided by operating activities" = $37,271k</t>
  </si>
  <si>
    <t xml:space="preserve">    Q2 2024: Q2 2024 10-Q, "Cash flows from operating activities" section, Line "Net cash provided by operating activities" = $22,542k</t>
  </si>
  <si>
    <t xml:space="preserve">    Q1 2024: Q1 2025 10-Q, Comparative column = $3,426k</t>
  </si>
  <si>
    <t xml:space="preserve">    Q4 2023: 2023 10-K, Annual total $26,480k minus (Q1+Q2+Q3 2023) = $7,233k derived</t>
  </si>
  <si>
    <t xml:space="preserve">    Q3 2023: Derived from comparative data</t>
  </si>
  <si>
    <t xml:space="preserve">    Q2 2023: Derived from comparative data</t>
  </si>
  <si>
    <t xml:space="preserve">    Q1 2023: Q1 2023 10-Q, "Cash flows from operating activities" section = $(3,130)k</t>
  </si>
  <si>
    <t>Purchase of Property and Equipment (CapEx)</t>
  </si>
  <si>
    <t xml:space="preserve">    Q1 2025: Q1 2025 10-Q, "Cash flows from investing activities" section, Line "Purchase of property and equipment" = $(16,732)k</t>
  </si>
  <si>
    <t xml:space="preserve">    Q4 2024: 2024 10-K, Annual total $(84,457)k minus (Q1+Q2+Q3 2024) = $(26,718)k derived</t>
  </si>
  <si>
    <t xml:space="preserve">    Q3 2024: Q3 2024 10-Q, "Cash flows from investing activities" section, Individual quarter amount = $(25,057)k</t>
  </si>
  <si>
    <t xml:space="preserve">    Q2 2024: Q2 2024 10-Q, "Cash flows from investing activities" section, Individual quarter amount = $(19,272)k</t>
  </si>
  <si>
    <t xml:space="preserve">    Q1 2024: Q1 2025 10-Q, Comparative column = $(13,410)k</t>
  </si>
  <si>
    <t xml:space="preserve">    Q4 2023: 2023 10-K, Annual total $(89,672)k minus (Q1+Q2+Q3 2023) = $(14,788)k derived</t>
  </si>
  <si>
    <t xml:space="preserve">    Q3 2023: Individual quarter amount = $(19,117)k</t>
  </si>
  <si>
    <t xml:space="preserve">    Q2 2023: Individual quarter amount = $(24,907)k</t>
  </si>
  <si>
    <t xml:space="preserve">    Q1 2023: Q1 2023 10-Q, "Cash flows from investing activities" section = $(30,860)k</t>
  </si>
  <si>
    <t>Cash and Cash Equivalents (End of Period)</t>
  </si>
  <si>
    <t xml:space="preserve">    Q1 2025: Q1 2025 10-Q, "Cash flows from operating activities" section, Line "Cash and cash equivalents and restricted cash—end of period" = $186,596k</t>
  </si>
  <si>
    <t xml:space="preserve">    Q4 2024: 2024 10-K, Balance Sheet "Cash and cash equivalents" = $217,429k</t>
  </si>
  <si>
    <t xml:space="preserve">    Q3 2024: Q3 2024 10-Q, Balance Sheet "Cash and cash equivalents" = $237,263k</t>
  </si>
  <si>
    <t xml:space="preserve">    Q2 2024: Q2 2024 10-Q, Balance Sheet "Cash and cash equivalents" = $245,158k</t>
  </si>
  <si>
    <t xml:space="preserve">    Q1 2024: Q1 2025 10-Q, Comparative column = $243,881k</t>
  </si>
  <si>
    <t xml:space="preserve">    Q4 2023: 2023 10-K, Balance Sheet "Cash and cash equivalents" = $257,355k</t>
  </si>
  <si>
    <t xml:space="preserve">    Q3 2023: Derived from cash flow statements</t>
  </si>
  <si>
    <t xml:space="preserve">    Q2 2023: Derived from cash flow statements</t>
  </si>
  <si>
    <t xml:space="preserve">    Q1 2023: Q1 2023 10-Q, Balance Sheet "Cash and cash equivalents" = $296,953k</t>
  </si>
  <si>
    <t>KEY PERFORMANCE METRICS</t>
  </si>
  <si>
    <t>Store Count (End of Period)</t>
  </si>
  <si>
    <t xml:space="preserve">    Q1 2025: Q1 2025 10-Q, "Key Performance Metrics" section, Restaurant count = 251</t>
  </si>
  <si>
    <t xml:space="preserve">    Q4 2024: 2024 10-K, Management Discussion &amp; Analysis, Restaurant count = 246</t>
  </si>
  <si>
    <t xml:space="preserve">    Q3 2024: Q3 2024 10-Q, "Key Performance Metrics" section, Restaurant count = 236</t>
  </si>
  <si>
    <t xml:space="preserve">    Q2 2024: Q2 2024 10-Q, "Key Performance Metrics" section, Restaurant count = 231</t>
  </si>
  <si>
    <t xml:space="preserve">    Q1 2024: Q1 2025 10-Q, Comparative column = 227</t>
  </si>
  <si>
    <t xml:space="preserve">    Q4 2023: 2023 10-K, Management Discussion &amp; Analysis, Restaurant count = 224</t>
  </si>
  <si>
    <t xml:space="preserve">    Q3 2023: Derived from net new openings data</t>
  </si>
  <si>
    <t xml:space="preserve">    Q2 2023: Derived from net new openings data</t>
  </si>
  <si>
    <t xml:space="preserve">    Q1 2023: Q1 2023 10-Q, Management Discussion &amp; Analysis = 195</t>
  </si>
  <si>
    <t>Net New Restaurant Openings</t>
  </si>
  <si>
    <t xml:space="preserve">    Q1 2025: Q1 2025 10-Q, "Key Performance Metrics" section, Net New Restaurant Openings = 5</t>
  </si>
  <si>
    <t xml:space="preserve">    Q4 2024: Derived from store count changes</t>
  </si>
  <si>
    <t xml:space="preserve">    Q3 2024: Q3 2024 10-Q, "Key Performance Metrics" section, Net New Restaurant Openings = 5</t>
  </si>
  <si>
    <t xml:space="preserve">    Q2 2024: Q2 2024 10-Q, "Key Performance Metrics" section, Net New Restaurant Openings = 4</t>
  </si>
  <si>
    <t xml:space="preserve">    Q1 2024: Q1 2025 10-Q, Comparative column = 1</t>
  </si>
  <si>
    <t xml:space="preserve">    All other periods: Derived from respective quarterly filings or calculated from store count changes</t>
  </si>
  <si>
    <t>Average Unit Volume (AUV)</t>
  </si>
  <si>
    <t xml:space="preserve">    Q1 2025: Q1 2025 10-Q, "Key Performance Metrics" section, Average Unit Volume = $2,907k</t>
  </si>
  <si>
    <t xml:space="preserve">    Q4 2024: 2024 10-K, "Key Performance Metrics" section = $2,924k</t>
  </si>
  <si>
    <t xml:space="preserve">    Q3 2024: Q3 2024 10-Q, "Key Performance Metrics" section = $2,907k</t>
  </si>
  <si>
    <t xml:space="preserve">    Q2 2024: Q2 2024 10-Q, "Key Performance Metrics" section = $2,925k</t>
  </si>
  <si>
    <t xml:space="preserve">    Q1 2024: Q1 2025 10-Q, Comparative column = $2,889k</t>
  </si>
  <si>
    <t xml:space="preserve">    All other periods: Sourced from respective quarterly "Key Performance Metrics" sections</t>
  </si>
  <si>
    <t>Same-Store Sales Growth (%)</t>
  </si>
  <si>
    <t xml:space="preserve">    Q1 2025: Q1 2025 10-Q, "Key Performance Metrics" section, Same-Store Sales Change = -3.1%</t>
  </si>
  <si>
    <t xml:space="preserve">    Q4 2024: 2024 10-K, "Key Performance Metrics" section = 6%</t>
  </si>
  <si>
    <t xml:space="preserve">    Q3 2024: Q3 2024 10-Q, "Key Performance Metrics" section = 6%</t>
  </si>
  <si>
    <t xml:space="preserve">    Q2 2024: Q2 2024 10-Q, "Key Performance Metrics" section = 9%</t>
  </si>
  <si>
    <t xml:space="preserve">    Q1 2024: Q1 2025 10-Q, Comparative column = 5%</t>
  </si>
  <si>
    <t>Digital Revenue Percentage</t>
  </si>
  <si>
    <t xml:space="preserve">    Q1 2025: Q1 2025 10-Q, "Key Performance Metrics" section, Total Digital Revenue Percentage = 59.9%</t>
  </si>
  <si>
    <t xml:space="preserve">    Q4 2024: 2024 10-K, "Key Performance Metrics" section = 56%</t>
  </si>
  <si>
    <t xml:space="preserve">    Q3 2024: Q3 2024 10-Q, "Key Performance Metrics" section = 55%</t>
  </si>
  <si>
    <t xml:space="preserve">    Q2 2024: Q2 2024 10-Q, "Key Performance Metrics" section = 56%</t>
  </si>
  <si>
    <t xml:space="preserve">    Q1 2024: Q1 2025 10-Q, Comparative column = 58.9%</t>
  </si>
  <si>
    <t>Restaurant-Level Profit Margin (%)</t>
  </si>
  <si>
    <t xml:space="preserve">    All periods: Calculated from "Restaurant-Level Profit" section in each respective quarterly filing's non-GAAP reconciliation tables</t>
  </si>
  <si>
    <t>Adjusted EBITDA</t>
  </si>
  <si>
    <t xml:space="preserve">    All periods: Sourced from "Non-GAAP Financial Measures" reconciliation tables in each respective quarterly and annual filing</t>
  </si>
  <si>
    <t>Adjusted EBITDA Margin (%)</t>
  </si>
  <si>
    <t xml:space="preserve">    All periods: Calculated as Adjusted EBITDA / Revenue from respective filings</t>
  </si>
  <si>
    <t>CALCULATION METHODOLOGY NOTES</t>
  </si>
  <si>
    <t>Q4 Derived Values: All Q4 figures calculated as Full Year (from annual 10-K) minus sum of Q1+Q2+Q3 (from respective 10-Qs)</t>
  </si>
  <si>
    <t>Comparative Data: When available, comparative period data sourced from most recent filing's comparative columns rather than original period filings</t>
  </si>
  <si>
    <t>CapEx Individual Quarterly: All CapEx figures represent individual quarterly cash outflows, not cumulative year-to-date amounts</t>
  </si>
  <si>
    <t>NOPAT: Calculated as Operating Income × (1 - Tax Rate), using 0% tax rate during loss periods</t>
  </si>
  <si>
    <t xml:space="preserve">TTM </t>
  </si>
  <si>
    <t xml:space="preserve">TTM SSS Growth Formula Sourced from: Using weighted revenue SSS growth, https://www.wallstreetprep.com/knowledge/ttm-trailing-twelve-months/ </t>
  </si>
  <si>
    <t>DATA SOURCES</t>
  </si>
  <si>
    <t>Computed using TTM SSS Growth Revenue-Weighted Formula</t>
  </si>
  <si>
    <t>Accounts Recievable</t>
  </si>
  <si>
    <t>Inventory</t>
  </si>
  <si>
    <t>Prepaid Expenses</t>
  </si>
  <si>
    <t>Other Current Assets</t>
  </si>
  <si>
    <t>Total Current Assets</t>
  </si>
  <si>
    <t>Accounts Payable</t>
  </si>
  <si>
    <t>Accrued Expenses</t>
  </si>
  <si>
    <t>Accrued Payroll</t>
  </si>
  <si>
    <t>Gift Card Liability</t>
  </si>
  <si>
    <t>Other Current Liabilities</t>
  </si>
  <si>
    <t>Total Current Liabilities</t>
  </si>
  <si>
    <t>Net Working Capital</t>
  </si>
  <si>
    <t>Metric</t>
  </si>
  <si>
    <t>Q4_2024</t>
  </si>
  <si>
    <t>QoQ Analysis Sources: (Standard QoQ calculations using sequential quarters)</t>
  </si>
  <si>
    <t>QoQ% Change (Q2-Q3)</t>
  </si>
  <si>
    <t>QoQ% Change (Q3-Q4)</t>
  </si>
  <si>
    <t>QoQ% Change (Q4-Q1)</t>
  </si>
  <si>
    <t>Digital Revenue (%)</t>
  </si>
  <si>
    <t>0% (op loss)</t>
  </si>
  <si>
    <t>NWC</t>
  </si>
  <si>
    <t>QoQ% Change (Q1-Q2)</t>
  </si>
  <si>
    <t>Shown as ppt</t>
  </si>
  <si>
    <t>Revenue (000s)</t>
  </si>
  <si>
    <t>Adj. EBITDA (000s)</t>
  </si>
  <si>
    <t>AUV (000s)</t>
  </si>
  <si>
    <t>NWC (000s)</t>
  </si>
  <si>
    <t>YoY% Change</t>
  </si>
  <si>
    <t>CapEx (000s)</t>
  </si>
  <si>
    <t>Q2_2025</t>
  </si>
  <si>
    <t>Q3_2025</t>
  </si>
  <si>
    <t>Q4_2025</t>
  </si>
  <si>
    <t>Q1_2026</t>
  </si>
  <si>
    <t>FY_2026</t>
  </si>
  <si>
    <t>Store Count (end)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</si>
  <si>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scheme val="minor"/>
      </rPr>
      <t>NWC</t>
    </r>
  </si>
  <si>
    <t>Assumptions:</t>
  </si>
  <si>
    <t>20 of 40 new stores Infinite Kitchen, with higher ratio of new stores in future.</t>
  </si>
  <si>
    <t>Planned opening of ~40 new stores in FY2025, 5 new as of Q1 2025.</t>
  </si>
  <si>
    <t>Labor savings up up to 7 ppt , higher throughput of 10%, 500 orders per hour.</t>
  </si>
  <si>
    <t>Infinite Kitchen, increasing productivity, 700-800 basis point restaurant-level margin advantage over traditional.</t>
  </si>
  <si>
    <t>Revenue Calculated as AUV * Store Count</t>
  </si>
  <si>
    <t>Infinite Kitchen CapEx around $450-550k per store, expected to lower with scale.</t>
  </si>
  <si>
    <t xml:space="preserve">     Q2-Q4 2024: Respective quarterly 10-Q filings</t>
  </si>
  <si>
    <t xml:space="preserve">     Q1 2025: Q1 2025 10-Q filing dated May 8, 2025</t>
  </si>
  <si>
    <t>Assumptions of Forecasting:</t>
  </si>
  <si>
    <t xml:space="preserve">     https://www.nrn.com/top-500-restaurants/sweetgreen-s-bet-on-technology-pays-off-with-10-higher-checks-at-infinite-kitchens </t>
  </si>
  <si>
    <t xml:space="preserve">     https://www.ainvest.com/news/sweetgreen-infinite-kitchen-blueprint-automation-driven-growth-fast-casual-dining-2507/</t>
  </si>
  <si>
    <t>Interest</t>
  </si>
  <si>
    <t>Pre-tax Income</t>
  </si>
  <si>
    <t>Taxes</t>
  </si>
  <si>
    <t>Net Income</t>
  </si>
  <si>
    <t>Net PP&amp;E</t>
  </si>
  <si>
    <t>Actual_Q1_2025</t>
  </si>
  <si>
    <t>Total Rest. Operating Costs</t>
  </si>
  <si>
    <t>Driver</t>
  </si>
  <si>
    <t>Notes</t>
  </si>
  <si>
    <t>To reach 40 new store openings, with 5 already opened</t>
  </si>
  <si>
    <t>From Q1_2025 Actual</t>
  </si>
  <si>
    <t>Slight increase expected with rollout and scale</t>
  </si>
  <si>
    <t>AUV (Q1_2025)</t>
  </si>
  <si>
    <t>AUV Growth Per Quarter</t>
  </si>
  <si>
    <t>% of Infinite Kitchen FY_2026</t>
  </si>
  <si>
    <t>% Infinite Kitchen FY_2025</t>
  </si>
  <si>
    <t>Reflects full benefit of IK mix</t>
  </si>
  <si>
    <t>20 of 40 new stores in base</t>
  </si>
  <si>
    <t>Base Value</t>
  </si>
  <si>
    <t>Average Store Count</t>
  </si>
  <si>
    <t>RLM % Q4_2025</t>
  </si>
  <si>
    <t>RLM % Q2_2025</t>
  </si>
  <si>
    <t>RLM % Q3_2025</t>
  </si>
  <si>
    <t>Working backward from Q4</t>
  </si>
  <si>
    <t>Digital Revenue % Q4_2025</t>
  </si>
  <si>
    <t>With increased online orders and Infinite Kitchen</t>
  </si>
  <si>
    <t>Digital Revenue % Q2_2025</t>
  </si>
  <si>
    <t>Digital Revenue % Q3_2025</t>
  </si>
  <si>
    <t>D&amp;A as % of Revenue</t>
  </si>
  <si>
    <t>Close to actual historical</t>
  </si>
  <si>
    <t>NWC as % of Revenue</t>
  </si>
  <si>
    <t>Hovered around this number from Q2_2024 to Q1_2025</t>
  </si>
  <si>
    <t>Using zero for NOL carryforward</t>
  </si>
  <si>
    <t>FY_2025</t>
  </si>
  <si>
    <t>Weighted Average Shares</t>
  </si>
  <si>
    <t>Shares (Diluted) % growth</t>
  </si>
  <si>
    <t>Annual dilution rate</t>
  </si>
  <si>
    <t>EPS</t>
  </si>
  <si>
    <t>n/a</t>
  </si>
  <si>
    <t>FY_2027</t>
  </si>
  <si>
    <t>FY_2028</t>
  </si>
  <si>
    <t>Digital Revenue % Increase 2026+</t>
  </si>
  <si>
    <t>New Stores Per Year 2026+</t>
  </si>
  <si>
    <t>New Stores Per Quarter 2025</t>
  </si>
  <si>
    <t>40 stores per year matching 2025 stable growth</t>
  </si>
  <si>
    <t>RLM % Growth 2026+</t>
  </si>
  <si>
    <t>Flat corporate tax rate of 21% + ~4% state and local</t>
  </si>
  <si>
    <t>INCOME STATEMENT</t>
  </si>
  <si>
    <t>EBIT</t>
  </si>
  <si>
    <t>Pre-Tax Income</t>
  </si>
  <si>
    <t>Operating Income (EBIT)</t>
  </si>
  <si>
    <t>CASH FLOW STATEMENT</t>
  </si>
  <si>
    <t>D&amp;A (+)</t>
  </si>
  <si>
    <t>ΔNWC (-)</t>
  </si>
  <si>
    <t>CFO</t>
  </si>
  <si>
    <t>FCF</t>
  </si>
  <si>
    <t>BALANCE SHEET</t>
  </si>
  <si>
    <t>Retained Earnings</t>
  </si>
  <si>
    <t>Total Assets</t>
  </si>
  <si>
    <t>Other Liabilities</t>
  </si>
  <si>
    <t>Total Liabilities + Equity</t>
  </si>
  <si>
    <t>Ending Cash</t>
  </si>
  <si>
    <t>End Cash</t>
  </si>
  <si>
    <t>Modest comp / throughput gains, YoY growth rate plus addition for automation</t>
  </si>
  <si>
    <t>1.5% growth per year, Target with adoption of automation, rebound Q4_2024 to Q1_2025</t>
  </si>
  <si>
    <t>DISCOUNTED CASH FLOW</t>
  </si>
  <si>
    <t>ΔNWC</t>
  </si>
  <si>
    <t>Unlevered FCF</t>
  </si>
  <si>
    <t>PV of UFCF</t>
  </si>
  <si>
    <t>Terminal Value</t>
  </si>
  <si>
    <t>PV of Terminal Value</t>
  </si>
  <si>
    <t>Enterprise Value</t>
  </si>
  <si>
    <t>Equity Value</t>
  </si>
  <si>
    <t>Shares Outstanding</t>
  </si>
  <si>
    <t>Implied Share Price</t>
  </si>
  <si>
    <t>Operating Income (EBIT) (Loss)</t>
  </si>
  <si>
    <t>Operating at Net Loss</t>
  </si>
  <si>
    <t>Line Item (000s)</t>
  </si>
  <si>
    <t>NOPAT</t>
  </si>
  <si>
    <t>WACC</t>
  </si>
  <si>
    <t>Note:</t>
  </si>
  <si>
    <t>Sweetgreen has no reported Debt</t>
  </si>
  <si>
    <t>WACC = Cost of Equity</t>
  </si>
  <si>
    <t>Risk-free Rate = 4.4% (U.S. 10-Year Yield)</t>
  </si>
  <si>
    <t>WACC Calculation:</t>
  </si>
  <si>
    <t xml:space="preserve">     US Treasury 10-Yr Yield, https://ycharts.com/indicators/10_year_treasury_rate </t>
  </si>
  <si>
    <t xml:space="preserve">     Beta Value (5Y Monthly), Yahoo, https://finance.yahoo.com/quote/SG/?p=SG</t>
  </si>
  <si>
    <t>Beta = 2.07 (Yahoo 5Y Monthly)</t>
  </si>
  <si>
    <t xml:space="preserve">     Equity Risk Premium, https://www.kroll.com/en/reports/cost-of-capital/recommended-us-equity-risk-premium-and-corresponding-risk-free-rates</t>
  </si>
  <si>
    <t>Equity Risk-premium = 5.5% (Kroll)</t>
  </si>
  <si>
    <t>Rf</t>
  </si>
  <si>
    <t>Rm</t>
  </si>
  <si>
    <t>Beta</t>
  </si>
  <si>
    <t>CAPM Cost of Equity = Rf + (beta*Rm)</t>
  </si>
  <si>
    <t>For Terminal Growth Rate, using 2.5%</t>
  </si>
  <si>
    <t>Matches long-term US Nominal GDP Growth</t>
  </si>
  <si>
    <t>g</t>
  </si>
  <si>
    <t>Close to actual historical, conservative</t>
  </si>
  <si>
    <t>Tax Rate when Loss</t>
  </si>
  <si>
    <t>Tax Rate when Profit</t>
  </si>
  <si>
    <t>Net Debt (add end cash)</t>
  </si>
  <si>
    <t>G&amp;A as % of Revenue 2025</t>
  </si>
  <si>
    <t>G&amp;A as % of Revenue 2026</t>
  </si>
  <si>
    <t>Step down approach</t>
  </si>
  <si>
    <t>G&amp;A as % of Revenue 2027</t>
  </si>
  <si>
    <t>G&amp;A as % of Revenue 2028</t>
  </si>
  <si>
    <t>CapEx per Store 2025 (000s)</t>
  </si>
  <si>
    <t>CapEx per Store 2026 (000s)</t>
  </si>
  <si>
    <t>Tapering CapEx towards terminal year as Infinite Kitchen decrease CapEx req.</t>
  </si>
  <si>
    <t>CapEx per Store 2027 (000s)</t>
  </si>
  <si>
    <t>FY_2029</t>
  </si>
  <si>
    <t>CapEx per Store 2028/29 (000s)</t>
  </si>
  <si>
    <t>Sensitivity to WACC &amp; G</t>
  </si>
  <si>
    <t>Scenario</t>
  </si>
  <si>
    <t>G&amp;A % Path (2025 - 2029)</t>
  </si>
  <si>
    <t>EPS 2026</t>
  </si>
  <si>
    <t>EPS 2027</t>
  </si>
  <si>
    <t>EPS 2028</t>
  </si>
  <si>
    <t>EPS 2029</t>
  </si>
  <si>
    <t>Bear</t>
  </si>
  <si>
    <t>Base</t>
  </si>
  <si>
    <t>Bull</t>
  </si>
  <si>
    <t>G&amp;A as % of Revenue 2029</t>
  </si>
  <si>
    <t>21 - 20 - 19 - 18 - 17</t>
  </si>
  <si>
    <t>21 - 19 - 17 - 15 - 13</t>
  </si>
  <si>
    <t>21 - 18 - 15 - 13 - 11</t>
  </si>
  <si>
    <t>Discount Factor</t>
  </si>
  <si>
    <t>Share Price (DCF)</t>
  </si>
  <si>
    <t>Bear DCF Price: 17% WACC, 1.5% g</t>
  </si>
  <si>
    <t>Bull DCF Price: 13% WACC, 3.0% g</t>
  </si>
  <si>
    <t>Key Assumptions</t>
  </si>
  <si>
    <t>Base Case</t>
  </si>
  <si>
    <t>New Stores FY2025/FY2026</t>
  </si>
  <si>
    <t>AUV Growth (Quarterly)</t>
  </si>
  <si>
    <t>Management guidance</t>
  </si>
  <si>
    <t>Flat performance 2023-2024, slight growth outlook</t>
  </si>
  <si>
    <t>% of Infinite Kitchen Stores</t>
  </si>
  <si>
    <t>50% FY2025 to 60+% FY2026</t>
  </si>
  <si>
    <t>Restaurant-Level Margin</t>
  </si>
  <si>
    <t>17.9% to 34.5% FY2029</t>
  </si>
  <si>
    <t>Infinite Kitchen margin boost up to 800 bps</t>
  </si>
  <si>
    <t>G&amp;A % of Revenue</t>
  </si>
  <si>
    <t>21% to 13% (2025-2029)</t>
  </si>
  <si>
    <t>Modeled for scale efficiency</t>
  </si>
  <si>
    <t>High beta, plus ERP = CAPM equity return</t>
  </si>
  <si>
    <r>
      <rPr>
        <sz val="11"/>
        <color rgb="FF0070C0"/>
        <rFont val="Aptos Narrow"/>
        <family val="2"/>
        <scheme val="minor"/>
      </rPr>
      <t>40</t>
    </r>
    <r>
      <rPr>
        <sz val="11"/>
        <color theme="1"/>
        <rFont val="Aptos Narrow"/>
        <family val="2"/>
        <scheme val="minor"/>
      </rPr>
      <t xml:space="preserve"> / </t>
    </r>
    <r>
      <rPr>
        <sz val="11"/>
        <color rgb="FFFF0000"/>
        <rFont val="Aptos Narrow"/>
        <family val="2"/>
        <scheme val="minor"/>
      </rPr>
      <t>45</t>
    </r>
  </si>
  <si>
    <t>Terminal Growth (g)</t>
  </si>
  <si>
    <t>Valuation Summary</t>
  </si>
  <si>
    <t>Net Cash (Q1 2025)</t>
  </si>
  <si>
    <t>P/E Forward Multiples Comps:</t>
  </si>
  <si>
    <t xml:space="preserve">     Chipotle comp multiple, https://www.macrotrends.net/stocks/charts/CMG/chipotle-mexican-grill/pe-ratio</t>
  </si>
  <si>
    <t xml:space="preserve">     Cava comp multiple, https://macrotrends.net/stocks/charts/CAVA/cava/pe-ratio</t>
  </si>
  <si>
    <t xml:space="preserve">     Shake Shack comp multiple, https://www.macrotrends.net/stocks/charts/SHAK/shake-shack/pe-ratio</t>
  </si>
  <si>
    <t>Method</t>
  </si>
  <si>
    <t>P/E</t>
  </si>
  <si>
    <t>Implied Price</t>
  </si>
  <si>
    <t>DCF</t>
  </si>
  <si>
    <t>EPS-based</t>
  </si>
  <si>
    <t>-</t>
  </si>
  <si>
    <t>25x</t>
  </si>
  <si>
    <t>35x</t>
  </si>
  <si>
    <t>45x</t>
  </si>
  <si>
    <t>2029 P/E 25x (Bear)</t>
  </si>
  <si>
    <t>2029 P/E 35x (Base)</t>
  </si>
  <si>
    <t>2029 P/E 45x (Bull)</t>
  </si>
  <si>
    <t>Value</t>
  </si>
  <si>
    <t>DCF Valuation Metric (Base)</t>
  </si>
  <si>
    <t>Current Price (Close 7/21/25)</t>
  </si>
  <si>
    <t>*"Bear/Base/Bull" scenarios differentiated by G&amp;A leverage, RLM scaling, and comp trend.</t>
  </si>
  <si>
    <t>14-15% consolidated revenue growth FY24 to FY25</t>
  </si>
  <si>
    <t>Invested Capital</t>
  </si>
  <si>
    <t>Line Item</t>
  </si>
  <si>
    <t>*Added back D&amp;A to account for rapid shrinkage of Net PP&amp;E</t>
  </si>
  <si>
    <t>*Hard floor stop for Inv. Cap &lt; 150mil, modeled 467 stores at minimum $300-400k cap. Req.</t>
  </si>
  <si>
    <t>Adj. ROIC (%)</t>
  </si>
  <si>
    <t>INVESTMENT THESIS:</t>
  </si>
  <si>
    <t>Sweetgreen is an early-growth, fast-casual concept undergoing operational transformation through Infinite Kitchen automation. In my base case, I estimate the valuation range of $10.47 (DCF) to $34.30 (35x FY2029 EPS), supported by automation-driven margin expansion and declining G&amp;A intensity as the store base scales.</t>
  </si>
  <si>
    <t>Sweetgreen, Inc. (NYSE: SG)</t>
  </si>
  <si>
    <t>*all values in $USD, model outputs as of July 21, 2025</t>
  </si>
  <si>
    <r>
      <rPr>
        <sz val="11"/>
        <color theme="1"/>
        <rFont val="Aptos Narrow"/>
        <family val="2"/>
        <scheme val="minor"/>
      </rPr>
      <t xml:space="preserve">I recommend a </t>
    </r>
    <r>
      <rPr>
        <b/>
        <sz val="11"/>
        <color theme="1"/>
        <rFont val="Aptos Narrow"/>
        <family val="2"/>
        <scheme val="minor"/>
      </rPr>
      <t>SHORT</t>
    </r>
    <r>
      <rPr>
        <sz val="11"/>
        <color theme="1"/>
        <rFont val="Aptos Narrow"/>
        <family val="2"/>
        <scheme val="minor"/>
      </rPr>
      <t xml:space="preserve"> position in Sweetgreen at $14.00. The current price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reflects an optimistic scenario not yet supported by fundamentals. Ongoing losses, G&amp;A inefficiency, and unproven automation scalability constrain upside. I see material downside risk if expectations reset and would revisit the long case upon evidence of sustained EPS inflection and margin leverage. </t>
    </r>
  </si>
  <si>
    <t>Store costs between 450 to 1.2m per store, averaged it down to account for IK</t>
  </si>
  <si>
    <t>Risk/Reward</t>
  </si>
  <si>
    <t>Probability</t>
  </si>
  <si>
    <t>Return vs. $14</t>
  </si>
  <si>
    <t>Contribution</t>
  </si>
  <si>
    <t>Weighted Target</t>
  </si>
  <si>
    <t>Per Quarter, flat from FY2028 to FY 2029 to not over inflate margin expansion</t>
  </si>
  <si>
    <t>Automation investment growth, per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</si>
</sst>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_);_(@_)"/>
    <numFmt numFmtId="165" formatCode="_(* #,##0.00_);_(* \(#,##0.00\);_(* &quot;-&quot;_);_(@_)"/>
    <numFmt numFmtId="166" formatCode="0.0"/>
    <numFmt numFmtId="167" formatCode="_(* #,##0.0_);_(* \(#,##0.0\);_(* &quot;-&quot;?_);_(@_)"/>
    <numFmt numFmtId="168" formatCode="0.0%"/>
    <numFmt numFmtId="169" formatCode="_(* #,##0.00_);_(* \(#,##0.00\);_(* &quot;-&quot;?_);_(@_)"/>
    <numFmt numFmtId="170" formatCode="_(* #,##0.0_);_(* \(#,##0.0\);_(* &quot;-&quot;??_);_(@_)"/>
    <numFmt numFmtId="171" formatCode="0.00_);\(0.00\)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222">
    <xf numFmtId="0" fontId="0" fillId="0" borderId="0" xfId="0"/>
    <xf numFmtId="41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1" fontId="0" fillId="0" borderId="2" xfId="0" applyNumberFormat="1" applyBorder="1" applyAlignment="1">
      <alignment horizontal="right"/>
    </xf>
    <xf numFmtId="41" fontId="1" fillId="0" borderId="2" xfId="0" applyNumberFormat="1" applyFont="1" applyBorder="1" applyAlignment="1">
      <alignment horizontal="right"/>
    </xf>
    <xf numFmtId="0" fontId="0" fillId="0" borderId="2" xfId="0" applyBorder="1"/>
    <xf numFmtId="41" fontId="1" fillId="0" borderId="5" xfId="0" applyNumberFormat="1" applyFont="1" applyBorder="1" applyAlignment="1">
      <alignment horizontal="right"/>
    </xf>
    <xf numFmtId="41" fontId="1" fillId="0" borderId="6" xfId="0" applyNumberFormat="1" applyFont="1" applyBorder="1" applyAlignment="1">
      <alignment horizontal="right"/>
    </xf>
    <xf numFmtId="41" fontId="3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right"/>
    </xf>
    <xf numFmtId="164" fontId="3" fillId="0" borderId="0" xfId="0" applyNumberFormat="1" applyFont="1" applyAlignment="1">
      <alignment horizontal="right"/>
    </xf>
    <xf numFmtId="41" fontId="5" fillId="0" borderId="0" xfId="0" applyNumberFormat="1" applyFont="1" applyAlignment="1">
      <alignment horizontal="right"/>
    </xf>
    <xf numFmtId="41" fontId="1" fillId="0" borderId="0" xfId="0" applyNumberFormat="1" applyFont="1" applyAlignment="1">
      <alignment horizontal="right"/>
    </xf>
    <xf numFmtId="41" fontId="6" fillId="0" borderId="0" xfId="0" applyNumberFormat="1" applyFont="1" applyAlignment="1">
      <alignment horizontal="right"/>
    </xf>
    <xf numFmtId="41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0" fillId="0" borderId="2" xfId="0" applyNumberForma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0" fillId="0" borderId="7" xfId="0" applyBorder="1"/>
    <xf numFmtId="0" fontId="0" fillId="0" borderId="1" xfId="0" applyBorder="1"/>
    <xf numFmtId="0" fontId="0" fillId="0" borderId="3" xfId="0" applyBorder="1"/>
    <xf numFmtId="9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5" fillId="0" borderId="0" xfId="0" applyNumberFormat="1" applyFont="1" applyAlignment="1">
      <alignment horizontal="right"/>
    </xf>
    <xf numFmtId="4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2" xfId="0" applyNumberFormat="1" applyBorder="1" applyAlignment="1">
      <alignment horizontal="right"/>
    </xf>
    <xf numFmtId="4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41" fontId="3" fillId="0" borderId="1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0" fillId="0" borderId="0" xfId="0" applyAlignment="1">
      <alignment wrapText="1"/>
    </xf>
    <xf numFmtId="167" fontId="1" fillId="0" borderId="4" xfId="0" applyNumberFormat="1" applyFont="1" applyBorder="1" applyAlignment="1">
      <alignment horizontal="right"/>
    </xf>
    <xf numFmtId="167" fontId="1" fillId="0" borderId="5" xfId="0" applyNumberFormat="1" applyFont="1" applyBorder="1" applyAlignment="1">
      <alignment horizontal="right"/>
    </xf>
    <xf numFmtId="167" fontId="3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7" fontId="2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7" fontId="0" fillId="0" borderId="0" xfId="0" applyNumberFormat="1"/>
    <xf numFmtId="167" fontId="0" fillId="0" borderId="2" xfId="0" applyNumberFormat="1" applyBorder="1"/>
    <xf numFmtId="167" fontId="0" fillId="0" borderId="10" xfId="0" applyNumberFormat="1" applyBorder="1" applyAlignment="1">
      <alignment horizontal="right"/>
    </xf>
    <xf numFmtId="167" fontId="0" fillId="0" borderId="1" xfId="0" applyNumberFormat="1" applyBorder="1"/>
    <xf numFmtId="0" fontId="1" fillId="0" borderId="6" xfId="0" applyFont="1" applyBorder="1" applyAlignment="1">
      <alignment horizontal="center" vertical="top"/>
    </xf>
    <xf numFmtId="169" fontId="3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43" fontId="0" fillId="0" borderId="0" xfId="0" applyNumberFormat="1"/>
    <xf numFmtId="43" fontId="0" fillId="0" borderId="2" xfId="0" applyNumberFormat="1" applyBorder="1"/>
    <xf numFmtId="43" fontId="2" fillId="0" borderId="0" xfId="0" applyNumberFormat="1" applyFont="1"/>
    <xf numFmtId="43" fontId="2" fillId="0" borderId="2" xfId="0" applyNumberFormat="1" applyFont="1" applyBorder="1"/>
    <xf numFmtId="41" fontId="0" fillId="0" borderId="0" xfId="0" applyNumberFormat="1"/>
    <xf numFmtId="41" fontId="0" fillId="0" borderId="2" xfId="0" applyNumberFormat="1" applyBorder="1"/>
    <xf numFmtId="43" fontId="0" fillId="0" borderId="1" xfId="0" applyNumberFormat="1" applyBorder="1"/>
    <xf numFmtId="167" fontId="4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0" fillId="0" borderId="13" xfId="0" applyBorder="1"/>
    <xf numFmtId="0" fontId="0" fillId="0" borderId="14" xfId="0" applyBorder="1"/>
    <xf numFmtId="167" fontId="3" fillId="0" borderId="0" xfId="2" applyNumberFormat="1" applyFont="1" applyBorder="1" applyAlignment="1">
      <alignment horizontal="right"/>
    </xf>
    <xf numFmtId="167" fontId="0" fillId="0" borderId="0" xfId="2" applyNumberFormat="1" applyFont="1" applyBorder="1" applyAlignment="1">
      <alignment horizontal="right"/>
    </xf>
    <xf numFmtId="167" fontId="0" fillId="0" borderId="0" xfId="2" applyNumberFormat="1" applyFont="1" applyBorder="1"/>
    <xf numFmtId="167" fontId="5" fillId="0" borderId="0" xfId="2" applyNumberFormat="1" applyFont="1" applyBorder="1" applyAlignment="1">
      <alignment horizontal="right"/>
    </xf>
    <xf numFmtId="167" fontId="0" fillId="0" borderId="2" xfId="2" applyNumberFormat="1" applyFont="1" applyBorder="1"/>
    <xf numFmtId="167" fontId="4" fillId="0" borderId="1" xfId="2" applyNumberFormat="1" applyFont="1" applyBorder="1" applyAlignment="1">
      <alignment horizontal="right"/>
    </xf>
    <xf numFmtId="167" fontId="1" fillId="0" borderId="1" xfId="2" applyNumberFormat="1" applyFont="1" applyBorder="1" applyAlignment="1">
      <alignment horizontal="right"/>
    </xf>
    <xf numFmtId="167" fontId="1" fillId="0" borderId="1" xfId="2" applyNumberFormat="1" applyFont="1" applyBorder="1"/>
    <xf numFmtId="167" fontId="1" fillId="0" borderId="3" xfId="0" applyNumberFormat="1" applyFont="1" applyBorder="1"/>
    <xf numFmtId="0" fontId="1" fillId="0" borderId="7" xfId="0" applyFont="1" applyBorder="1"/>
    <xf numFmtId="167" fontId="1" fillId="0" borderId="3" xfId="2" applyNumberFormat="1" applyFon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0" fontId="0" fillId="0" borderId="9" xfId="0" applyBorder="1" applyAlignment="1">
      <alignment horizontal="right"/>
    </xf>
    <xf numFmtId="43" fontId="0" fillId="0" borderId="3" xfId="0" applyNumberFormat="1" applyBorder="1"/>
    <xf numFmtId="167" fontId="0" fillId="0" borderId="13" xfId="0" applyNumberFormat="1" applyBorder="1" applyAlignment="1">
      <alignment horizontal="right"/>
    </xf>
    <xf numFmtId="167" fontId="0" fillId="0" borderId="14" xfId="0" applyNumberFormat="1" applyBorder="1" applyAlignment="1">
      <alignment horizontal="right"/>
    </xf>
    <xf numFmtId="167" fontId="1" fillId="0" borderId="1" xfId="0" applyNumberFormat="1" applyFont="1" applyBorder="1"/>
    <xf numFmtId="16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7" fontId="0" fillId="0" borderId="1" xfId="0" applyNumberFormat="1" applyBorder="1" applyAlignment="1">
      <alignment horizontal="right"/>
    </xf>
    <xf numFmtId="167" fontId="1" fillId="0" borderId="1" xfId="0" applyNumberFormat="1" applyFont="1" applyBorder="1" applyAlignment="1">
      <alignment horizontal="right"/>
    </xf>
    <xf numFmtId="0" fontId="10" fillId="0" borderId="14" xfId="0" applyFont="1" applyBorder="1"/>
    <xf numFmtId="0" fontId="10" fillId="0" borderId="2" xfId="0" applyFont="1" applyBorder="1"/>
    <xf numFmtId="0" fontId="0" fillId="0" borderId="9" xfId="0" applyBorder="1"/>
    <xf numFmtId="0" fontId="0" fillId="0" borderId="10" xfId="0" applyBorder="1"/>
    <xf numFmtId="0" fontId="10" fillId="0" borderId="3" xfId="0" applyFont="1" applyBorder="1"/>
    <xf numFmtId="0" fontId="0" fillId="0" borderId="12" xfId="0" applyBorder="1" applyAlignment="1">
      <alignment horizontal="right"/>
    </xf>
    <xf numFmtId="0" fontId="0" fillId="0" borderId="12" xfId="0" applyBorder="1"/>
    <xf numFmtId="169" fontId="1" fillId="0" borderId="1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167" fontId="0" fillId="0" borderId="13" xfId="0" applyNumberFormat="1" applyBorder="1"/>
    <xf numFmtId="169" fontId="0" fillId="0" borderId="0" xfId="0" applyNumberFormat="1"/>
    <xf numFmtId="167" fontId="0" fillId="0" borderId="14" xfId="0" applyNumberFormat="1" applyBorder="1"/>
    <xf numFmtId="167" fontId="1" fillId="0" borderId="3" xfId="0" applyNumberFormat="1" applyFont="1" applyBorder="1" applyAlignment="1">
      <alignment horizontal="right"/>
    </xf>
    <xf numFmtId="169" fontId="0" fillId="0" borderId="2" xfId="0" applyNumberFormat="1" applyBorder="1"/>
    <xf numFmtId="167" fontId="0" fillId="0" borderId="3" xfId="0" applyNumberFormat="1" applyBorder="1"/>
    <xf numFmtId="169" fontId="1" fillId="0" borderId="8" xfId="0" applyNumberFormat="1" applyFont="1" applyBorder="1"/>
    <xf numFmtId="0" fontId="1" fillId="0" borderId="0" xfId="0" applyFont="1"/>
    <xf numFmtId="0" fontId="1" fillId="0" borderId="1" xfId="0" applyFont="1" applyBorder="1"/>
    <xf numFmtId="0" fontId="0" fillId="0" borderId="8" xfId="0" applyBorder="1"/>
    <xf numFmtId="0" fontId="0" fillId="0" borderId="0" xfId="0" applyAlignment="1">
      <alignment horizontal="right" wrapText="1"/>
    </xf>
    <xf numFmtId="169" fontId="1" fillId="0" borderId="0" xfId="0" applyNumberFormat="1" applyFont="1" applyAlignment="1">
      <alignment horizontal="right"/>
    </xf>
    <xf numFmtId="166" fontId="2" fillId="0" borderId="0" xfId="0" applyNumberFormat="1" applyFont="1"/>
    <xf numFmtId="0" fontId="10" fillId="0" borderId="13" xfId="0" applyFont="1" applyBorder="1"/>
    <xf numFmtId="0" fontId="10" fillId="0" borderId="0" xfId="0" applyFont="1"/>
    <xf numFmtId="0" fontId="2" fillId="0" borderId="13" xfId="0" applyFont="1" applyBorder="1"/>
    <xf numFmtId="43" fontId="0" fillId="0" borderId="0" xfId="0" applyNumberFormat="1" applyAlignment="1">
      <alignment horizontal="right"/>
    </xf>
    <xf numFmtId="43" fontId="0" fillId="0" borderId="1" xfId="0" applyNumberFormat="1" applyBorder="1" applyAlignment="1">
      <alignment horizontal="right"/>
    </xf>
    <xf numFmtId="43" fontId="1" fillId="0" borderId="5" xfId="0" applyNumberFormat="1" applyFont="1" applyBorder="1" applyAlignment="1">
      <alignment horizontal="right"/>
    </xf>
    <xf numFmtId="43" fontId="1" fillId="0" borderId="6" xfId="0" applyNumberFormat="1" applyFont="1" applyBorder="1" applyAlignment="1">
      <alignment horizontal="right"/>
    </xf>
    <xf numFmtId="2" fontId="0" fillId="0" borderId="0" xfId="0" applyNumberFormat="1"/>
    <xf numFmtId="2" fontId="0" fillId="0" borderId="1" xfId="0" applyNumberFormat="1" applyBorder="1"/>
    <xf numFmtId="43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168" fontId="0" fillId="0" borderId="0" xfId="0" applyNumberFormat="1"/>
    <xf numFmtId="9" fontId="0" fillId="0" borderId="0" xfId="0" applyNumberFormat="1"/>
    <xf numFmtId="0" fontId="1" fillId="0" borderId="12" xfId="0" applyFont="1" applyBorder="1"/>
    <xf numFmtId="0" fontId="1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1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43" fontId="1" fillId="0" borderId="12" xfId="0" applyNumberFormat="1" applyFont="1" applyBorder="1" applyAlignment="1">
      <alignment horizontal="left"/>
    </xf>
    <xf numFmtId="43" fontId="0" fillId="0" borderId="13" xfId="0" applyNumberFormat="1" applyBorder="1"/>
    <xf numFmtId="43" fontId="1" fillId="0" borderId="9" xfId="0" applyNumberFormat="1" applyFont="1" applyBorder="1" applyAlignment="1">
      <alignment horizontal="left"/>
    </xf>
    <xf numFmtId="43" fontId="1" fillId="0" borderId="10" xfId="0" applyNumberFormat="1" applyFont="1" applyBorder="1"/>
    <xf numFmtId="43" fontId="0" fillId="0" borderId="9" xfId="0" applyNumberFormat="1" applyBorder="1"/>
    <xf numFmtId="43" fontId="1" fillId="0" borderId="9" xfId="0" applyNumberFormat="1" applyFont="1" applyBorder="1"/>
    <xf numFmtId="43" fontId="1" fillId="0" borderId="0" xfId="0" applyNumberFormat="1" applyFont="1"/>
    <xf numFmtId="43" fontId="0" fillId="0" borderId="10" xfId="0" applyNumberFormat="1" applyBorder="1"/>
    <xf numFmtId="170" fontId="0" fillId="0" borderId="0" xfId="0" applyNumberForma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2" fontId="0" fillId="0" borderId="2" xfId="0" applyNumberForma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168" fontId="1" fillId="0" borderId="0" xfId="1" applyNumberFormat="1" applyFont="1" applyBorder="1" applyAlignment="1">
      <alignment horizontal="center"/>
    </xf>
    <xf numFmtId="43" fontId="1" fillId="0" borderId="1" xfId="0" applyNumberFormat="1" applyFont="1" applyBorder="1" applyAlignment="1">
      <alignment horizontal="right"/>
    </xf>
    <xf numFmtId="171" fontId="1" fillId="0" borderId="4" xfId="0" applyNumberFormat="1" applyFont="1" applyBorder="1" applyAlignment="1">
      <alignment horizontal="center" vertical="top"/>
    </xf>
    <xf numFmtId="171" fontId="2" fillId="0" borderId="7" xfId="0" applyNumberFormat="1" applyFont="1" applyBorder="1" applyAlignment="1">
      <alignment horizontal="right" vertical="top"/>
    </xf>
    <xf numFmtId="171" fontId="3" fillId="0" borderId="7" xfId="0" applyNumberFormat="1" applyFont="1" applyBorder="1" applyAlignment="1">
      <alignment horizontal="right" vertical="top"/>
    </xf>
    <xf numFmtId="171" fontId="2" fillId="0" borderId="7" xfId="1" applyNumberFormat="1" applyFont="1" applyBorder="1" applyAlignment="1">
      <alignment horizontal="right" vertical="top"/>
    </xf>
    <xf numFmtId="171" fontId="2" fillId="0" borderId="7" xfId="0" applyNumberFormat="1" applyFont="1" applyBorder="1" applyAlignment="1">
      <alignment wrapText="1"/>
    </xf>
    <xf numFmtId="171" fontId="2" fillId="0" borderId="8" xfId="0" applyNumberFormat="1" applyFont="1" applyBorder="1" applyAlignment="1">
      <alignment wrapText="1"/>
    </xf>
    <xf numFmtId="0" fontId="1" fillId="0" borderId="11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67" fontId="0" fillId="0" borderId="7" xfId="0" applyNumberFormat="1" applyBorder="1" applyAlignment="1">
      <alignment horizontal="left"/>
    </xf>
    <xf numFmtId="167" fontId="1" fillId="0" borderId="7" xfId="0" applyNumberFormat="1" applyFont="1" applyBorder="1" applyAlignment="1">
      <alignment horizontal="left"/>
    </xf>
    <xf numFmtId="167" fontId="0" fillId="0" borderId="8" xfId="0" applyNumberFormat="1" applyBorder="1" applyAlignment="1">
      <alignment horizontal="left"/>
    </xf>
    <xf numFmtId="167" fontId="1" fillId="0" borderId="15" xfId="0" applyNumberFormat="1" applyFont="1" applyBorder="1" applyAlignment="1">
      <alignment horizontal="left"/>
    </xf>
    <xf numFmtId="167" fontId="1" fillId="0" borderId="8" xfId="0" applyNumberFormat="1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7" fontId="1" fillId="0" borderId="8" xfId="2" applyNumberFormat="1" applyFont="1" applyBorder="1" applyAlignment="1">
      <alignment horizontal="left"/>
    </xf>
    <xf numFmtId="167" fontId="0" fillId="0" borderId="7" xfId="2" applyNumberFormat="1" applyFont="1" applyBorder="1" applyAlignment="1">
      <alignment horizontal="left"/>
    </xf>
    <xf numFmtId="167" fontId="0" fillId="0" borderId="12" xfId="0" applyNumberFormat="1" applyBorder="1" applyAlignment="1">
      <alignment horizontal="left"/>
    </xf>
    <xf numFmtId="0" fontId="0" fillId="0" borderId="10" xfId="0" applyBorder="1" applyAlignment="1">
      <alignment horizontal="right"/>
    </xf>
    <xf numFmtId="43" fontId="1" fillId="0" borderId="4" xfId="0" applyNumberFormat="1" applyFont="1" applyBorder="1" applyAlignment="1">
      <alignment horizontal="left"/>
    </xf>
    <xf numFmtId="43" fontId="0" fillId="0" borderId="7" xfId="0" applyNumberFormat="1" applyBorder="1" applyAlignment="1">
      <alignment horizontal="left"/>
    </xf>
    <xf numFmtId="43" fontId="0" fillId="0" borderId="8" xfId="0" applyNumberFormat="1" applyBorder="1" applyAlignment="1">
      <alignment horizontal="left"/>
    </xf>
    <xf numFmtId="41" fontId="1" fillId="0" borderId="4" xfId="0" applyNumberFormat="1" applyFont="1" applyBorder="1" applyAlignment="1">
      <alignment horizontal="left"/>
    </xf>
    <xf numFmtId="41" fontId="0" fillId="0" borderId="7" xfId="0" applyNumberFormat="1" applyBorder="1" applyAlignment="1">
      <alignment horizontal="left"/>
    </xf>
    <xf numFmtId="41" fontId="1" fillId="0" borderId="7" xfId="0" applyNumberFormat="1" applyFont="1" applyBorder="1" applyAlignment="1">
      <alignment horizontal="left"/>
    </xf>
    <xf numFmtId="41" fontId="6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41" fontId="2" fillId="0" borderId="8" xfId="0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10" fontId="2" fillId="0" borderId="0" xfId="0" applyNumberFormat="1" applyFont="1" applyAlignment="1">
      <alignment horizontal="left" vertical="top"/>
    </xf>
    <xf numFmtId="167" fontId="2" fillId="0" borderId="0" xfId="0" applyNumberFormat="1" applyFont="1"/>
    <xf numFmtId="167" fontId="2" fillId="0" borderId="2" xfId="0" applyNumberFormat="1" applyFont="1" applyBorder="1"/>
    <xf numFmtId="169" fontId="2" fillId="0" borderId="0" xfId="0" applyNumberFormat="1" applyFont="1" applyAlignment="1">
      <alignment horizontal="right"/>
    </xf>
    <xf numFmtId="169" fontId="2" fillId="0" borderId="2" xfId="0" applyNumberFormat="1" applyFont="1" applyBorder="1"/>
    <xf numFmtId="169" fontId="0" fillId="0" borderId="1" xfId="0" applyNumberFormat="1" applyBorder="1"/>
    <xf numFmtId="169" fontId="0" fillId="0" borderId="3" xfId="0" applyNumberFormat="1" applyBorder="1"/>
    <xf numFmtId="167" fontId="0" fillId="0" borderId="7" xfId="0" applyNumberFormat="1" applyBorder="1"/>
    <xf numFmtId="167" fontId="1" fillId="0" borderId="8" xfId="0" applyNumberFormat="1" applyFont="1" applyBorder="1"/>
    <xf numFmtId="167" fontId="1" fillId="0" borderId="4" xfId="0" applyNumberFormat="1" applyFont="1" applyBorder="1"/>
    <xf numFmtId="167" fontId="1" fillId="0" borderId="5" xfId="0" applyNumberFormat="1" applyFont="1" applyBorder="1" applyAlignment="1">
      <alignment horizontal="center"/>
    </xf>
    <xf numFmtId="167" fontId="1" fillId="0" borderId="5" xfId="0" applyNumberFormat="1" applyFont="1" applyBorder="1"/>
    <xf numFmtId="167" fontId="1" fillId="0" borderId="6" xfId="0" applyNumberFormat="1" applyFont="1" applyBorder="1"/>
    <xf numFmtId="168" fontId="0" fillId="0" borderId="0" xfId="1" applyNumberFormat="1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168" fontId="0" fillId="0" borderId="2" xfId="1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8" xfId="0" applyFont="1" applyBorder="1"/>
    <xf numFmtId="0" fontId="1" fillId="0" borderId="15" xfId="0" applyFont="1" applyBorder="1"/>
    <xf numFmtId="0" fontId="0" fillId="0" borderId="0" xfId="0" applyAlignment="1">
      <alignment horizontal="center"/>
    </xf>
    <xf numFmtId="44" fontId="0" fillId="0" borderId="1" xfId="2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Vail" id="{87F0A53F-50F8-4667-BAB1-82BB69DF5563}" userId="a50deb7ebd88e07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5" dT="2025-07-21T15:47:53.46" personId="{87F0A53F-50F8-4667-BAB1-82BB69DF5563}" id="{F3FC5702-5474-456A-AB3A-3A74323F3751}">
    <text>Revenue-Weighted Average AUV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5" dT="2025-07-21T17:49:13.54" personId="{87F0A53F-50F8-4667-BAB1-82BB69DF5563}" id="{7B35888D-1BFE-4470-BB2D-0E09353BFC2A}">
    <text xml:space="preserve">CapEx entered as negative, FCF = CFO + CapEx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7" dT="2025-07-21T20:26:40.17" personId="{87F0A53F-50F8-4667-BAB1-82BB69DF5563}" id="{7AAE2407-9378-4BE3-9F4F-0EA99F142255}">
    <text>EBIT x (1-T)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CB81-369D-417A-8654-55721CB77B01}">
  <dimension ref="B2:K35"/>
  <sheetViews>
    <sheetView showGridLines="0" tabSelected="1" workbookViewId="0">
      <selection activeCell="E17" sqref="E17"/>
    </sheetView>
  </sheetViews>
  <sheetFormatPr defaultRowHeight="14.5" x14ac:dyDescent="0.35"/>
  <cols>
    <col min="2" max="2" width="25.6328125" bestFit="1" customWidth="1"/>
    <col min="3" max="3" width="24.26953125" bestFit="1" customWidth="1"/>
    <col min="4" max="4" width="36.453125" bestFit="1" customWidth="1"/>
    <col min="5" max="6" width="11.81640625" bestFit="1" customWidth="1"/>
    <col min="11" max="11" width="11.90625" bestFit="1" customWidth="1"/>
  </cols>
  <sheetData>
    <row r="2" spans="2:8" x14ac:dyDescent="0.35">
      <c r="B2" s="108" t="s">
        <v>422</v>
      </c>
    </row>
    <row r="4" spans="2:8" ht="58" customHeight="1" x14ac:dyDescent="0.35">
      <c r="B4" s="220" t="s">
        <v>421</v>
      </c>
      <c r="C4" s="220"/>
      <c r="D4" s="220"/>
      <c r="E4" s="124"/>
      <c r="F4" s="124"/>
      <c r="G4" s="124"/>
      <c r="H4" s="124"/>
    </row>
    <row r="6" spans="2:8" x14ac:dyDescent="0.35">
      <c r="B6" s="108" t="s">
        <v>420</v>
      </c>
    </row>
    <row r="7" spans="2:8" ht="57.5" customHeight="1" x14ac:dyDescent="0.35">
      <c r="B7" s="221" t="s">
        <v>424</v>
      </c>
      <c r="C7" s="221"/>
      <c r="D7" s="221"/>
    </row>
    <row r="9" spans="2:8" x14ac:dyDescent="0.35">
      <c r="B9" t="s">
        <v>423</v>
      </c>
    </row>
    <row r="10" spans="2:8" x14ac:dyDescent="0.35">
      <c r="B10" t="s">
        <v>413</v>
      </c>
    </row>
    <row r="12" spans="2:8" x14ac:dyDescent="0.35">
      <c r="B12" s="127" t="s">
        <v>375</v>
      </c>
      <c r="C12" s="64"/>
      <c r="D12" s="65"/>
    </row>
    <row r="13" spans="2:8" x14ac:dyDescent="0.35">
      <c r="B13" s="94"/>
      <c r="D13" s="5"/>
    </row>
    <row r="14" spans="2:8" x14ac:dyDescent="0.35">
      <c r="B14" s="134" t="s">
        <v>252</v>
      </c>
      <c r="C14" s="135" t="s">
        <v>376</v>
      </c>
      <c r="D14" s="136" t="s">
        <v>253</v>
      </c>
    </row>
    <row r="15" spans="2:8" x14ac:dyDescent="0.35">
      <c r="B15" s="129" t="s">
        <v>377</v>
      </c>
      <c r="C15" s="36" t="s">
        <v>390</v>
      </c>
      <c r="D15" s="130" t="s">
        <v>379</v>
      </c>
    </row>
    <row r="16" spans="2:8" ht="29" x14ac:dyDescent="0.35">
      <c r="B16" s="171" t="s">
        <v>378</v>
      </c>
      <c r="C16" s="195">
        <f>Drivers!C8</f>
        <v>2.5000000000000001E-3</v>
      </c>
      <c r="D16" s="86" t="s">
        <v>380</v>
      </c>
    </row>
    <row r="17" spans="2:11" x14ac:dyDescent="0.35">
      <c r="B17" s="129" t="s">
        <v>381</v>
      </c>
      <c r="C17" s="131" t="s">
        <v>382</v>
      </c>
      <c r="D17" s="130" t="s">
        <v>432</v>
      </c>
    </row>
    <row r="18" spans="2:11" x14ac:dyDescent="0.35">
      <c r="B18" s="129" t="s">
        <v>383</v>
      </c>
      <c r="C18" s="38" t="s">
        <v>384</v>
      </c>
      <c r="D18" s="130" t="s">
        <v>385</v>
      </c>
    </row>
    <row r="19" spans="2:11" x14ac:dyDescent="0.35">
      <c r="B19" s="129" t="s">
        <v>386</v>
      </c>
      <c r="C19" s="38" t="s">
        <v>387</v>
      </c>
      <c r="D19" s="130" t="s">
        <v>388</v>
      </c>
    </row>
    <row r="20" spans="2:11" x14ac:dyDescent="0.35">
      <c r="B20" s="129" t="s">
        <v>324</v>
      </c>
      <c r="C20" s="38">
        <f>DCF!J7</f>
        <v>15.8</v>
      </c>
      <c r="D20" s="130" t="s">
        <v>389</v>
      </c>
    </row>
    <row r="21" spans="2:11" x14ac:dyDescent="0.35">
      <c r="B21" s="132" t="s">
        <v>391</v>
      </c>
      <c r="C21" s="133">
        <f>DCF!J11</f>
        <v>2.5</v>
      </c>
      <c r="D21" s="21" t="str">
        <f>DCF!L12</f>
        <v>Matches long-term US Nominal GDP Growth</v>
      </c>
    </row>
    <row r="23" spans="2:11" x14ac:dyDescent="0.35">
      <c r="B23" s="138" t="s">
        <v>392</v>
      </c>
      <c r="C23" s="139"/>
      <c r="D23" s="64"/>
      <c r="E23" s="147"/>
      <c r="F23" s="147"/>
      <c r="G23" s="147"/>
      <c r="H23" s="147"/>
      <c r="I23" s="147"/>
      <c r="J23" s="147"/>
      <c r="K23" s="148"/>
    </row>
    <row r="24" spans="2:11" x14ac:dyDescent="0.35">
      <c r="B24" s="140"/>
      <c r="C24" s="55"/>
      <c r="E24" s="36"/>
      <c r="F24" s="36"/>
      <c r="G24" s="36"/>
      <c r="H24" s="36"/>
      <c r="I24" s="36"/>
      <c r="J24" s="36"/>
      <c r="K24" s="130"/>
    </row>
    <row r="25" spans="2:11" x14ac:dyDescent="0.35">
      <c r="B25" s="141" t="s">
        <v>411</v>
      </c>
      <c r="C25" s="163" t="s">
        <v>410</v>
      </c>
      <c r="D25" s="20"/>
      <c r="E25" s="151" t="s">
        <v>358</v>
      </c>
      <c r="F25" s="151" t="s">
        <v>398</v>
      </c>
      <c r="G25" s="151" t="s">
        <v>324</v>
      </c>
      <c r="H25" s="152" t="s">
        <v>341</v>
      </c>
      <c r="I25" s="151" t="s">
        <v>363</v>
      </c>
      <c r="J25" s="152" t="s">
        <v>399</v>
      </c>
      <c r="K25" s="153" t="s">
        <v>400</v>
      </c>
    </row>
    <row r="26" spans="2:11" x14ac:dyDescent="0.35">
      <c r="B26" s="142" t="s">
        <v>316</v>
      </c>
      <c r="C26" s="146">
        <f>DCF!C16</f>
        <v>1066956.5425986422</v>
      </c>
      <c r="E26" s="154" t="s">
        <v>364</v>
      </c>
      <c r="F26" s="154" t="s">
        <v>401</v>
      </c>
      <c r="G26" s="161">
        <v>0.17</v>
      </c>
      <c r="H26" s="208">
        <v>1.4999999999999999E-2</v>
      </c>
      <c r="I26" s="155" t="s">
        <v>403</v>
      </c>
      <c r="J26" s="155" t="s">
        <v>403</v>
      </c>
      <c r="K26" s="149">
        <f>DCF!C30</f>
        <v>8.9650814861501011</v>
      </c>
    </row>
    <row r="27" spans="2:11" x14ac:dyDescent="0.35">
      <c r="B27" s="142" t="s">
        <v>393</v>
      </c>
      <c r="C27" s="146">
        <f>DCF!C17</f>
        <v>186596</v>
      </c>
      <c r="E27" s="156" t="s">
        <v>365</v>
      </c>
      <c r="F27" s="156" t="s">
        <v>401</v>
      </c>
      <c r="G27" s="162">
        <v>0.158</v>
      </c>
      <c r="H27" s="162">
        <v>2.5000000000000001E-2</v>
      </c>
      <c r="I27" s="157" t="s">
        <v>403</v>
      </c>
      <c r="J27" s="157" t="s">
        <v>403</v>
      </c>
      <c r="K27" s="150">
        <f>DCF!C20</f>
        <v>10.474991206248124</v>
      </c>
    </row>
    <row r="28" spans="2:11" x14ac:dyDescent="0.35">
      <c r="B28" s="142" t="s">
        <v>317</v>
      </c>
      <c r="C28" s="146">
        <f>DCF!C18</f>
        <v>1253552.5425986422</v>
      </c>
      <c r="E28" s="154" t="s">
        <v>366</v>
      </c>
      <c r="F28" s="154" t="s">
        <v>401</v>
      </c>
      <c r="G28" s="161">
        <v>0.13</v>
      </c>
      <c r="H28" s="161">
        <v>0.03</v>
      </c>
      <c r="I28" s="155" t="s">
        <v>403</v>
      </c>
      <c r="J28" s="155" t="s">
        <v>403</v>
      </c>
      <c r="K28" s="149">
        <f>DCF!F27</f>
        <v>14.349690934444725</v>
      </c>
    </row>
    <row r="29" spans="2:11" x14ac:dyDescent="0.35">
      <c r="B29" s="142" t="s">
        <v>318</v>
      </c>
      <c r="C29" s="146">
        <f>DCF!C19</f>
        <v>119670987.58526145</v>
      </c>
      <c r="E29" s="154" t="s">
        <v>364</v>
      </c>
      <c r="F29" s="154" t="s">
        <v>402</v>
      </c>
      <c r="G29" s="155" t="s">
        <v>403</v>
      </c>
      <c r="H29" s="155" t="s">
        <v>403</v>
      </c>
      <c r="I29" s="155">
        <f>'Valuation_&amp;_EPS_Sensitivity'!G3</f>
        <v>0.64</v>
      </c>
      <c r="J29" s="155" t="s">
        <v>404</v>
      </c>
      <c r="K29" s="149">
        <f>'Valuation_&amp;_EPS_Sensitivity'!I3</f>
        <v>16</v>
      </c>
    </row>
    <row r="30" spans="2:11" x14ac:dyDescent="0.35">
      <c r="B30" s="143" t="s">
        <v>319</v>
      </c>
      <c r="C30" s="144">
        <f>DCF!C20</f>
        <v>10.474991206248124</v>
      </c>
      <c r="E30" s="156" t="s">
        <v>365</v>
      </c>
      <c r="F30" s="156" t="s">
        <v>402</v>
      </c>
      <c r="G30" s="157" t="s">
        <v>403</v>
      </c>
      <c r="H30" s="157" t="s">
        <v>403</v>
      </c>
      <c r="I30" s="157">
        <f>'Valuation_&amp;_EPS_Sensitivity'!G4</f>
        <v>0.98</v>
      </c>
      <c r="J30" s="157" t="s">
        <v>405</v>
      </c>
      <c r="K30" s="150">
        <f>'Valuation_&amp;_EPS_Sensitivity'!J4</f>
        <v>34.299999999999997</v>
      </c>
    </row>
    <row r="31" spans="2:11" x14ac:dyDescent="0.35">
      <c r="B31" s="145" t="s">
        <v>412</v>
      </c>
      <c r="C31" s="61">
        <v>14</v>
      </c>
      <c r="D31" s="20"/>
      <c r="E31" s="158" t="s">
        <v>366</v>
      </c>
      <c r="F31" s="158" t="s">
        <v>402</v>
      </c>
      <c r="G31" s="159" t="s">
        <v>403</v>
      </c>
      <c r="H31" s="159" t="s">
        <v>403</v>
      </c>
      <c r="I31" s="159">
        <f>'Valuation_&amp;_EPS_Sensitivity'!G5</f>
        <v>1.1499999999999999</v>
      </c>
      <c r="J31" s="159" t="s">
        <v>406</v>
      </c>
      <c r="K31" s="160">
        <f>'Valuation_&amp;_EPS_Sensitivity'!K5</f>
        <v>51.749999999999993</v>
      </c>
    </row>
    <row r="32" spans="2:11" x14ac:dyDescent="0.35">
      <c r="B32" s="108"/>
    </row>
    <row r="33" spans="2:6" x14ac:dyDescent="0.35">
      <c r="B33" s="45"/>
      <c r="C33" s="125"/>
      <c r="D33" s="126"/>
      <c r="E33" s="125"/>
      <c r="F33" s="126"/>
    </row>
    <row r="34" spans="2:6" x14ac:dyDescent="0.35">
      <c r="B34" s="125"/>
    </row>
    <row r="35" spans="2:6" x14ac:dyDescent="0.35">
      <c r="B35" s="125"/>
    </row>
  </sheetData>
  <mergeCells count="2">
    <mergeCell ref="B4:D4"/>
    <mergeCell ref="B7:D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5006-D43E-4528-BA7A-02B891B475A8}">
  <dimension ref="B2:D32"/>
  <sheetViews>
    <sheetView showGridLines="0" topLeftCell="A11" zoomScale="90" zoomScaleNormal="90" workbookViewId="0">
      <selection activeCell="E9" sqref="E9"/>
    </sheetView>
  </sheetViews>
  <sheetFormatPr defaultRowHeight="14.5" x14ac:dyDescent="0.35"/>
  <cols>
    <col min="1" max="1" width="8.7265625" style="41"/>
    <col min="2" max="2" width="28.26953125" style="41" bestFit="1" customWidth="1"/>
    <col min="3" max="3" width="9.90625" style="41" bestFit="1" customWidth="1"/>
    <col min="4" max="4" width="63.90625" style="41" bestFit="1" customWidth="1"/>
    <col min="5" max="16384" width="8.7265625" style="41"/>
  </cols>
  <sheetData>
    <row r="2" spans="2:4" x14ac:dyDescent="0.35">
      <c r="B2" s="170" t="s">
        <v>252</v>
      </c>
      <c r="C2" s="164" t="s">
        <v>263</v>
      </c>
      <c r="D2" s="52" t="s">
        <v>253</v>
      </c>
    </row>
    <row r="3" spans="2:4" x14ac:dyDescent="0.35">
      <c r="B3" s="171" t="s">
        <v>288</v>
      </c>
      <c r="C3" s="165">
        <v>12</v>
      </c>
      <c r="D3" s="85" t="s">
        <v>254</v>
      </c>
    </row>
    <row r="4" spans="2:4" x14ac:dyDescent="0.35">
      <c r="B4" s="171" t="s">
        <v>287</v>
      </c>
      <c r="C4" s="165">
        <f>45</f>
        <v>45</v>
      </c>
      <c r="D4" s="85" t="s">
        <v>289</v>
      </c>
    </row>
    <row r="5" spans="2:4" x14ac:dyDescent="0.35">
      <c r="B5" s="171" t="s">
        <v>260</v>
      </c>
      <c r="C5" s="166">
        <v>50</v>
      </c>
      <c r="D5" s="85" t="s">
        <v>262</v>
      </c>
    </row>
    <row r="6" spans="2:4" x14ac:dyDescent="0.35">
      <c r="B6" s="171" t="s">
        <v>259</v>
      </c>
      <c r="C6" s="166">
        <v>60</v>
      </c>
      <c r="D6" s="85" t="s">
        <v>256</v>
      </c>
    </row>
    <row r="7" spans="2:4" x14ac:dyDescent="0.35">
      <c r="B7" s="171" t="s">
        <v>257</v>
      </c>
      <c r="C7" s="166">
        <f>Historical_Financials!M49</f>
        <v>2907</v>
      </c>
      <c r="D7" s="85" t="s">
        <v>255</v>
      </c>
    </row>
    <row r="8" spans="2:4" x14ac:dyDescent="0.35">
      <c r="B8" s="171" t="s">
        <v>258</v>
      </c>
      <c r="C8" s="165">
        <v>2.5000000000000001E-3</v>
      </c>
      <c r="D8" s="87" t="s">
        <v>308</v>
      </c>
    </row>
    <row r="9" spans="2:4" x14ac:dyDescent="0.35">
      <c r="B9" s="171" t="s">
        <v>290</v>
      </c>
      <c r="C9" s="165">
        <v>1.2</v>
      </c>
      <c r="D9" s="85" t="s">
        <v>431</v>
      </c>
    </row>
    <row r="10" spans="2:4" x14ac:dyDescent="0.35">
      <c r="B10" s="171" t="s">
        <v>266</v>
      </c>
      <c r="C10" s="165">
        <v>19.3</v>
      </c>
      <c r="D10" s="85" t="s">
        <v>268</v>
      </c>
    </row>
    <row r="11" spans="2:4" x14ac:dyDescent="0.35">
      <c r="B11" s="171" t="s">
        <v>267</v>
      </c>
      <c r="C11" s="165">
        <v>20.7</v>
      </c>
      <c r="D11" s="85"/>
    </row>
    <row r="12" spans="2:4" x14ac:dyDescent="0.35">
      <c r="B12" s="171" t="s">
        <v>265</v>
      </c>
      <c r="C12" s="165">
        <v>22</v>
      </c>
      <c r="D12" s="85" t="s">
        <v>261</v>
      </c>
    </row>
    <row r="13" spans="2:4" x14ac:dyDescent="0.35">
      <c r="B13" s="171" t="s">
        <v>271</v>
      </c>
      <c r="C13" s="165">
        <v>60.4</v>
      </c>
      <c r="D13" s="85"/>
    </row>
    <row r="14" spans="2:4" x14ac:dyDescent="0.35">
      <c r="B14" s="171" t="s">
        <v>272</v>
      </c>
      <c r="C14" s="165">
        <v>60.9</v>
      </c>
      <c r="D14" s="85" t="s">
        <v>268</v>
      </c>
    </row>
    <row r="15" spans="2:4" x14ac:dyDescent="0.35">
      <c r="B15" s="171" t="s">
        <v>269</v>
      </c>
      <c r="C15" s="165">
        <v>61.5</v>
      </c>
      <c r="D15" s="85" t="s">
        <v>270</v>
      </c>
    </row>
    <row r="16" spans="2:4" ht="29" x14ac:dyDescent="0.35">
      <c r="B16" s="171" t="s">
        <v>286</v>
      </c>
      <c r="C16" s="165">
        <v>1.5</v>
      </c>
      <c r="D16" s="87" t="s">
        <v>309</v>
      </c>
    </row>
    <row r="17" spans="2:4" x14ac:dyDescent="0.35">
      <c r="B17" s="171" t="s">
        <v>346</v>
      </c>
      <c r="C17" s="167">
        <v>0.21</v>
      </c>
      <c r="D17" s="85" t="s">
        <v>342</v>
      </c>
    </row>
    <row r="18" spans="2:4" x14ac:dyDescent="0.35">
      <c r="B18" s="171" t="s">
        <v>273</v>
      </c>
      <c r="C18" s="165">
        <v>0.1</v>
      </c>
      <c r="D18" s="85" t="s">
        <v>274</v>
      </c>
    </row>
    <row r="19" spans="2:4" x14ac:dyDescent="0.35">
      <c r="B19" s="171" t="s">
        <v>351</v>
      </c>
      <c r="C19" s="165">
        <v>-800</v>
      </c>
      <c r="D19" s="85" t="s">
        <v>425</v>
      </c>
    </row>
    <row r="20" spans="2:4" x14ac:dyDescent="0.35">
      <c r="B20" s="171" t="s">
        <v>247</v>
      </c>
      <c r="C20" s="165">
        <v>0</v>
      </c>
      <c r="D20" s="85" t="s">
        <v>277</v>
      </c>
    </row>
    <row r="21" spans="2:4" x14ac:dyDescent="0.35">
      <c r="B21" s="171" t="s">
        <v>275</v>
      </c>
      <c r="C21" s="165">
        <v>-6.5000000000000002E-2</v>
      </c>
      <c r="D21" s="85" t="s">
        <v>276</v>
      </c>
    </row>
    <row r="22" spans="2:4" x14ac:dyDescent="0.35">
      <c r="B22" s="172" t="s">
        <v>280</v>
      </c>
      <c r="C22" s="168">
        <v>5.0000000000000001E-3</v>
      </c>
      <c r="D22" s="86" t="s">
        <v>281</v>
      </c>
    </row>
    <row r="23" spans="2:4" x14ac:dyDescent="0.35">
      <c r="B23" s="172" t="s">
        <v>344</v>
      </c>
      <c r="C23" s="168">
        <v>0.25</v>
      </c>
      <c r="D23" s="86" t="s">
        <v>291</v>
      </c>
    </row>
    <row r="24" spans="2:4" x14ac:dyDescent="0.35">
      <c r="B24" s="172" t="s">
        <v>343</v>
      </c>
      <c r="C24" s="168">
        <v>0</v>
      </c>
      <c r="D24" s="88" t="s">
        <v>321</v>
      </c>
    </row>
    <row r="25" spans="2:4" x14ac:dyDescent="0.35">
      <c r="B25" s="172" t="s">
        <v>347</v>
      </c>
      <c r="C25" s="168">
        <v>0.19</v>
      </c>
      <c r="D25" s="88" t="s">
        <v>348</v>
      </c>
    </row>
    <row r="26" spans="2:4" x14ac:dyDescent="0.35">
      <c r="B26" s="172" t="s">
        <v>349</v>
      </c>
      <c r="C26" s="168">
        <v>0.17</v>
      </c>
      <c r="D26" s="88" t="s">
        <v>348</v>
      </c>
    </row>
    <row r="27" spans="2:4" x14ac:dyDescent="0.35">
      <c r="B27" s="172" t="s">
        <v>350</v>
      </c>
      <c r="C27" s="168">
        <v>0.15</v>
      </c>
      <c r="D27" s="88" t="s">
        <v>348</v>
      </c>
    </row>
    <row r="28" spans="2:4" x14ac:dyDescent="0.35">
      <c r="B28" s="172" t="s">
        <v>352</v>
      </c>
      <c r="C28" s="168">
        <v>-700</v>
      </c>
      <c r="D28" s="88" t="s">
        <v>353</v>
      </c>
    </row>
    <row r="29" spans="2:4" x14ac:dyDescent="0.35">
      <c r="B29" s="172" t="s">
        <v>354</v>
      </c>
      <c r="C29" s="168">
        <v>-550</v>
      </c>
      <c r="D29" s="88" t="str">
        <f>D28</f>
        <v>Tapering CapEx towards terminal year as Infinite Kitchen decrease CapEx req.</v>
      </c>
    </row>
    <row r="30" spans="2:4" x14ac:dyDescent="0.35">
      <c r="B30" s="172" t="s">
        <v>356</v>
      </c>
      <c r="C30" s="168">
        <v>-450</v>
      </c>
      <c r="D30" s="88" t="str">
        <f>D29</f>
        <v>Tapering CapEx towards terminal year as Infinite Kitchen decrease CapEx req.</v>
      </c>
    </row>
    <row r="31" spans="2:4" x14ac:dyDescent="0.35">
      <c r="B31" s="173" t="s">
        <v>367</v>
      </c>
      <c r="C31" s="169">
        <v>0.13</v>
      </c>
      <c r="D31" s="89" t="s">
        <v>348</v>
      </c>
    </row>
    <row r="32" spans="2:4" x14ac:dyDescent="0.35">
      <c r="B32" s="1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23C6-3DC9-453E-8921-E5AFAA0FFBEF}">
  <dimension ref="B2:L35"/>
  <sheetViews>
    <sheetView showGridLines="0" topLeftCell="A12" zoomScale="90" zoomScaleNormal="90" workbookViewId="0">
      <selection activeCell="G37" sqref="G37"/>
    </sheetView>
  </sheetViews>
  <sheetFormatPr defaultRowHeight="14.5" x14ac:dyDescent="0.35"/>
  <cols>
    <col min="2" max="2" width="25.1796875" bestFit="1" customWidth="1"/>
    <col min="3" max="3" width="15.453125" bestFit="1" customWidth="1"/>
    <col min="4" max="6" width="10.1796875" bestFit="1" customWidth="1"/>
    <col min="7" max="7" width="13.81640625" bestFit="1" customWidth="1"/>
    <col min="8" max="8" width="10.1796875" bestFit="1" customWidth="1"/>
    <col min="9" max="9" width="13.81640625" bestFit="1" customWidth="1"/>
    <col min="10" max="12" width="14.81640625" bestFit="1" customWidth="1"/>
  </cols>
  <sheetData>
    <row r="2" spans="2:12" x14ac:dyDescent="0.35">
      <c r="B2" s="37" t="s">
        <v>233</v>
      </c>
      <c r="C2" s="37"/>
      <c r="D2" s="30"/>
      <c r="E2" s="30"/>
      <c r="F2" s="30"/>
      <c r="G2" s="30"/>
      <c r="H2" s="30"/>
      <c r="I2" s="30"/>
    </row>
    <row r="3" spans="2:12" x14ac:dyDescent="0.35">
      <c r="B3" s="40" t="s">
        <v>237</v>
      </c>
      <c r="C3" s="40"/>
      <c r="D3" s="36"/>
      <c r="E3" s="2"/>
      <c r="F3" s="2"/>
      <c r="G3" s="2"/>
      <c r="H3" s="2"/>
      <c r="I3" s="2"/>
    </row>
    <row r="4" spans="2:12" x14ac:dyDescent="0.35">
      <c r="B4" s="40" t="s">
        <v>236</v>
      </c>
      <c r="C4" s="40"/>
      <c r="D4" s="36"/>
      <c r="E4" s="2"/>
      <c r="F4" s="2"/>
      <c r="G4" s="2"/>
      <c r="H4" s="2"/>
      <c r="I4" s="2"/>
    </row>
    <row r="5" spans="2:12" x14ac:dyDescent="0.35">
      <c r="B5" s="40" t="s">
        <v>235</v>
      </c>
      <c r="C5" s="40"/>
      <c r="D5" s="2"/>
      <c r="E5" s="2"/>
      <c r="F5" s="2"/>
      <c r="G5" s="2"/>
      <c r="H5" s="2"/>
      <c r="I5" s="2"/>
    </row>
    <row r="6" spans="2:12" x14ac:dyDescent="0.35">
      <c r="B6" s="40" t="s">
        <v>234</v>
      </c>
      <c r="C6" s="40"/>
      <c r="D6" s="2"/>
      <c r="E6" s="2"/>
      <c r="F6" s="2"/>
      <c r="G6" s="2"/>
      <c r="H6" s="2"/>
      <c r="I6" s="2"/>
    </row>
    <row r="7" spans="2:12" x14ac:dyDescent="0.35">
      <c r="B7" s="40" t="s">
        <v>239</v>
      </c>
      <c r="C7" s="40"/>
      <c r="D7" s="2"/>
      <c r="E7" s="2"/>
      <c r="F7" s="2"/>
      <c r="G7" s="2"/>
      <c r="H7" s="2"/>
      <c r="I7" s="2"/>
    </row>
    <row r="8" spans="2:12" x14ac:dyDescent="0.35">
      <c r="B8" s="38" t="s">
        <v>414</v>
      </c>
      <c r="C8" s="38"/>
      <c r="D8" s="2"/>
      <c r="E8" s="2"/>
      <c r="F8" s="2"/>
      <c r="G8" s="2"/>
      <c r="H8" s="2"/>
      <c r="I8" s="2"/>
    </row>
    <row r="9" spans="2:12" x14ac:dyDescent="0.35">
      <c r="B9" s="39"/>
      <c r="C9" s="39"/>
      <c r="D9" s="2"/>
      <c r="E9" s="2"/>
      <c r="F9" s="2"/>
      <c r="G9" s="2"/>
      <c r="H9" s="2"/>
      <c r="I9" s="2"/>
    </row>
    <row r="10" spans="2:12" x14ac:dyDescent="0.35">
      <c r="B10" s="38" t="s">
        <v>238</v>
      </c>
      <c r="C10" s="38"/>
      <c r="D10" s="2"/>
      <c r="E10" s="2"/>
      <c r="F10" s="2"/>
      <c r="G10" s="2"/>
      <c r="H10" s="2"/>
      <c r="I10" s="2"/>
    </row>
    <row r="11" spans="2:12" x14ac:dyDescent="0.35">
      <c r="B11" s="2"/>
      <c r="C11" s="2"/>
      <c r="D11" s="2"/>
      <c r="E11" s="2"/>
      <c r="F11" s="2"/>
      <c r="G11" s="2"/>
      <c r="H11" s="2"/>
      <c r="I11" s="2"/>
    </row>
    <row r="13" spans="2:12" x14ac:dyDescent="0.35">
      <c r="B13" s="42" t="s">
        <v>45</v>
      </c>
      <c r="C13" s="43" t="s">
        <v>250</v>
      </c>
      <c r="D13" s="43" t="s">
        <v>226</v>
      </c>
      <c r="E13" s="43" t="s">
        <v>227</v>
      </c>
      <c r="F13" s="43" t="s">
        <v>228</v>
      </c>
      <c r="G13" s="43" t="s">
        <v>278</v>
      </c>
      <c r="H13" s="43" t="s">
        <v>229</v>
      </c>
      <c r="I13" s="43" t="s">
        <v>230</v>
      </c>
      <c r="J13" s="43" t="s">
        <v>284</v>
      </c>
      <c r="K13" s="43" t="s">
        <v>285</v>
      </c>
      <c r="L13" s="100" t="s">
        <v>355</v>
      </c>
    </row>
    <row r="14" spans="2:12" x14ac:dyDescent="0.35">
      <c r="B14" s="174" t="s">
        <v>231</v>
      </c>
      <c r="C14" s="44">
        <f>Historical_Financials!M46</f>
        <v>251</v>
      </c>
      <c r="D14" s="45">
        <f>C14+Drivers!C3</f>
        <v>263</v>
      </c>
      <c r="E14" s="45">
        <f>D14+Drivers!C3</f>
        <v>275</v>
      </c>
      <c r="F14" s="45">
        <f>E14+Drivers!C3</f>
        <v>287</v>
      </c>
      <c r="G14" s="45">
        <f>F14</f>
        <v>287</v>
      </c>
      <c r="H14" s="45">
        <f>F14+(Drivers!C4/4)</f>
        <v>298.25</v>
      </c>
      <c r="I14" s="45">
        <f>G14+Drivers!C4</f>
        <v>332</v>
      </c>
      <c r="J14" s="48">
        <f>I14+Drivers!C4</f>
        <v>377</v>
      </c>
      <c r="K14" s="48">
        <f>J14+Drivers!C4</f>
        <v>422</v>
      </c>
      <c r="L14" s="49">
        <f>K14+Drivers!C4</f>
        <v>467</v>
      </c>
    </row>
    <row r="15" spans="2:12" x14ac:dyDescent="0.35">
      <c r="B15" s="174" t="s">
        <v>26</v>
      </c>
      <c r="C15" s="44">
        <f>Historical_Financials!M49</f>
        <v>2907</v>
      </c>
      <c r="D15" s="45">
        <f>C15*(1+Drivers!C8)</f>
        <v>2914.2674999999999</v>
      </c>
      <c r="E15" s="45">
        <f>D15*(1+Drivers!C8)</f>
        <v>2921.5531687499997</v>
      </c>
      <c r="F15" s="45">
        <f>E15*(1+Drivers!C8)</f>
        <v>2928.8570516718746</v>
      </c>
      <c r="G15" s="45">
        <f>((C15*C17)+(D15*D17)+(E15*E17)+(F15*F17))/SUM(C17:F17)</f>
        <v>2918.5342159405755</v>
      </c>
      <c r="H15" s="45">
        <f>F15*(1+Drivers!C8)</f>
        <v>2936.1791943010539</v>
      </c>
      <c r="I15" s="45">
        <f>G15*(1+(Drivers!C8*4))</f>
        <v>2947.7195580999814</v>
      </c>
      <c r="J15" s="55">
        <f>I15*(1+(Drivers!C8*4))</f>
        <v>2977.1967536809811</v>
      </c>
      <c r="K15" s="55">
        <f>J15*(1+(Drivers!C8*4))</f>
        <v>3006.968721217791</v>
      </c>
      <c r="L15" s="56">
        <f>K15*(1+(Drivers!C8*4))</f>
        <v>3037.038408429969</v>
      </c>
    </row>
    <row r="16" spans="2:12" x14ac:dyDescent="0.35">
      <c r="B16" s="174" t="s">
        <v>264</v>
      </c>
      <c r="C16" s="44">
        <f>(C14+Historical_Financials!L46)/2</f>
        <v>248.5</v>
      </c>
      <c r="D16" s="45">
        <f>(D14+C14)/2</f>
        <v>257</v>
      </c>
      <c r="E16" s="45">
        <f>(E14+D14)/2</f>
        <v>269</v>
      </c>
      <c r="F16" s="45">
        <f>(F14+E14)/2</f>
        <v>281</v>
      </c>
      <c r="G16" s="45">
        <f>F16</f>
        <v>281</v>
      </c>
      <c r="H16" s="45">
        <f>(H14+F14)/2</f>
        <v>292.625</v>
      </c>
      <c r="I16" s="45">
        <f>(I14+G14)/2</f>
        <v>309.5</v>
      </c>
      <c r="J16" s="45">
        <f>(J14+I14)/2</f>
        <v>354.5</v>
      </c>
      <c r="K16" s="45">
        <f>(K14+J14)/2</f>
        <v>399.5</v>
      </c>
      <c r="L16" s="77">
        <f>(L14+K14)/2</f>
        <v>444.5</v>
      </c>
    </row>
    <row r="17" spans="2:12" x14ac:dyDescent="0.35">
      <c r="B17" s="174" t="s">
        <v>2</v>
      </c>
      <c r="C17" s="44">
        <f>Historical_Financials!M3</f>
        <v>166304</v>
      </c>
      <c r="D17" s="45">
        <f>(D16*(D15/4))</f>
        <v>187241.68687499998</v>
      </c>
      <c r="E17" s="45">
        <f t="shared" ref="E17:F17" si="0">(E16*(E15/4))</f>
        <v>196474.45059843748</v>
      </c>
      <c r="F17" s="45">
        <f t="shared" si="0"/>
        <v>205752.20787994919</v>
      </c>
      <c r="G17" s="45">
        <f>SUM(C17:F17)</f>
        <v>755772.3453533866</v>
      </c>
      <c r="H17" s="45">
        <f>H16*(H15/4)</f>
        <v>214799.85918308649</v>
      </c>
      <c r="I17" s="45">
        <f>I15*I16</f>
        <v>912319.20323194424</v>
      </c>
      <c r="J17" s="45">
        <f t="shared" ref="J17:L17" si="1">J15*J16</f>
        <v>1055416.2491799078</v>
      </c>
      <c r="K17" s="45">
        <f t="shared" si="1"/>
        <v>1201284.0041265076</v>
      </c>
      <c r="L17" s="77">
        <f t="shared" si="1"/>
        <v>1349963.5725471212</v>
      </c>
    </row>
    <row r="18" spans="2:12" x14ac:dyDescent="0.35">
      <c r="B18" s="174" t="s">
        <v>28</v>
      </c>
      <c r="C18" s="44">
        <f>Historical_Financials!M52</f>
        <v>17.899999999999999</v>
      </c>
      <c r="D18" s="46">
        <f>Drivers!C10</f>
        <v>19.3</v>
      </c>
      <c r="E18" s="46">
        <f>Drivers!C11</f>
        <v>20.7</v>
      </c>
      <c r="F18" s="46">
        <f>Drivers!C12</f>
        <v>22</v>
      </c>
      <c r="G18" s="46">
        <f>(G20/G17)*100</f>
        <v>20.080166138307131</v>
      </c>
      <c r="H18" s="46">
        <f>F18+Drivers!C9</f>
        <v>23.2</v>
      </c>
      <c r="I18" s="46">
        <f>G18+(Drivers!C9*4)</f>
        <v>24.880166138307132</v>
      </c>
      <c r="J18" s="57">
        <f>I18+(Drivers!C9*4)</f>
        <v>29.680166138307133</v>
      </c>
      <c r="K18" s="57">
        <f>J18+(Drivers!C9*4)</f>
        <v>34.480166138307133</v>
      </c>
      <c r="L18" s="58">
        <f>K18</f>
        <v>34.480166138307133</v>
      </c>
    </row>
    <row r="19" spans="2:12" x14ac:dyDescent="0.35">
      <c r="B19" s="174" t="s">
        <v>251</v>
      </c>
      <c r="C19" s="44">
        <f>Historical_Financials!M7</f>
        <v>136617</v>
      </c>
      <c r="D19" s="45">
        <f>D17*(1-(Drivers!C10/100))</f>
        <v>151104.04130812499</v>
      </c>
      <c r="E19" s="45">
        <f>E17*(1-(Drivers!C11/100))</f>
        <v>155804.23932456094</v>
      </c>
      <c r="F19" s="45">
        <f>F17*(1-(Drivers!C12/100))</f>
        <v>160486.72214636038</v>
      </c>
      <c r="G19" s="45">
        <f>SUM(C19:F19)</f>
        <v>604012.00277904631</v>
      </c>
      <c r="H19" s="45">
        <f>H17*(1-(H18/100))</f>
        <v>164966.29185261042</v>
      </c>
      <c r="I19" s="45">
        <f>I17*(1-(I18/100))</f>
        <v>685332.66975615663</v>
      </c>
      <c r="J19" s="45">
        <f t="shared" ref="J19:L19" si="2">J17*(1-(J18/100))</f>
        <v>742166.95297262166</v>
      </c>
      <c r="K19" s="45">
        <f t="shared" si="2"/>
        <v>787079.28371077939</v>
      </c>
      <c r="L19" s="77">
        <f t="shared" si="2"/>
        <v>884493.88992624742</v>
      </c>
    </row>
    <row r="20" spans="2:12" x14ac:dyDescent="0.35">
      <c r="B20" s="174" t="s">
        <v>7</v>
      </c>
      <c r="C20" s="45">
        <f>Historical_Financials!M8</f>
        <v>29687</v>
      </c>
      <c r="D20" s="45">
        <f>D17*(D18/100)</f>
        <v>36137.645566874999</v>
      </c>
      <c r="E20" s="45">
        <f>E17*(E18/100)</f>
        <v>40670.211273876557</v>
      </c>
      <c r="F20" s="45">
        <f>F17*(F18/100)</f>
        <v>45265.485733588823</v>
      </c>
      <c r="G20" s="45">
        <f>SUM(C20:F20)</f>
        <v>151760.34257434038</v>
      </c>
      <c r="H20" s="45">
        <f>H17*(H18/100)</f>
        <v>49833.567330476064</v>
      </c>
      <c r="I20" s="45">
        <f t="shared" ref="I20:L20" si="3">I17*(I18/100)</f>
        <v>226986.53347578764</v>
      </c>
      <c r="J20" s="45">
        <f t="shared" si="3"/>
        <v>313249.29620728624</v>
      </c>
      <c r="K20" s="45">
        <f t="shared" si="3"/>
        <v>414204.72041572811</v>
      </c>
      <c r="L20" s="77">
        <f t="shared" si="3"/>
        <v>465469.68262087373</v>
      </c>
    </row>
    <row r="21" spans="2:12" x14ac:dyDescent="0.35">
      <c r="B21" s="174" t="s">
        <v>215</v>
      </c>
      <c r="C21" s="44">
        <f>Historical_Financials!M51</f>
        <v>59.9</v>
      </c>
      <c r="D21" s="45">
        <f>Drivers!C13</f>
        <v>60.4</v>
      </c>
      <c r="E21" s="45">
        <f>Drivers!C14</f>
        <v>60.9</v>
      </c>
      <c r="F21" s="45">
        <f>Drivers!C15</f>
        <v>61.5</v>
      </c>
      <c r="G21" s="45">
        <f>F21</f>
        <v>61.5</v>
      </c>
      <c r="H21" s="45">
        <f>G21+(Drivers!C16/4)</f>
        <v>61.875</v>
      </c>
      <c r="I21" s="45">
        <f>G21+Drivers!C16</f>
        <v>63</v>
      </c>
      <c r="J21" s="45">
        <f>I21+Drivers!C16</f>
        <v>64.5</v>
      </c>
      <c r="K21" s="45">
        <f>J21+Drivers!C16</f>
        <v>66</v>
      </c>
      <c r="L21" s="49">
        <f>K21+Drivers!C16</f>
        <v>67.5</v>
      </c>
    </row>
    <row r="22" spans="2:12" x14ac:dyDescent="0.35">
      <c r="B22" s="174" t="s">
        <v>8</v>
      </c>
      <c r="C22" s="44">
        <f>Historical_Financials!M9</f>
        <v>38337</v>
      </c>
      <c r="D22" s="45">
        <f>D17*Drivers!C17</f>
        <v>39320.754243749994</v>
      </c>
      <c r="E22" s="45">
        <f>E17*Drivers!C17</f>
        <v>41259.634625671868</v>
      </c>
      <c r="F22" s="45">
        <f>F17*Drivers!C17</f>
        <v>43207.963654789324</v>
      </c>
      <c r="G22" s="45">
        <f t="shared" ref="G22:G29" si="4">SUM(C22:F22)</f>
        <v>162125.35252421119</v>
      </c>
      <c r="H22" s="45">
        <f>H17*Drivers!C25</f>
        <v>40811.973244786437</v>
      </c>
      <c r="I22" s="45">
        <f>I17*Drivers!C25</f>
        <v>173340.64861406942</v>
      </c>
      <c r="J22" s="55">
        <f>J17*Drivers!C26</f>
        <v>179420.76236058434</v>
      </c>
      <c r="K22" s="55">
        <f>K17*Drivers!C27</f>
        <v>180192.60061897614</v>
      </c>
      <c r="L22" s="56">
        <f>L17*(Drivers!C31)</f>
        <v>175495.26443112578</v>
      </c>
    </row>
    <row r="23" spans="2:12" x14ac:dyDescent="0.35">
      <c r="B23" s="174" t="s">
        <v>9</v>
      </c>
      <c r="C23" s="44">
        <f>Historical_Financials!M10</f>
        <v>17106</v>
      </c>
      <c r="D23" s="45">
        <f>D17*Drivers!C18</f>
        <v>18724.168687499998</v>
      </c>
      <c r="E23" s="45">
        <f>E17*Drivers!C18</f>
        <v>19647.445059843751</v>
      </c>
      <c r="F23" s="45">
        <f>F17*Drivers!C18</f>
        <v>20575.22078799492</v>
      </c>
      <c r="G23" s="45">
        <f t="shared" si="4"/>
        <v>76052.834535338683</v>
      </c>
      <c r="H23" s="45">
        <f>H17*Drivers!C18</f>
        <v>21479.985918308652</v>
      </c>
      <c r="I23" s="45">
        <f>I17*Drivers!C18</f>
        <v>91231.920323194427</v>
      </c>
      <c r="J23" s="55">
        <f>J17*Drivers!C18</f>
        <v>105541.62491799079</v>
      </c>
      <c r="K23" s="55">
        <f>K17*Drivers!C18</f>
        <v>120128.40041265076</v>
      </c>
      <c r="L23" s="56">
        <f>L17*Drivers!C18</f>
        <v>134996.35725471211</v>
      </c>
    </row>
    <row r="24" spans="2:12" x14ac:dyDescent="0.35">
      <c r="B24" s="174" t="s">
        <v>295</v>
      </c>
      <c r="C24" s="44">
        <f>Historical_Financials!M16</f>
        <v>-28537</v>
      </c>
      <c r="D24" s="47">
        <f>D20-D22-D23</f>
        <v>-21907.277364374993</v>
      </c>
      <c r="E24" s="47">
        <f t="shared" ref="E24:F24" si="5">E20-E22-E23</f>
        <v>-20236.868411639061</v>
      </c>
      <c r="F24" s="47">
        <f t="shared" si="5"/>
        <v>-18517.698709195422</v>
      </c>
      <c r="G24" s="47">
        <f t="shared" si="4"/>
        <v>-89198.844485209484</v>
      </c>
      <c r="H24" s="45">
        <f>H20-H22-H23</f>
        <v>-12458.391832619025</v>
      </c>
      <c r="I24" s="45">
        <f t="shared" ref="I24:L24" si="6">I20-I22-I23</f>
        <v>-37586.035461476204</v>
      </c>
      <c r="J24" s="45">
        <f t="shared" si="6"/>
        <v>28286.908928711113</v>
      </c>
      <c r="K24" s="45">
        <f t="shared" si="6"/>
        <v>113883.7193841012</v>
      </c>
      <c r="L24" s="77">
        <f t="shared" si="6"/>
        <v>154978.06093503584</v>
      </c>
    </row>
    <row r="25" spans="2:12" x14ac:dyDescent="0.35">
      <c r="B25" s="174" t="s">
        <v>27</v>
      </c>
      <c r="C25" s="44">
        <f>Historical_Financials!M53</f>
        <v>285</v>
      </c>
      <c r="D25" s="45">
        <f>D24+D23</f>
        <v>-3183.1086768749956</v>
      </c>
      <c r="E25" s="45">
        <f t="shared" ref="E25:F25" si="7">E24+E23</f>
        <v>-589.42335179531074</v>
      </c>
      <c r="F25" s="45">
        <f t="shared" si="7"/>
        <v>2057.5220787994986</v>
      </c>
      <c r="G25" s="45">
        <f t="shared" si="4"/>
        <v>-1430.0099498708078</v>
      </c>
      <c r="H25" s="45">
        <f>H24+H23</f>
        <v>9021.5940856896268</v>
      </c>
      <c r="I25" s="45">
        <f t="shared" ref="I25:L25" si="8">I24+I23</f>
        <v>53645.884861718223</v>
      </c>
      <c r="J25" s="45">
        <f t="shared" si="8"/>
        <v>133828.5338467019</v>
      </c>
      <c r="K25" s="45">
        <f t="shared" si="8"/>
        <v>234012.11979675197</v>
      </c>
      <c r="L25" s="77">
        <f t="shared" si="8"/>
        <v>289974.41818974796</v>
      </c>
    </row>
    <row r="26" spans="2:12" x14ac:dyDescent="0.35">
      <c r="B26" s="174" t="s">
        <v>245</v>
      </c>
      <c r="C26" s="44">
        <f>Historical_Financials!M18</f>
        <v>-1903</v>
      </c>
      <c r="D26" s="45">
        <f>C26</f>
        <v>-1903</v>
      </c>
      <c r="E26" s="45">
        <f t="shared" ref="E26:F26" si="9">D26</f>
        <v>-1903</v>
      </c>
      <c r="F26" s="45">
        <f t="shared" si="9"/>
        <v>-1903</v>
      </c>
      <c r="G26" s="45">
        <f t="shared" si="4"/>
        <v>-7612</v>
      </c>
      <c r="H26" s="45">
        <f>F26</f>
        <v>-1903</v>
      </c>
      <c r="I26" s="45">
        <f>H26</f>
        <v>-1903</v>
      </c>
      <c r="J26" s="48">
        <f>I26</f>
        <v>-1903</v>
      </c>
      <c r="K26" s="48">
        <f>J26</f>
        <v>-1903</v>
      </c>
      <c r="L26" s="49">
        <f>K26</f>
        <v>-1903</v>
      </c>
    </row>
    <row r="27" spans="2:12" x14ac:dyDescent="0.35">
      <c r="B27" s="174" t="s">
        <v>246</v>
      </c>
      <c r="C27" s="44">
        <f>Historical_Financials!M20</f>
        <v>-24949</v>
      </c>
      <c r="D27" s="45">
        <f>D24-D26</f>
        <v>-20004.277364374993</v>
      </c>
      <c r="E27" s="45">
        <f>E24-E26</f>
        <v>-18333.868411639061</v>
      </c>
      <c r="F27" s="45">
        <f>F24-F26</f>
        <v>-16614.698709195422</v>
      </c>
      <c r="G27" s="45">
        <f t="shared" si="4"/>
        <v>-79901.844485209484</v>
      </c>
      <c r="H27" s="45">
        <f>H24-H26</f>
        <v>-10555.391832619025</v>
      </c>
      <c r="I27" s="45">
        <f t="shared" ref="I27:L27" si="10">I24-I26</f>
        <v>-35683.035461476204</v>
      </c>
      <c r="J27" s="45">
        <f t="shared" si="10"/>
        <v>30189.908928711113</v>
      </c>
      <c r="K27" s="45">
        <f t="shared" si="10"/>
        <v>115786.7193841012</v>
      </c>
      <c r="L27" s="77">
        <f t="shared" si="10"/>
        <v>156881.06093503584</v>
      </c>
    </row>
    <row r="28" spans="2:12" x14ac:dyDescent="0.35">
      <c r="B28" s="174" t="s">
        <v>247</v>
      </c>
      <c r="C28" s="44">
        <f>Historical_Financials!M21</f>
        <v>90</v>
      </c>
      <c r="D28" s="46">
        <f>Drivers!C20</f>
        <v>0</v>
      </c>
      <c r="E28" s="46">
        <f>D28</f>
        <v>0</v>
      </c>
      <c r="F28" s="46">
        <f>D28</f>
        <v>0</v>
      </c>
      <c r="G28" s="46">
        <f t="shared" si="4"/>
        <v>90</v>
      </c>
      <c r="H28" s="45">
        <f>H27*Drivers!C23</f>
        <v>-2638.8479581547563</v>
      </c>
      <c r="I28" s="45">
        <f>I27*Drivers!C23</f>
        <v>-8920.7588653690509</v>
      </c>
      <c r="J28" s="48">
        <f>J27*Drivers!C23</f>
        <v>7547.4772321777782</v>
      </c>
      <c r="K28" s="55">
        <f>K27*Drivers!C23</f>
        <v>28946.679846025301</v>
      </c>
      <c r="L28" s="56">
        <f>L27*Drivers!C23</f>
        <v>39220.265233758961</v>
      </c>
    </row>
    <row r="29" spans="2:12" x14ac:dyDescent="0.35">
      <c r="B29" s="175" t="s">
        <v>248</v>
      </c>
      <c r="C29" s="62">
        <f>Historical_Financials!M22</f>
        <v>-25039</v>
      </c>
      <c r="D29" s="63">
        <f>D27-D28</f>
        <v>-20004.277364374993</v>
      </c>
      <c r="E29" s="63">
        <f>E27-E28</f>
        <v>-18333.868411639061</v>
      </c>
      <c r="F29" s="63">
        <f>F27-F28</f>
        <v>-16614.698709195422</v>
      </c>
      <c r="G29" s="63">
        <f t="shared" si="4"/>
        <v>-79991.844485209484</v>
      </c>
      <c r="H29" s="63">
        <f>H27-H28</f>
        <v>-7916.5438744642688</v>
      </c>
      <c r="I29" s="63">
        <f t="shared" ref="I29:L29" si="11">I27-I28</f>
        <v>-26762.276596107153</v>
      </c>
      <c r="J29" s="63">
        <f t="shared" si="11"/>
        <v>22642.431696533335</v>
      </c>
      <c r="K29" s="63">
        <f t="shared" si="11"/>
        <v>86840.0395380759</v>
      </c>
      <c r="L29" s="78">
        <f t="shared" si="11"/>
        <v>117660.79570127689</v>
      </c>
    </row>
    <row r="30" spans="2:12" x14ac:dyDescent="0.35">
      <c r="B30" s="174" t="s">
        <v>279</v>
      </c>
      <c r="C30" s="44">
        <f>Historical_Financials!M25</f>
        <v>117307189</v>
      </c>
      <c r="D30" s="45" t="s">
        <v>283</v>
      </c>
      <c r="E30" s="45" t="s">
        <v>283</v>
      </c>
      <c r="F30" s="45" t="s">
        <v>283</v>
      </c>
      <c r="G30" s="45">
        <f>C30*(1+Drivers!C22)</f>
        <v>117893724.94499999</v>
      </c>
      <c r="H30" s="45" t="s">
        <v>283</v>
      </c>
      <c r="I30" s="45">
        <f>G30*(1+Drivers!C22)</f>
        <v>118483193.56972498</v>
      </c>
      <c r="J30" s="55">
        <f>I30*(1+Drivers!C22)</f>
        <v>119075609.53757359</v>
      </c>
      <c r="K30" s="55">
        <f>J30*(1+Drivers!C22)</f>
        <v>119670987.58526145</v>
      </c>
      <c r="L30" s="56">
        <f>K30*(1+Drivers!C22)</f>
        <v>120269342.52318774</v>
      </c>
    </row>
    <row r="31" spans="2:12" x14ac:dyDescent="0.35">
      <c r="B31" s="174" t="s">
        <v>282</v>
      </c>
      <c r="C31" s="53">
        <f>Historical_Financials!M24</f>
        <v>-0.21</v>
      </c>
      <c r="D31" s="45" t="s">
        <v>283</v>
      </c>
      <c r="E31" s="45" t="s">
        <v>283</v>
      </c>
      <c r="F31" s="45" t="s">
        <v>283</v>
      </c>
      <c r="G31" s="54">
        <f>(G29*1000)/G30</f>
        <v>-0.67850807600258134</v>
      </c>
      <c r="H31" s="45" t="s">
        <v>283</v>
      </c>
      <c r="I31" s="54">
        <f>(I29*1000)/I30</f>
        <v>-0.22587403149593607</v>
      </c>
      <c r="J31" s="54">
        <f t="shared" ref="J31:L31" si="12">(J29*1000)/J30</f>
        <v>0.19015171775701598</v>
      </c>
      <c r="K31" s="54">
        <f t="shared" si="12"/>
        <v>0.72565657968022834</v>
      </c>
      <c r="L31" s="84">
        <f t="shared" si="12"/>
        <v>0.97831079170148505</v>
      </c>
    </row>
    <row r="32" spans="2:12" x14ac:dyDescent="0.35">
      <c r="B32" s="174" t="s">
        <v>23</v>
      </c>
      <c r="C32" s="44">
        <f>Historical_Financials!M43</f>
        <v>-16732</v>
      </c>
      <c r="D32" s="47">
        <f>Drivers!C3*Drivers!C19</f>
        <v>-9600</v>
      </c>
      <c r="E32" s="47">
        <f>D32</f>
        <v>-9600</v>
      </c>
      <c r="F32" s="47">
        <f>E32</f>
        <v>-9600</v>
      </c>
      <c r="G32" s="47">
        <f>SUM(C32:F32)</f>
        <v>-45532</v>
      </c>
      <c r="H32" s="45">
        <f>Drivers!C3*Drivers!C28</f>
        <v>-8400</v>
      </c>
      <c r="I32" s="45">
        <f>Drivers!C28*Drivers!C4</f>
        <v>-31500</v>
      </c>
      <c r="J32" s="59">
        <f>Drivers!C29*Drivers!C4</f>
        <v>-24750</v>
      </c>
      <c r="K32" s="59">
        <f>Drivers!C30*Drivers!C4</f>
        <v>-20250</v>
      </c>
      <c r="L32" s="60">
        <f>Drivers!C30*Drivers!C4</f>
        <v>-20250</v>
      </c>
    </row>
    <row r="33" spans="2:12" x14ac:dyDescent="0.35">
      <c r="B33" s="174" t="s">
        <v>249</v>
      </c>
      <c r="C33" s="44">
        <f>Historical_Financials!M32</f>
        <v>298234</v>
      </c>
      <c r="D33" s="45">
        <f>C33-D32-D23</f>
        <v>289109.8313125</v>
      </c>
      <c r="E33" s="45">
        <f>D33+E32-E23</f>
        <v>259862.38625265626</v>
      </c>
      <c r="F33" s="45">
        <f>E33+F32-F23</f>
        <v>229687.16546466135</v>
      </c>
      <c r="G33" s="45">
        <f>F33</f>
        <v>229687.16546466135</v>
      </c>
      <c r="H33" s="45">
        <f>F33-H32-H23</f>
        <v>216607.17954635271</v>
      </c>
      <c r="I33" s="45">
        <f>G33-I32-I23</f>
        <v>169955.2451414669</v>
      </c>
      <c r="J33" s="45">
        <f>H33-J32-J23</f>
        <v>135815.55462836192</v>
      </c>
      <c r="K33" s="45">
        <f>I33-K32-K23</f>
        <v>70076.844728816141</v>
      </c>
      <c r="L33" s="77">
        <f>J33-L32-L23</f>
        <v>21069.197373649804</v>
      </c>
    </row>
    <row r="34" spans="2:12" x14ac:dyDescent="0.35">
      <c r="B34" s="174" t="s">
        <v>217</v>
      </c>
      <c r="C34" s="45">
        <f>Historical_Financials!M40</f>
        <v>-44939</v>
      </c>
      <c r="D34" s="45">
        <f>D17*(Drivers!C21*4)</f>
        <v>-48682.838587499995</v>
      </c>
      <c r="E34" s="45">
        <f>E17*(Drivers!C21*4)</f>
        <v>-51083.357155593745</v>
      </c>
      <c r="F34" s="45">
        <f>F17*(Drivers!C21*4)</f>
        <v>-53495.574048786788</v>
      </c>
      <c r="G34" s="45">
        <f>F34</f>
        <v>-53495.574048786788</v>
      </c>
      <c r="H34" s="48">
        <f>H17*(Drivers!C21*4)</f>
        <v>-55847.963387602489</v>
      </c>
      <c r="I34" s="48">
        <f>I17*Drivers!C21</f>
        <v>-59300.748210076381</v>
      </c>
      <c r="J34" s="55">
        <f>J17*Drivers!C21</f>
        <v>-68602.056196694015</v>
      </c>
      <c r="K34" s="55">
        <f>K17*Drivers!C21</f>
        <v>-78083.460268222989</v>
      </c>
      <c r="L34" s="56">
        <f>L17*Drivers!C21</f>
        <v>-87747.632215562888</v>
      </c>
    </row>
    <row r="35" spans="2:12" x14ac:dyDescent="0.35">
      <c r="B35" s="176" t="s">
        <v>232</v>
      </c>
      <c r="C35" s="50">
        <f>Growth_Metrics!K11</f>
        <v>-203</v>
      </c>
      <c r="D35" s="51">
        <f>D34-C34</f>
        <v>-3743.8385874999949</v>
      </c>
      <c r="E35" s="51">
        <f t="shared" ref="E35:F35" si="13">E34-D34</f>
        <v>-2400.5185680937502</v>
      </c>
      <c r="F35" s="51">
        <f t="shared" si="13"/>
        <v>-2412.2168931930428</v>
      </c>
      <c r="G35" s="51">
        <f>SUM(C35:F35)</f>
        <v>-8759.5740487867879</v>
      </c>
      <c r="H35" s="51">
        <f>H34-F34</f>
        <v>-2352.3893388157012</v>
      </c>
      <c r="I35" s="51">
        <f>I34-G34</f>
        <v>-5805.174161289593</v>
      </c>
      <c r="J35" s="61">
        <f>J34-I34</f>
        <v>-9301.307986617634</v>
      </c>
      <c r="K35" s="61">
        <f>K34-J34</f>
        <v>-9481.4040715289739</v>
      </c>
      <c r="L35" s="80">
        <f>L34-K34</f>
        <v>-9664.1719473398989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E18F-0EFB-4FC1-853F-FCBD07F873E4}">
  <dimension ref="B2:H38"/>
  <sheetViews>
    <sheetView showGridLines="0" topLeftCell="A27" workbookViewId="0">
      <selection activeCell="G40" sqref="G40"/>
    </sheetView>
  </sheetViews>
  <sheetFormatPr defaultRowHeight="14.5" x14ac:dyDescent="0.35"/>
  <cols>
    <col min="2" max="2" width="24.36328125" bestFit="1" customWidth="1"/>
    <col min="3" max="6" width="12.1796875" bestFit="1" customWidth="1"/>
    <col min="7" max="8" width="12.453125" bestFit="1" customWidth="1"/>
  </cols>
  <sheetData>
    <row r="2" spans="2:8" x14ac:dyDescent="0.35">
      <c r="B2" s="179" t="s">
        <v>292</v>
      </c>
      <c r="C2" s="64"/>
      <c r="D2" s="64"/>
      <c r="E2" s="64"/>
      <c r="F2" s="64"/>
      <c r="G2" s="64"/>
      <c r="H2" s="65"/>
    </row>
    <row r="3" spans="2:8" x14ac:dyDescent="0.35">
      <c r="B3" s="180"/>
      <c r="H3" s="5"/>
    </row>
    <row r="4" spans="2:8" x14ac:dyDescent="0.35">
      <c r="B4" s="181" t="s">
        <v>322</v>
      </c>
      <c r="C4" s="72" t="s">
        <v>40</v>
      </c>
      <c r="D4" s="72" t="s">
        <v>226</v>
      </c>
      <c r="E4" s="72" t="s">
        <v>227</v>
      </c>
      <c r="F4" s="72" t="s">
        <v>228</v>
      </c>
      <c r="G4" s="72" t="s">
        <v>278</v>
      </c>
      <c r="H4" s="76" t="s">
        <v>229</v>
      </c>
    </row>
    <row r="5" spans="2:8" x14ac:dyDescent="0.35">
      <c r="B5" s="182" t="s">
        <v>2</v>
      </c>
      <c r="C5" s="66">
        <f>Forecast!C17</f>
        <v>166304</v>
      </c>
      <c r="D5" s="67">
        <f>Forecast!D17</f>
        <v>187241.68687499998</v>
      </c>
      <c r="E5" s="67">
        <f>Forecast!E17</f>
        <v>196474.45059843748</v>
      </c>
      <c r="F5" s="67">
        <f>Forecast!F17</f>
        <v>205752.20787994919</v>
      </c>
      <c r="G5" s="68">
        <f>Forecast!G17</f>
        <v>755772.3453533866</v>
      </c>
      <c r="H5" s="49">
        <f>Forecast!H17</f>
        <v>214799.85918308649</v>
      </c>
    </row>
    <row r="6" spans="2:8" x14ac:dyDescent="0.35">
      <c r="B6" s="182" t="s">
        <v>251</v>
      </c>
      <c r="C6" s="66">
        <f>Forecast!C19</f>
        <v>136617</v>
      </c>
      <c r="D6" s="67">
        <f>Forecast!D19</f>
        <v>151104.04130812499</v>
      </c>
      <c r="E6" s="67">
        <f>Forecast!E19</f>
        <v>155804.23932456094</v>
      </c>
      <c r="F6" s="67">
        <f>Forecast!F19</f>
        <v>160486.72214636038</v>
      </c>
      <c r="G6" s="68">
        <f>Forecast!G19</f>
        <v>604012.00277904631</v>
      </c>
      <c r="H6" s="49">
        <f>Forecast!H19</f>
        <v>164966.29185261042</v>
      </c>
    </row>
    <row r="7" spans="2:8" x14ac:dyDescent="0.35">
      <c r="B7" s="182" t="s">
        <v>7</v>
      </c>
      <c r="C7" s="69">
        <f>Forecast!C20</f>
        <v>29687</v>
      </c>
      <c r="D7" s="67">
        <f>Forecast!D20</f>
        <v>36137.645566874999</v>
      </c>
      <c r="E7" s="67">
        <f>Forecast!E20</f>
        <v>40670.211273876557</v>
      </c>
      <c r="F7" s="67">
        <f>Forecast!F20</f>
        <v>45265.485733588823</v>
      </c>
      <c r="G7" s="68">
        <f>Forecast!G20</f>
        <v>151760.34257434038</v>
      </c>
      <c r="H7" s="49">
        <f>Forecast!H20</f>
        <v>49833.567330476064</v>
      </c>
    </row>
    <row r="8" spans="2:8" x14ac:dyDescent="0.35">
      <c r="B8" s="182" t="s">
        <v>8</v>
      </c>
      <c r="C8" s="66">
        <f>Forecast!C22</f>
        <v>38337</v>
      </c>
      <c r="D8" s="67">
        <f>Forecast!D22</f>
        <v>39320.754243749994</v>
      </c>
      <c r="E8" s="67">
        <f>Forecast!E22</f>
        <v>41259.634625671868</v>
      </c>
      <c r="F8" s="67">
        <f>Forecast!F22</f>
        <v>43207.963654789324</v>
      </c>
      <c r="G8" s="68">
        <f>Forecast!G22</f>
        <v>162125.35252421119</v>
      </c>
      <c r="H8" s="49">
        <f>Forecast!H22</f>
        <v>40811.973244786437</v>
      </c>
    </row>
    <row r="9" spans="2:8" x14ac:dyDescent="0.35">
      <c r="B9" s="182" t="s">
        <v>9</v>
      </c>
      <c r="C9" s="66">
        <f>Forecast!C23</f>
        <v>17106</v>
      </c>
      <c r="D9" s="67">
        <f>Forecast!D23</f>
        <v>18724.168687499998</v>
      </c>
      <c r="E9" s="67">
        <f>Forecast!E23</f>
        <v>19647.445059843751</v>
      </c>
      <c r="F9" s="67">
        <f>Forecast!F23</f>
        <v>20575.22078799492</v>
      </c>
      <c r="G9" s="68">
        <f>Forecast!G23</f>
        <v>76052.834535338683</v>
      </c>
      <c r="H9" s="49">
        <f>Forecast!H23</f>
        <v>21479.985918308652</v>
      </c>
    </row>
    <row r="10" spans="2:8" x14ac:dyDescent="0.35">
      <c r="B10" s="182" t="s">
        <v>295</v>
      </c>
      <c r="C10" s="66">
        <f>Forecast!C24</f>
        <v>-28537</v>
      </c>
      <c r="D10" s="67">
        <f>Forecast!D24</f>
        <v>-21907.277364374993</v>
      </c>
      <c r="E10" s="67">
        <f>Forecast!E24</f>
        <v>-20236.868411639061</v>
      </c>
      <c r="F10" s="67">
        <f>Forecast!F24</f>
        <v>-18517.698709195422</v>
      </c>
      <c r="G10" s="68">
        <f>Forecast!G24</f>
        <v>-89198.844485209484</v>
      </c>
      <c r="H10" s="70">
        <f>Forecast!H24</f>
        <v>-12458.391832619025</v>
      </c>
    </row>
    <row r="11" spans="2:8" x14ac:dyDescent="0.35">
      <c r="B11" s="182" t="s">
        <v>245</v>
      </c>
      <c r="C11" s="66">
        <f>Forecast!C26</f>
        <v>-1903</v>
      </c>
      <c r="D11" s="67">
        <f>Forecast!D26</f>
        <v>-1903</v>
      </c>
      <c r="E11" s="67">
        <f>Forecast!E26</f>
        <v>-1903</v>
      </c>
      <c r="F11" s="67">
        <f>Forecast!F26</f>
        <v>-1903</v>
      </c>
      <c r="G11" s="68">
        <f>Forecast!G26</f>
        <v>-7612</v>
      </c>
      <c r="H11" s="49">
        <f>Forecast!H26</f>
        <v>-1903</v>
      </c>
    </row>
    <row r="12" spans="2:8" x14ac:dyDescent="0.35">
      <c r="B12" s="182" t="s">
        <v>294</v>
      </c>
      <c r="C12" s="66">
        <f>Forecast!C27</f>
        <v>-24949</v>
      </c>
      <c r="D12" s="67">
        <f>Forecast!D27</f>
        <v>-20004.277364374993</v>
      </c>
      <c r="E12" s="67">
        <f>Forecast!E27</f>
        <v>-18333.868411639061</v>
      </c>
      <c r="F12" s="67">
        <f>Forecast!F27</f>
        <v>-16614.698709195422</v>
      </c>
      <c r="G12" s="68">
        <f>Forecast!G27</f>
        <v>-79901.844485209484</v>
      </c>
      <c r="H12" s="49">
        <f>Forecast!H27</f>
        <v>-10555.391832619025</v>
      </c>
    </row>
    <row r="13" spans="2:8" x14ac:dyDescent="0.35">
      <c r="B13" s="182" t="s">
        <v>247</v>
      </c>
      <c r="C13" s="66">
        <f>Forecast!C28</f>
        <v>90</v>
      </c>
      <c r="D13" s="67">
        <f>Forecast!D28</f>
        <v>0</v>
      </c>
      <c r="E13" s="67">
        <f>Forecast!E28</f>
        <v>0</v>
      </c>
      <c r="F13" s="67">
        <f>Forecast!F28</f>
        <v>0</v>
      </c>
      <c r="G13" s="68">
        <f>Forecast!G28</f>
        <v>90</v>
      </c>
      <c r="H13" s="49">
        <f>Forecast!H28</f>
        <v>-2638.8479581547563</v>
      </c>
    </row>
    <row r="14" spans="2:8" x14ac:dyDescent="0.35">
      <c r="B14" s="181" t="s">
        <v>248</v>
      </c>
      <c r="C14" s="71">
        <f>Forecast!C29</f>
        <v>-25039</v>
      </c>
      <c r="D14" s="72">
        <f>Forecast!D29</f>
        <v>-20004.277364374993</v>
      </c>
      <c r="E14" s="72">
        <f>Forecast!E29</f>
        <v>-18333.868411639061</v>
      </c>
      <c r="F14" s="72">
        <f>Forecast!F29</f>
        <v>-16614.698709195422</v>
      </c>
      <c r="G14" s="73">
        <f>Forecast!G29</f>
        <v>-79991.844485209484</v>
      </c>
      <c r="H14" s="74">
        <f>Forecast!H27</f>
        <v>-10555.391832619025</v>
      </c>
    </row>
    <row r="17" spans="2:8" x14ac:dyDescent="0.35">
      <c r="B17" s="177" t="s">
        <v>296</v>
      </c>
      <c r="C17" s="81"/>
      <c r="D17" s="81"/>
      <c r="E17" s="81"/>
      <c r="F17" s="81"/>
      <c r="G17" s="81"/>
      <c r="H17" s="103"/>
    </row>
    <row r="18" spans="2:8" x14ac:dyDescent="0.35">
      <c r="B18" s="175"/>
      <c r="C18" s="45"/>
      <c r="D18" s="45"/>
      <c r="E18" s="45"/>
      <c r="F18" s="45"/>
      <c r="G18" s="45"/>
      <c r="H18" s="49"/>
    </row>
    <row r="19" spans="2:8" x14ac:dyDescent="0.35">
      <c r="B19" s="178" t="s">
        <v>322</v>
      </c>
      <c r="C19" s="72" t="s">
        <v>40</v>
      </c>
      <c r="D19" s="72" t="s">
        <v>226</v>
      </c>
      <c r="E19" s="72" t="s">
        <v>227</v>
      </c>
      <c r="F19" s="72" t="s">
        <v>228</v>
      </c>
      <c r="G19" s="72" t="s">
        <v>278</v>
      </c>
      <c r="H19" s="76" t="s">
        <v>229</v>
      </c>
    </row>
    <row r="20" spans="2:8" x14ac:dyDescent="0.35">
      <c r="B20" s="174" t="s">
        <v>248</v>
      </c>
      <c r="C20" s="44">
        <f>C14</f>
        <v>-25039</v>
      </c>
      <c r="D20" s="45">
        <f>D14</f>
        <v>-20004.277364374993</v>
      </c>
      <c r="E20" s="45">
        <f>E14</f>
        <v>-18333.868411639061</v>
      </c>
      <c r="F20" s="45">
        <f>F14</f>
        <v>-16614.698709195422</v>
      </c>
      <c r="G20" s="45">
        <f t="shared" ref="G20:H20" si="0">G14</f>
        <v>-79991.844485209484</v>
      </c>
      <c r="H20" s="77">
        <f t="shared" si="0"/>
        <v>-10555.391832619025</v>
      </c>
    </row>
    <row r="21" spans="2:8" x14ac:dyDescent="0.35">
      <c r="B21" s="174" t="s">
        <v>297</v>
      </c>
      <c r="C21" s="44">
        <f>Forecast!C23</f>
        <v>17106</v>
      </c>
      <c r="D21" s="45">
        <f>D9</f>
        <v>18724.168687499998</v>
      </c>
      <c r="E21" s="45">
        <f>E9</f>
        <v>19647.445059843751</v>
      </c>
      <c r="F21" s="45">
        <f>F9</f>
        <v>20575.22078799492</v>
      </c>
      <c r="G21" s="45">
        <f t="shared" ref="G21:H21" si="1">G9</f>
        <v>76052.834535338683</v>
      </c>
      <c r="H21" s="77">
        <f t="shared" si="1"/>
        <v>21479.985918308652</v>
      </c>
    </row>
    <row r="22" spans="2:8" x14ac:dyDescent="0.35">
      <c r="B22" s="174" t="s">
        <v>298</v>
      </c>
      <c r="C22" s="45">
        <f>Forecast!C35</f>
        <v>-203</v>
      </c>
      <c r="D22" s="45">
        <f>Forecast!D35</f>
        <v>-3743.8385874999949</v>
      </c>
      <c r="E22" s="45">
        <f>Forecast!E35</f>
        <v>-2400.5185680937502</v>
      </c>
      <c r="F22" s="45">
        <f>Forecast!F35</f>
        <v>-2412.2168931930428</v>
      </c>
      <c r="G22" s="45">
        <f>Forecast!G35</f>
        <v>-8759.5740487867879</v>
      </c>
      <c r="H22" s="77">
        <f>Forecast!H35</f>
        <v>-2352.3893388157012</v>
      </c>
    </row>
    <row r="23" spans="2:8" x14ac:dyDescent="0.35">
      <c r="B23" s="175" t="s">
        <v>299</v>
      </c>
      <c r="C23" s="63">
        <f>SUM(C20:C22)</f>
        <v>-8136</v>
      </c>
      <c r="D23" s="63">
        <f>SUM(D20:D22)</f>
        <v>-5023.9472643749905</v>
      </c>
      <c r="E23" s="63">
        <f>SUM(E20:E22)</f>
        <v>-1086.941919889061</v>
      </c>
      <c r="F23" s="63">
        <f>SUM(F20:F22)</f>
        <v>1548.3051856064558</v>
      </c>
      <c r="G23" s="63">
        <f t="shared" ref="G23:H23" si="2">SUM(G20:G22)</f>
        <v>-12698.583998657588</v>
      </c>
      <c r="H23" s="78">
        <f t="shared" si="2"/>
        <v>8572.2047468739256</v>
      </c>
    </row>
    <row r="24" spans="2:8" x14ac:dyDescent="0.35">
      <c r="B24" s="174" t="s">
        <v>23</v>
      </c>
      <c r="C24" s="44">
        <f>Forecast!C32</f>
        <v>-16732</v>
      </c>
      <c r="D24" s="45">
        <f>Forecast!D32</f>
        <v>-9600</v>
      </c>
      <c r="E24" s="45">
        <f>Forecast!E32</f>
        <v>-9600</v>
      </c>
      <c r="F24" s="45">
        <f>Forecast!F32</f>
        <v>-9600</v>
      </c>
      <c r="G24" s="45">
        <f>Forecast!G32</f>
        <v>-45532</v>
      </c>
      <c r="H24" s="77">
        <f>Forecast!H32</f>
        <v>-8400</v>
      </c>
    </row>
    <row r="25" spans="2:8" x14ac:dyDescent="0.35">
      <c r="B25" s="175" t="s">
        <v>300</v>
      </c>
      <c r="C25" s="63">
        <f>C23+C24</f>
        <v>-24868</v>
      </c>
      <c r="D25" s="63">
        <f>D23+D24</f>
        <v>-14623.94726437499</v>
      </c>
      <c r="E25" s="63">
        <f>E23+E24</f>
        <v>-10686.941919889061</v>
      </c>
      <c r="F25" s="63">
        <f>F23+F24</f>
        <v>-8051.6948143935442</v>
      </c>
      <c r="G25" s="63">
        <f t="shared" ref="G25:H25" si="3">G23+G24</f>
        <v>-58230.583998657588</v>
      </c>
      <c r="H25" s="78">
        <f t="shared" si="3"/>
        <v>172.20474687392561</v>
      </c>
    </row>
    <row r="26" spans="2:8" x14ac:dyDescent="0.35">
      <c r="B26" s="176" t="s">
        <v>306</v>
      </c>
      <c r="C26" s="51">
        <f>Historical_Financials!M44</f>
        <v>186596</v>
      </c>
      <c r="D26" s="51">
        <f>C26+D25</f>
        <v>171972.05273562501</v>
      </c>
      <c r="E26" s="51">
        <f>D26+E25</f>
        <v>161285.11081573594</v>
      </c>
      <c r="F26" s="51">
        <f>E26+F25</f>
        <v>153233.41600134241</v>
      </c>
      <c r="G26" s="51">
        <f t="shared" ref="G26:H26" si="4">F26+G25</f>
        <v>95002.832002684823</v>
      </c>
      <c r="H26" s="106">
        <f t="shared" si="4"/>
        <v>95175.036749558756</v>
      </c>
    </row>
    <row r="27" spans="2:8" x14ac:dyDescent="0.35">
      <c r="B27" s="2"/>
    </row>
    <row r="29" spans="2:8" x14ac:dyDescent="0.35">
      <c r="B29" s="177" t="s">
        <v>301</v>
      </c>
      <c r="C29" s="81"/>
      <c r="D29" s="81"/>
      <c r="E29" s="81"/>
      <c r="F29" s="81"/>
      <c r="G29" s="81"/>
      <c r="H29" s="82"/>
    </row>
    <row r="30" spans="2:8" x14ac:dyDescent="0.35">
      <c r="B30" s="174"/>
      <c r="C30" s="45"/>
      <c r="D30" s="45"/>
      <c r="E30" s="45"/>
      <c r="F30" s="45"/>
      <c r="G30" s="45"/>
      <c r="H30" s="77"/>
    </row>
    <row r="31" spans="2:8" x14ac:dyDescent="0.35">
      <c r="B31" s="178" t="s">
        <v>322</v>
      </c>
      <c r="C31" s="72" t="s">
        <v>40</v>
      </c>
      <c r="D31" s="72" t="s">
        <v>226</v>
      </c>
      <c r="E31" s="72" t="s">
        <v>227</v>
      </c>
      <c r="F31" s="72" t="s">
        <v>228</v>
      </c>
      <c r="G31" s="72" t="s">
        <v>278</v>
      </c>
      <c r="H31" s="76" t="s">
        <v>229</v>
      </c>
    </row>
    <row r="32" spans="2:8" x14ac:dyDescent="0.35">
      <c r="B32" s="174" t="s">
        <v>307</v>
      </c>
      <c r="C32" s="44">
        <f>C26</f>
        <v>186596</v>
      </c>
      <c r="D32" s="45">
        <f>D26</f>
        <v>171972.05273562501</v>
      </c>
      <c r="E32" s="45">
        <f>E26</f>
        <v>161285.11081573594</v>
      </c>
      <c r="F32" s="45">
        <f>F26</f>
        <v>153233.41600134241</v>
      </c>
      <c r="G32" s="45">
        <f t="shared" ref="G32:H32" si="5">G26</f>
        <v>95002.832002684823</v>
      </c>
      <c r="H32" s="77">
        <f t="shared" si="5"/>
        <v>95175.036749558756</v>
      </c>
    </row>
    <row r="33" spans="2:8" x14ac:dyDescent="0.35">
      <c r="B33" s="174" t="s">
        <v>249</v>
      </c>
      <c r="C33" s="44">
        <f>Forecast!C33</f>
        <v>298234</v>
      </c>
      <c r="D33" s="45">
        <f>Forecast!D33</f>
        <v>289109.8313125</v>
      </c>
      <c r="E33" s="45">
        <f>Forecast!E33</f>
        <v>259862.38625265626</v>
      </c>
      <c r="F33" s="45">
        <f>Forecast!F33</f>
        <v>229687.16546466135</v>
      </c>
      <c r="G33" s="45">
        <f>Forecast!G33</f>
        <v>229687.16546466135</v>
      </c>
      <c r="H33" s="77">
        <f>Forecast!H33</f>
        <v>216607.17954635271</v>
      </c>
    </row>
    <row r="34" spans="2:8" x14ac:dyDescent="0.35">
      <c r="B34" s="174" t="s">
        <v>217</v>
      </c>
      <c r="C34" s="45">
        <f>Forecast!C34</f>
        <v>-44939</v>
      </c>
      <c r="D34" s="45">
        <f>Forecast!D34</f>
        <v>-48682.838587499995</v>
      </c>
      <c r="E34" s="45">
        <f>Forecast!E34</f>
        <v>-51083.357155593745</v>
      </c>
      <c r="F34" s="45">
        <f>Forecast!F34</f>
        <v>-53495.574048786788</v>
      </c>
      <c r="G34" s="45">
        <f>Forecast!G34</f>
        <v>-53495.574048786788</v>
      </c>
      <c r="H34" s="77">
        <f>Forecast!H34</f>
        <v>-55847.963387602489</v>
      </c>
    </row>
    <row r="35" spans="2:8" x14ac:dyDescent="0.35">
      <c r="B35" s="175" t="s">
        <v>303</v>
      </c>
      <c r="C35" s="63">
        <f>C32+C33+C34</f>
        <v>439891</v>
      </c>
      <c r="D35" s="63">
        <f>D32+D33+D34</f>
        <v>412399.04546062503</v>
      </c>
      <c r="E35" s="63">
        <f>E32+E33+E34</f>
        <v>370064.13991279848</v>
      </c>
      <c r="F35" s="63">
        <f>F32+F33+F34</f>
        <v>329425.00741721701</v>
      </c>
      <c r="G35" s="63">
        <f t="shared" ref="G35:H35" si="6">G32+G33+G34</f>
        <v>271194.42341855937</v>
      </c>
      <c r="H35" s="78">
        <f t="shared" si="6"/>
        <v>255934.25290830899</v>
      </c>
    </row>
    <row r="36" spans="2:8" x14ac:dyDescent="0.35">
      <c r="B36" s="174" t="s">
        <v>302</v>
      </c>
      <c r="C36" s="44">
        <f>Historical_Financials!K45+'3_statement_model'!C14</f>
        <v>-900427</v>
      </c>
      <c r="D36" s="45">
        <f>C36+D14</f>
        <v>-920431.27736437495</v>
      </c>
      <c r="E36" s="45">
        <f>D36+E14</f>
        <v>-938765.14577601396</v>
      </c>
      <c r="F36" s="45">
        <f>E36+F14</f>
        <v>-955379.84448520932</v>
      </c>
      <c r="G36" s="45">
        <f t="shared" ref="G36:H36" si="7">F36+G14</f>
        <v>-1035371.6889704188</v>
      </c>
      <c r="H36" s="77">
        <f t="shared" si="7"/>
        <v>-1045927.0808030377</v>
      </c>
    </row>
    <row r="37" spans="2:8" x14ac:dyDescent="0.35">
      <c r="B37" s="174" t="s">
        <v>304</v>
      </c>
      <c r="C37" s="196">
        <f>C35-C36</f>
        <v>1340318</v>
      </c>
      <c r="D37" s="196">
        <f>D35-D36</f>
        <v>1332830.3228249999</v>
      </c>
      <c r="E37" s="196">
        <f>E35-E36</f>
        <v>1308829.2856888124</v>
      </c>
      <c r="F37" s="196">
        <f>F35-F36</f>
        <v>1284804.8519024262</v>
      </c>
      <c r="G37" s="196">
        <f t="shared" ref="G37:H37" si="8">G35-G36</f>
        <v>1306566.1123889782</v>
      </c>
      <c r="H37" s="197">
        <f t="shared" si="8"/>
        <v>1301861.3337113466</v>
      </c>
    </row>
    <row r="38" spans="2:8" x14ac:dyDescent="0.35">
      <c r="B38" s="178" t="s">
        <v>305</v>
      </c>
      <c r="C38" s="83">
        <f>C36+C37</f>
        <v>439891</v>
      </c>
      <c r="D38" s="83">
        <f>D36+D37</f>
        <v>412399.04546062497</v>
      </c>
      <c r="E38" s="83">
        <f>E36+E37</f>
        <v>370064.13991279842</v>
      </c>
      <c r="F38" s="83">
        <f>F36+F37</f>
        <v>329425.0074172169</v>
      </c>
      <c r="G38" s="83">
        <f t="shared" ref="G38:H38" si="9">G36+G37</f>
        <v>271194.42341855948</v>
      </c>
      <c r="H38" s="74">
        <f t="shared" si="9"/>
        <v>255934.25290830887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B940-39DF-4360-9FE2-A5D406605C96}">
  <dimension ref="B2:L32"/>
  <sheetViews>
    <sheetView showGridLines="0" topLeftCell="A13" zoomScale="101" workbookViewId="0">
      <selection activeCell="I21" sqref="I21"/>
    </sheetView>
  </sheetViews>
  <sheetFormatPr defaultRowHeight="14.5" x14ac:dyDescent="0.35"/>
  <cols>
    <col min="2" max="2" width="25.7265625" bestFit="1" customWidth="1"/>
    <col min="3" max="3" width="15.81640625" bestFit="1" customWidth="1"/>
    <col min="4" max="4" width="11.81640625" bestFit="1" customWidth="1"/>
    <col min="5" max="7" width="12.1796875" bestFit="1" customWidth="1"/>
    <col min="12" max="12" width="36.453125" bestFit="1" customWidth="1"/>
  </cols>
  <sheetData>
    <row r="2" spans="2:12" x14ac:dyDescent="0.35">
      <c r="B2" s="177" t="s">
        <v>310</v>
      </c>
      <c r="C2" s="101"/>
      <c r="D2" s="101"/>
      <c r="E2" s="101"/>
      <c r="F2" s="101"/>
      <c r="G2" s="103"/>
    </row>
    <row r="3" spans="2:12" x14ac:dyDescent="0.35">
      <c r="B3" s="175"/>
      <c r="C3" s="48"/>
      <c r="D3" s="48"/>
      <c r="E3" s="48"/>
      <c r="F3" s="48"/>
      <c r="G3" s="49"/>
    </row>
    <row r="4" spans="2:12" x14ac:dyDescent="0.35">
      <c r="B4" s="178" t="s">
        <v>322</v>
      </c>
      <c r="C4" s="91" t="s">
        <v>278</v>
      </c>
      <c r="D4" s="91" t="s">
        <v>230</v>
      </c>
      <c r="E4" s="91" t="s">
        <v>284</v>
      </c>
      <c r="F4" s="91" t="s">
        <v>285</v>
      </c>
      <c r="G4" s="104" t="s">
        <v>355</v>
      </c>
      <c r="I4" s="183" t="s">
        <v>335</v>
      </c>
      <c r="J4" s="114">
        <f>4.4</f>
        <v>4.4000000000000004</v>
      </c>
      <c r="K4" s="97" t="s">
        <v>325</v>
      </c>
      <c r="L4" s="92" t="s">
        <v>326</v>
      </c>
    </row>
    <row r="5" spans="2:12" x14ac:dyDescent="0.35">
      <c r="B5" s="174" t="s">
        <v>293</v>
      </c>
      <c r="C5" s="45">
        <f>Forecast!G24</f>
        <v>-89198.844485209484</v>
      </c>
      <c r="D5" s="45">
        <f>Forecast!I24</f>
        <v>-37586.035461476204</v>
      </c>
      <c r="E5" s="45">
        <f>Forecast!J24</f>
        <v>28286.908928711113</v>
      </c>
      <c r="F5" s="45">
        <f>Forecast!K24</f>
        <v>113883.7193841012</v>
      </c>
      <c r="G5" s="49">
        <f>Forecast!L24</f>
        <v>154978.06093503584</v>
      </c>
      <c r="I5" s="129" t="s">
        <v>336</v>
      </c>
      <c r="J5" s="115">
        <v>5.5</v>
      </c>
      <c r="K5" s="79"/>
      <c r="L5" s="93" t="s">
        <v>327</v>
      </c>
    </row>
    <row r="6" spans="2:12" x14ac:dyDescent="0.35">
      <c r="B6" s="174" t="s">
        <v>41</v>
      </c>
      <c r="C6" s="45">
        <f>Drivers!C24</f>
        <v>0</v>
      </c>
      <c r="D6" s="54">
        <f>Drivers!C23</f>
        <v>0.25</v>
      </c>
      <c r="E6" s="54">
        <f>Drivers!C23</f>
        <v>0.25</v>
      </c>
      <c r="F6" s="54">
        <f>Drivers!C23</f>
        <v>0.25</v>
      </c>
      <c r="G6" s="105">
        <f>Drivers!C23</f>
        <v>0.25</v>
      </c>
      <c r="I6" s="129" t="s">
        <v>337</v>
      </c>
      <c r="J6" s="115">
        <v>2.0699999999999998</v>
      </c>
      <c r="K6" s="79"/>
      <c r="L6" s="93" t="s">
        <v>338</v>
      </c>
    </row>
    <row r="7" spans="2:12" x14ac:dyDescent="0.35">
      <c r="B7" s="174" t="s">
        <v>323</v>
      </c>
      <c r="C7" s="45">
        <f>C5*(1-C6)</f>
        <v>-89198.844485209484</v>
      </c>
      <c r="D7" s="45">
        <f>D5*(1-D6)</f>
        <v>-28189.526596107153</v>
      </c>
      <c r="E7" s="45">
        <f>E5*(1-E6)</f>
        <v>21215.181696533335</v>
      </c>
      <c r="F7" s="45">
        <f>F5*(1-F6)</f>
        <v>85412.7895380759</v>
      </c>
      <c r="G7" s="77">
        <f>G5*(1-G6)</f>
        <v>116233.54570127689</v>
      </c>
      <c r="I7" s="128" t="s">
        <v>324</v>
      </c>
      <c r="J7" s="113">
        <f>15.8</f>
        <v>15.8</v>
      </c>
      <c r="K7" s="79"/>
      <c r="L7" s="93" t="s">
        <v>328</v>
      </c>
    </row>
    <row r="8" spans="2:12" x14ac:dyDescent="0.35">
      <c r="B8" s="174" t="s">
        <v>9</v>
      </c>
      <c r="C8" s="45">
        <f>Forecast!G23</f>
        <v>76052.834535338683</v>
      </c>
      <c r="D8" s="45">
        <f>Forecast!I23</f>
        <v>91231.920323194427</v>
      </c>
      <c r="E8" s="45">
        <f>Forecast!J23</f>
        <v>105541.62491799079</v>
      </c>
      <c r="F8" s="45">
        <f>Forecast!K23</f>
        <v>120128.40041265076</v>
      </c>
      <c r="G8" s="49">
        <f>Forecast!L23</f>
        <v>134996.35725471211</v>
      </c>
      <c r="I8" s="129"/>
      <c r="K8" s="79"/>
      <c r="L8" s="93" t="s">
        <v>332</v>
      </c>
    </row>
    <row r="9" spans="2:12" x14ac:dyDescent="0.35">
      <c r="B9" s="174" t="s">
        <v>311</v>
      </c>
      <c r="C9" s="45">
        <f>Forecast!G35</f>
        <v>-8759.5740487867879</v>
      </c>
      <c r="D9" s="45">
        <f>Forecast!I35</f>
        <v>-5805.174161289593</v>
      </c>
      <c r="E9" s="45">
        <f>Forecast!J35</f>
        <v>-9301.307986617634</v>
      </c>
      <c r="F9" s="45">
        <f>Forecast!K35</f>
        <v>-9481.4040715289739</v>
      </c>
      <c r="G9" s="49">
        <f>Forecast!L35</f>
        <v>-9664.1719473398989</v>
      </c>
      <c r="I9" s="132"/>
      <c r="J9" s="20"/>
      <c r="K9" s="184"/>
      <c r="L9" s="96" t="s">
        <v>334</v>
      </c>
    </row>
    <row r="10" spans="2:12" x14ac:dyDescent="0.35">
      <c r="B10" s="174" t="s">
        <v>23</v>
      </c>
      <c r="C10" s="45">
        <f>Forecast!G32</f>
        <v>-45532</v>
      </c>
      <c r="D10" s="45">
        <f>Forecast!I32</f>
        <v>-31500</v>
      </c>
      <c r="E10" s="45">
        <f>Forecast!J32</f>
        <v>-24750</v>
      </c>
      <c r="F10" s="45">
        <f>Forecast!K32</f>
        <v>-20250</v>
      </c>
      <c r="G10" s="49">
        <f>Forecast!L32</f>
        <v>-20250</v>
      </c>
      <c r="I10" s="36"/>
    </row>
    <row r="11" spans="2:12" x14ac:dyDescent="0.35">
      <c r="B11" s="175" t="s">
        <v>312</v>
      </c>
      <c r="C11" s="63">
        <f>C7+C8+C9+C10</f>
        <v>-67437.583998657588</v>
      </c>
      <c r="D11" s="63">
        <f>D7+D8+D9+D10</f>
        <v>25737.219565797677</v>
      </c>
      <c r="E11" s="63">
        <f>E7+E8+E9+E10</f>
        <v>92705.498627906491</v>
      </c>
      <c r="F11" s="63">
        <f>F7+F8+F9+F10</f>
        <v>175809.78587919771</v>
      </c>
      <c r="G11" s="78">
        <f>G7+G8+G9+G10</f>
        <v>221315.73100864911</v>
      </c>
      <c r="I11" s="137" t="s">
        <v>341</v>
      </c>
      <c r="J11" s="116">
        <v>2.5</v>
      </c>
      <c r="K11" s="98"/>
      <c r="L11" s="92" t="s">
        <v>339</v>
      </c>
    </row>
    <row r="12" spans="2:12" x14ac:dyDescent="0.35">
      <c r="B12" s="174" t="s">
        <v>371</v>
      </c>
      <c r="C12" s="198">
        <f>1/(1+(J7/100))^1</f>
        <v>0.86355785837651133</v>
      </c>
      <c r="D12" s="198">
        <f>1/(1+(J7/100))^2</f>
        <v>0.74573217476382669</v>
      </c>
      <c r="E12" s="198">
        <f>1/(1+(J7/100))^3</f>
        <v>0.64398287976150848</v>
      </c>
      <c r="F12" s="198">
        <f>1/(1+(J7/100))^4</f>
        <v>0.55611647647798657</v>
      </c>
      <c r="G12" s="199">
        <f>1/(1+(J7/100))^5</f>
        <v>0.48023875343522154</v>
      </c>
      <c r="I12" s="132"/>
      <c r="J12" s="20"/>
      <c r="K12" s="95"/>
      <c r="L12" s="96" t="s">
        <v>340</v>
      </c>
    </row>
    <row r="13" spans="2:12" x14ac:dyDescent="0.35">
      <c r="B13" s="174" t="s">
        <v>313</v>
      </c>
      <c r="C13" s="45">
        <f>C11*C12</f>
        <v>-58236.255611966837</v>
      </c>
      <c r="D13" s="45">
        <f>D11*D12</f>
        <v>19193.072719176413</v>
      </c>
      <c r="E13" s="45">
        <f>E11*E12</f>
        <v>59700.753976125794</v>
      </c>
      <c r="F13" s="45">
        <f>F11*F12</f>
        <v>97770.718653488701</v>
      </c>
      <c r="G13" s="77">
        <f>G11*G12</f>
        <v>106284.39077519845</v>
      </c>
    </row>
    <row r="14" spans="2:12" x14ac:dyDescent="0.35">
      <c r="B14" s="174" t="s">
        <v>314</v>
      </c>
      <c r="C14" s="45">
        <f>(G11*(1+(J11/100))/((J7-J11)/100))</f>
        <v>1705628.754014025</v>
      </c>
      <c r="D14" s="45"/>
      <c r="E14" s="45"/>
      <c r="F14" s="45"/>
      <c r="G14" s="49"/>
    </row>
    <row r="15" spans="2:12" x14ac:dyDescent="0.35">
      <c r="B15" s="174" t="s">
        <v>315</v>
      </c>
      <c r="C15" s="45">
        <f>C14*F12</f>
        <v>948528.25286181807</v>
      </c>
      <c r="D15" s="45"/>
      <c r="E15" s="45"/>
      <c r="F15" s="45"/>
      <c r="G15" s="49"/>
    </row>
    <row r="16" spans="2:12" x14ac:dyDescent="0.35">
      <c r="B16" s="175" t="s">
        <v>316</v>
      </c>
      <c r="C16" s="63">
        <f>SUM(C13:F13)+C15</f>
        <v>1066956.5425986422</v>
      </c>
      <c r="D16" s="45"/>
      <c r="E16" s="45"/>
      <c r="F16" s="45"/>
      <c r="G16" s="49"/>
    </row>
    <row r="17" spans="2:7" x14ac:dyDescent="0.35">
      <c r="B17" s="174" t="s">
        <v>345</v>
      </c>
      <c r="C17" s="45">
        <f>'3_statement_model'!C32</f>
        <v>186596</v>
      </c>
      <c r="D17" s="45"/>
      <c r="E17" s="45"/>
      <c r="F17" s="45"/>
      <c r="G17" s="49"/>
    </row>
    <row r="18" spans="2:7" x14ac:dyDescent="0.35">
      <c r="B18" s="175" t="s">
        <v>317</v>
      </c>
      <c r="C18" s="63">
        <f>C16+C17</f>
        <v>1253552.5425986422</v>
      </c>
      <c r="D18" s="45"/>
      <c r="E18" s="45"/>
      <c r="F18" s="45"/>
      <c r="G18" s="49"/>
    </row>
    <row r="19" spans="2:7" x14ac:dyDescent="0.35">
      <c r="B19" s="174" t="s">
        <v>318</v>
      </c>
      <c r="C19" s="45">
        <f>Forecast!K30</f>
        <v>119670987.58526145</v>
      </c>
      <c r="D19" s="45"/>
      <c r="E19" s="45"/>
      <c r="F19" s="45"/>
      <c r="G19" s="49"/>
    </row>
    <row r="20" spans="2:7" x14ac:dyDescent="0.35">
      <c r="B20" s="178" t="s">
        <v>319</v>
      </c>
      <c r="C20" s="99">
        <f>(C18*1000)/C19</f>
        <v>10.474991206248124</v>
      </c>
      <c r="D20" s="90"/>
      <c r="E20" s="90"/>
      <c r="F20" s="90"/>
      <c r="G20" s="106"/>
    </row>
    <row r="21" spans="2:7" x14ac:dyDescent="0.35">
      <c r="B21" s="63"/>
      <c r="C21" s="112"/>
      <c r="D21" s="45"/>
      <c r="E21" s="45"/>
      <c r="F21" s="45"/>
      <c r="G21" s="48"/>
    </row>
    <row r="22" spans="2:7" x14ac:dyDescent="0.35">
      <c r="B22" s="63"/>
      <c r="C22" s="112"/>
      <c r="D22" s="45"/>
      <c r="E22" s="45"/>
      <c r="F22" s="45"/>
      <c r="G22" s="48"/>
    </row>
    <row r="24" spans="2:7" x14ac:dyDescent="0.35">
      <c r="B24" s="209" t="s">
        <v>357</v>
      </c>
      <c r="C24" s="64"/>
      <c r="D24" s="64"/>
      <c r="E24" s="64"/>
      <c r="F24" s="64"/>
      <c r="G24" s="65"/>
    </row>
    <row r="25" spans="2:7" x14ac:dyDescent="0.35">
      <c r="B25" s="107">
        <f>C20</f>
        <v>10.474991206248124</v>
      </c>
      <c r="C25" s="20">
        <v>1.5</v>
      </c>
      <c r="D25" s="20">
        <v>2</v>
      </c>
      <c r="E25" s="109">
        <v>2.5</v>
      </c>
      <c r="F25" s="20">
        <v>3</v>
      </c>
      <c r="G25" s="21">
        <v>3.5</v>
      </c>
    </row>
    <row r="26" spans="2:7" x14ac:dyDescent="0.35">
      <c r="B26" s="19">
        <v>12</v>
      </c>
      <c r="C26" s="102">
        <f t="dataTable" ref="C26:G30" dt2D="1" dtr="1" r1="J11" r2="J7"/>
        <v>14.073885388329785</v>
      </c>
      <c r="D26">
        <v>14.700715782471528</v>
      </c>
      <c r="E26">
        <v>15.393528323365034</v>
      </c>
      <c r="F26">
        <v>16.163320035468935</v>
      </c>
      <c r="G26" s="5">
        <v>17.023675478408578</v>
      </c>
    </row>
    <row r="27" spans="2:7" x14ac:dyDescent="0.35">
      <c r="B27" s="19">
        <v>13</v>
      </c>
      <c r="C27">
        <v>12.677901802405721</v>
      </c>
      <c r="D27">
        <v>13.184504569690267</v>
      </c>
      <c r="E27">
        <v>13.739355219573344</v>
      </c>
      <c r="F27">
        <v>14.349690934444725</v>
      </c>
      <c r="G27" s="5">
        <v>15.024272514039406</v>
      </c>
    </row>
    <row r="28" spans="2:7" x14ac:dyDescent="0.35">
      <c r="B28" s="19">
        <v>14</v>
      </c>
      <c r="C28">
        <v>11.514312045021544</v>
      </c>
      <c r="D28">
        <v>11.930402353771431</v>
      </c>
      <c r="E28">
        <v>12.382674428499566</v>
      </c>
      <c r="F28">
        <v>12.876062146384806</v>
      </c>
      <c r="G28" s="5">
        <v>13.416439170735307</v>
      </c>
    </row>
    <row r="29" spans="2:7" x14ac:dyDescent="0.35">
      <c r="B29" s="75">
        <v>15.8</v>
      </c>
      <c r="C29">
        <v>9.8487955470018846</v>
      </c>
      <c r="D29">
        <v>10.150549252363298</v>
      </c>
      <c r="E29" s="108">
        <v>10.474991206248124</v>
      </c>
      <c r="F29">
        <v>10.824780187780203</v>
      </c>
      <c r="G29" s="5">
        <v>11.203007297892125</v>
      </c>
    </row>
    <row r="30" spans="2:7" x14ac:dyDescent="0.35">
      <c r="B30" s="110">
        <v>17</v>
      </c>
      <c r="C30" s="20">
        <v>8.9650814861501011</v>
      </c>
      <c r="D30" s="20">
        <v>9.2134021560950945</v>
      </c>
      <c r="E30" s="20">
        <v>9.4788483894845665</v>
      </c>
      <c r="F30" s="20">
        <v>9.7632550681161465</v>
      </c>
      <c r="G30" s="21">
        <v>10.068728908127841</v>
      </c>
    </row>
    <row r="32" spans="2:7" x14ac:dyDescent="0.35">
      <c r="B32" s="108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7FCC-52B9-4D3F-A004-106C8769FA83}">
  <dimension ref="B2:K26"/>
  <sheetViews>
    <sheetView showGridLines="0" workbookViewId="0">
      <selection activeCell="H19" sqref="H19"/>
    </sheetView>
  </sheetViews>
  <sheetFormatPr defaultRowHeight="14.5" x14ac:dyDescent="0.35"/>
  <cols>
    <col min="2" max="2" width="15.1796875" bestFit="1" customWidth="1"/>
    <col min="3" max="3" width="17.7265625" bestFit="1" customWidth="1"/>
    <col min="4" max="4" width="11.90625" bestFit="1" customWidth="1"/>
    <col min="5" max="5" width="12.1796875" bestFit="1" customWidth="1"/>
    <col min="6" max="6" width="11.453125" bestFit="1" customWidth="1"/>
    <col min="7" max="7" width="10.1796875" bestFit="1" customWidth="1"/>
    <col min="8" max="8" width="16.81640625" bestFit="1" customWidth="1"/>
    <col min="9" max="9" width="18.08984375" bestFit="1" customWidth="1"/>
    <col min="10" max="10" width="18.36328125" bestFit="1" customWidth="1"/>
    <col min="11" max="11" width="17.6328125" bestFit="1" customWidth="1"/>
  </cols>
  <sheetData>
    <row r="2" spans="2:11" x14ac:dyDescent="0.35">
      <c r="B2" s="185" t="s">
        <v>358</v>
      </c>
      <c r="C2" s="119" t="s">
        <v>359</v>
      </c>
      <c r="D2" s="119" t="s">
        <v>360</v>
      </c>
      <c r="E2" s="119" t="s">
        <v>361</v>
      </c>
      <c r="F2" s="119" t="s">
        <v>362</v>
      </c>
      <c r="G2" s="119" t="s">
        <v>363</v>
      </c>
      <c r="H2" s="119" t="s">
        <v>372</v>
      </c>
      <c r="I2" s="119" t="s">
        <v>407</v>
      </c>
      <c r="J2" s="119" t="s">
        <v>408</v>
      </c>
      <c r="K2" s="120" t="s">
        <v>409</v>
      </c>
    </row>
    <row r="3" spans="2:11" x14ac:dyDescent="0.35">
      <c r="B3" s="186" t="s">
        <v>364</v>
      </c>
      <c r="C3" s="117" t="s">
        <v>368</v>
      </c>
      <c r="D3" s="117">
        <v>-0.28000000000000003</v>
      </c>
      <c r="E3" s="117">
        <v>0.06</v>
      </c>
      <c r="F3" s="117">
        <v>0.5</v>
      </c>
      <c r="G3" s="117">
        <v>0.64</v>
      </c>
      <c r="H3" s="121">
        <f>DCF!C30</f>
        <v>8.9650814861501011</v>
      </c>
      <c r="I3" s="55">
        <f>G3*25</f>
        <v>16</v>
      </c>
      <c r="J3" s="55">
        <f>G3*35</f>
        <v>22.400000000000002</v>
      </c>
      <c r="K3" s="56">
        <f>G3*45</f>
        <v>28.8</v>
      </c>
    </row>
    <row r="4" spans="2:11" x14ac:dyDescent="0.35">
      <c r="B4" s="186" t="s">
        <v>365</v>
      </c>
      <c r="C4" s="117" t="s">
        <v>369</v>
      </c>
      <c r="D4" s="117">
        <v>-0.23</v>
      </c>
      <c r="E4" s="117">
        <v>0.19</v>
      </c>
      <c r="F4" s="117">
        <v>0.73</v>
      </c>
      <c r="G4" s="117">
        <v>0.98</v>
      </c>
      <c r="H4" s="121">
        <f>DCF!C20</f>
        <v>10.474991206248124</v>
      </c>
      <c r="I4" s="55">
        <f>G4*25</f>
        <v>24.5</v>
      </c>
      <c r="J4" s="55">
        <f>G4*35</f>
        <v>34.299999999999997</v>
      </c>
      <c r="K4" s="56">
        <f>G4*45</f>
        <v>44.1</v>
      </c>
    </row>
    <row r="5" spans="2:11" x14ac:dyDescent="0.35">
      <c r="B5" s="187" t="s">
        <v>366</v>
      </c>
      <c r="C5" s="118" t="s">
        <v>370</v>
      </c>
      <c r="D5" s="118">
        <v>-0.17</v>
      </c>
      <c r="E5" s="118">
        <v>0.32</v>
      </c>
      <c r="F5" s="118">
        <v>0.88</v>
      </c>
      <c r="G5" s="118">
        <v>1.1499999999999999</v>
      </c>
      <c r="H5" s="122">
        <f>DCF!F27</f>
        <v>14.349690934444725</v>
      </c>
      <c r="I5" s="61">
        <f>G5*25</f>
        <v>28.749999999999996</v>
      </c>
      <c r="J5" s="61">
        <f>G5*35</f>
        <v>40.25</v>
      </c>
      <c r="K5" s="80">
        <f>G5*45</f>
        <v>51.749999999999993</v>
      </c>
    </row>
    <row r="7" spans="2:11" x14ac:dyDescent="0.35">
      <c r="B7" s="117" t="s">
        <v>325</v>
      </c>
      <c r="C7" s="123" t="s">
        <v>373</v>
      </c>
    </row>
    <row r="8" spans="2:11" x14ac:dyDescent="0.35">
      <c r="C8" s="123" t="s">
        <v>374</v>
      </c>
    </row>
    <row r="10" spans="2:11" x14ac:dyDescent="0.35">
      <c r="B10" s="204" t="s">
        <v>416</v>
      </c>
      <c r="C10" s="205" t="s">
        <v>278</v>
      </c>
      <c r="D10" s="206" t="s">
        <v>230</v>
      </c>
      <c r="E10" s="206" t="s">
        <v>284</v>
      </c>
      <c r="F10" s="206" t="s">
        <v>285</v>
      </c>
      <c r="G10" s="207" t="s">
        <v>355</v>
      </c>
    </row>
    <row r="11" spans="2:11" x14ac:dyDescent="0.35">
      <c r="B11" s="202" t="s">
        <v>323</v>
      </c>
      <c r="C11" s="48">
        <f>DCF!C7</f>
        <v>-89198.844485209484</v>
      </c>
      <c r="D11" s="48">
        <f>DCF!D7</f>
        <v>-28189.526596107153</v>
      </c>
      <c r="E11" s="48">
        <f>DCF!E7</f>
        <v>21215.181696533335</v>
      </c>
      <c r="F11" s="48">
        <f>DCF!F7</f>
        <v>85412.7895380759</v>
      </c>
      <c r="G11" s="49">
        <f>DCF!G7</f>
        <v>116233.54570127689</v>
      </c>
    </row>
    <row r="12" spans="2:11" x14ac:dyDescent="0.35">
      <c r="B12" s="202" t="s">
        <v>9</v>
      </c>
      <c r="C12" s="48">
        <f>Forecast!G23</f>
        <v>76052.834535338683</v>
      </c>
      <c r="D12" s="48">
        <f>Forecast!I23</f>
        <v>91231.920323194427</v>
      </c>
      <c r="E12" s="48">
        <f>Forecast!J23</f>
        <v>105541.62491799079</v>
      </c>
      <c r="F12" s="48">
        <f>Forecast!K23</f>
        <v>120128.40041265076</v>
      </c>
      <c r="G12" s="49">
        <f>Forecast!L23</f>
        <v>134996.35725471211</v>
      </c>
      <c r="H12" s="219" t="s">
        <v>417</v>
      </c>
    </row>
    <row r="13" spans="2:11" x14ac:dyDescent="0.35">
      <c r="B13" s="202" t="s">
        <v>249</v>
      </c>
      <c r="C13" s="48">
        <f>Forecast!G33</f>
        <v>229687.16546466135</v>
      </c>
      <c r="D13" s="48">
        <f>Forecast!I33</f>
        <v>169955.2451414669</v>
      </c>
      <c r="E13" s="48">
        <f>Forecast!J33</f>
        <v>135815.55462836192</v>
      </c>
      <c r="F13" s="48">
        <f>Forecast!K33</f>
        <v>70076.844728816141</v>
      </c>
      <c r="G13" s="49">
        <f>Forecast!L33</f>
        <v>21069.197373649804</v>
      </c>
    </row>
    <row r="14" spans="2:11" x14ac:dyDescent="0.35">
      <c r="B14" s="202" t="s">
        <v>217</v>
      </c>
      <c r="C14" s="48">
        <f>Forecast!G34</f>
        <v>-53495.574048786788</v>
      </c>
      <c r="D14" s="48">
        <f>Forecast!I34</f>
        <v>-59300.748210076381</v>
      </c>
      <c r="E14" s="48">
        <f>Forecast!J34</f>
        <v>-68602.056196694015</v>
      </c>
      <c r="F14" s="48">
        <f>Forecast!K34</f>
        <v>-78083.460268222989</v>
      </c>
      <c r="G14" s="49">
        <f>Forecast!L34</f>
        <v>-87747.632215562888</v>
      </c>
      <c r="H14" s="48"/>
    </row>
    <row r="15" spans="2:11" x14ac:dyDescent="0.35">
      <c r="B15" s="202" t="s">
        <v>415</v>
      </c>
      <c r="C15" s="48">
        <f>SUM(C12:C14)</f>
        <v>252244.42595121323</v>
      </c>
      <c r="D15" s="48">
        <f t="shared" ref="D15:E15" si="0">SUM(D12:D14)</f>
        <v>201886.41725458493</v>
      </c>
      <c r="E15" s="48">
        <f t="shared" si="0"/>
        <v>172755.12334965868</v>
      </c>
      <c r="F15" s="48">
        <f>150000</f>
        <v>150000</v>
      </c>
      <c r="G15" s="49">
        <f>150000</f>
        <v>150000</v>
      </c>
      <c r="H15" s="219" t="s">
        <v>418</v>
      </c>
    </row>
    <row r="16" spans="2:11" x14ac:dyDescent="0.35">
      <c r="B16" s="203" t="s">
        <v>419</v>
      </c>
      <c r="C16" s="200">
        <f>(C11/C15)*100</f>
        <v>-35.362067625019193</v>
      </c>
      <c r="D16" s="200">
        <f t="shared" ref="D16:G16" si="1">(D11/D15)*100</f>
        <v>-13.963062488032218</v>
      </c>
      <c r="E16" s="200">
        <f t="shared" si="1"/>
        <v>12.280493501540631</v>
      </c>
      <c r="F16" s="200">
        <f t="shared" si="1"/>
        <v>56.941859692050599</v>
      </c>
      <c r="G16" s="201">
        <f t="shared" si="1"/>
        <v>77.489030467517921</v>
      </c>
    </row>
    <row r="19" spans="2:6" x14ac:dyDescent="0.35">
      <c r="B19" s="214" t="s">
        <v>426</v>
      </c>
      <c r="C19" s="64"/>
      <c r="D19" s="64"/>
      <c r="E19" s="64"/>
      <c r="F19" s="65"/>
    </row>
    <row r="20" spans="2:6" x14ac:dyDescent="0.35">
      <c r="B20" s="19"/>
      <c r="F20" s="5"/>
    </row>
    <row r="21" spans="2:6" x14ac:dyDescent="0.35">
      <c r="B21" s="213" t="s">
        <v>358</v>
      </c>
      <c r="C21" s="211" t="s">
        <v>427</v>
      </c>
      <c r="D21" s="211" t="s">
        <v>400</v>
      </c>
      <c r="E21" s="211" t="s">
        <v>428</v>
      </c>
      <c r="F21" s="212" t="s">
        <v>429</v>
      </c>
    </row>
    <row r="22" spans="2:6" x14ac:dyDescent="0.35">
      <c r="B22" s="75" t="s">
        <v>364</v>
      </c>
      <c r="C22" s="218">
        <v>0.5</v>
      </c>
      <c r="D22" s="155">
        <f>H3</f>
        <v>8.9650814861501011</v>
      </c>
      <c r="E22" s="208">
        <f>(D22/14)-1</f>
        <v>-0.35963703670356417</v>
      </c>
      <c r="F22" s="210">
        <f>E22*C22</f>
        <v>-0.17981851835178209</v>
      </c>
    </row>
    <row r="23" spans="2:6" x14ac:dyDescent="0.35">
      <c r="B23" s="75" t="s">
        <v>365</v>
      </c>
      <c r="C23" s="218">
        <v>0.35</v>
      </c>
      <c r="D23" s="155">
        <f>H4</f>
        <v>10.474991206248124</v>
      </c>
      <c r="E23" s="208">
        <f t="shared" ref="E23:E24" si="2">(D23/14)-1</f>
        <v>-0.2517863424108483</v>
      </c>
      <c r="F23" s="210">
        <f t="shared" ref="F23:F24" si="3">E23*C23</f>
        <v>-8.8125219843796898E-2</v>
      </c>
    </row>
    <row r="24" spans="2:6" x14ac:dyDescent="0.35">
      <c r="B24" s="75" t="s">
        <v>366</v>
      </c>
      <c r="C24" s="218">
        <v>0.15</v>
      </c>
      <c r="D24" s="155">
        <f>H5</f>
        <v>14.349690934444725</v>
      </c>
      <c r="E24" s="208">
        <f t="shared" si="2"/>
        <v>2.4977923888908959E-2</v>
      </c>
      <c r="F24" s="210">
        <f t="shared" si="3"/>
        <v>3.7466885833363438E-3</v>
      </c>
    </row>
    <row r="25" spans="2:6" x14ac:dyDescent="0.35">
      <c r="B25" s="19"/>
      <c r="D25" s="215"/>
      <c r="E25" s="215"/>
      <c r="F25" s="5"/>
    </row>
    <row r="26" spans="2:6" x14ac:dyDescent="0.35">
      <c r="B26" s="213" t="s">
        <v>430</v>
      </c>
      <c r="C26" s="20"/>
      <c r="D26" s="216">
        <f>D22*C22+D23*C23+D24*C24</f>
        <v>10.301241305428603</v>
      </c>
      <c r="E26" s="217">
        <f>SUM(F22:F24)</f>
        <v>-0.26419704961224266</v>
      </c>
      <c r="F26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7762-845E-49FC-9FA1-DBC18EE75013}">
  <dimension ref="B2:O57"/>
  <sheetViews>
    <sheetView showGridLines="0" topLeftCell="A39" zoomScale="80" zoomScaleNormal="80" workbookViewId="0">
      <selection activeCell="O16" sqref="O16"/>
    </sheetView>
  </sheetViews>
  <sheetFormatPr defaultRowHeight="14.5" x14ac:dyDescent="0.35"/>
  <cols>
    <col min="2" max="2" width="28.7265625" style="36" bestFit="1" customWidth="1"/>
    <col min="3" max="6" width="12.453125" bestFit="1" customWidth="1"/>
    <col min="7" max="7" width="17.1796875" bestFit="1" customWidth="1"/>
    <col min="8" max="11" width="12.453125" bestFit="1" customWidth="1"/>
    <col min="12" max="12" width="17.1796875" bestFit="1" customWidth="1"/>
    <col min="13" max="13" width="12.453125" bestFit="1" customWidth="1"/>
    <col min="14" max="14" width="9.08984375" bestFit="1" customWidth="1"/>
    <col min="15" max="15" width="69" bestFit="1" customWidth="1"/>
  </cols>
  <sheetData>
    <row r="2" spans="2:15" x14ac:dyDescent="0.35">
      <c r="B2" s="188" t="s">
        <v>45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6" t="s">
        <v>40</v>
      </c>
      <c r="N2" s="7" t="s">
        <v>193</v>
      </c>
      <c r="O2" t="s">
        <v>42</v>
      </c>
    </row>
    <row r="3" spans="2:15" x14ac:dyDescent="0.35">
      <c r="B3" s="189" t="s">
        <v>2</v>
      </c>
      <c r="C3" s="8">
        <v>125062</v>
      </c>
      <c r="D3" s="8">
        <v>152525</v>
      </c>
      <c r="E3" s="8">
        <v>153428</v>
      </c>
      <c r="F3" s="8">
        <v>584041</v>
      </c>
      <c r="G3" s="11">
        <f>F3-SUM(C3:E3)</f>
        <v>153026</v>
      </c>
      <c r="H3" s="8">
        <v>157850</v>
      </c>
      <c r="I3" s="8">
        <v>184641</v>
      </c>
      <c r="J3" s="8">
        <v>173431</v>
      </c>
      <c r="K3" s="8">
        <v>676826</v>
      </c>
      <c r="L3" s="11">
        <f>K3-SUM(H3:J3)</f>
        <v>160904</v>
      </c>
      <c r="M3" s="8">
        <v>166304</v>
      </c>
      <c r="N3" s="3">
        <f>M3+J3+I3+L3</f>
        <v>685280</v>
      </c>
      <c r="O3" t="s">
        <v>43</v>
      </c>
    </row>
    <row r="4" spans="2:15" x14ac:dyDescent="0.35">
      <c r="B4" s="189" t="s">
        <v>3</v>
      </c>
      <c r="C4" s="8">
        <v>35587</v>
      </c>
      <c r="D4" s="8">
        <v>40992</v>
      </c>
      <c r="E4" s="8">
        <v>41754</v>
      </c>
      <c r="F4" s="8">
        <v>161725</v>
      </c>
      <c r="G4" s="11">
        <f t="shared" ref="G4:G7" si="0">F4-SUM(C4:E4)</f>
        <v>43392</v>
      </c>
      <c r="H4" s="8">
        <v>43718</v>
      </c>
      <c r="I4" s="8">
        <v>49883</v>
      </c>
      <c r="J4" s="8">
        <v>47706</v>
      </c>
      <c r="K4" s="8">
        <v>185367</v>
      </c>
      <c r="L4" s="11">
        <f t="shared" ref="L4:L24" si="1">K4-SUM(H4:J4)</f>
        <v>44060</v>
      </c>
      <c r="M4" s="8">
        <v>43992</v>
      </c>
      <c r="N4" s="3">
        <f t="shared" ref="N4:N7" si="2">M4+J4+I4+L4</f>
        <v>185641</v>
      </c>
    </row>
    <row r="5" spans="2:15" x14ac:dyDescent="0.35">
      <c r="B5" s="189" t="s">
        <v>4</v>
      </c>
      <c r="C5" s="8">
        <v>39243</v>
      </c>
      <c r="D5" s="8">
        <v>43513</v>
      </c>
      <c r="E5" s="8">
        <v>43750</v>
      </c>
      <c r="F5" s="8">
        <v>171306</v>
      </c>
      <c r="G5" s="11">
        <f t="shared" si="0"/>
        <v>44800</v>
      </c>
      <c r="H5" s="8">
        <v>45766</v>
      </c>
      <c r="I5" s="8">
        <v>49668</v>
      </c>
      <c r="J5" s="8">
        <v>47520</v>
      </c>
      <c r="K5" s="8">
        <v>188867</v>
      </c>
      <c r="L5" s="11">
        <f t="shared" si="1"/>
        <v>45913</v>
      </c>
      <c r="M5" s="8">
        <v>48071</v>
      </c>
      <c r="N5" s="3">
        <f t="shared" si="2"/>
        <v>191172</v>
      </c>
    </row>
    <row r="6" spans="2:15" x14ac:dyDescent="0.35">
      <c r="B6" s="189" t="s">
        <v>5</v>
      </c>
      <c r="C6" s="8">
        <v>12630</v>
      </c>
      <c r="D6" s="8">
        <v>13526</v>
      </c>
      <c r="E6" s="8">
        <v>13961</v>
      </c>
      <c r="F6" s="8">
        <v>54281</v>
      </c>
      <c r="G6" s="11">
        <f t="shared" si="0"/>
        <v>14164</v>
      </c>
      <c r="H6" s="8">
        <v>14448</v>
      </c>
      <c r="I6" s="8">
        <v>15021</v>
      </c>
      <c r="J6" s="8">
        <v>15054</v>
      </c>
      <c r="K6" s="8">
        <v>59536</v>
      </c>
      <c r="L6" s="11">
        <f t="shared" si="1"/>
        <v>15013</v>
      </c>
      <c r="M6" s="8">
        <v>15674</v>
      </c>
      <c r="N6" s="3">
        <f t="shared" si="2"/>
        <v>60762</v>
      </c>
    </row>
    <row r="7" spans="2:15" x14ac:dyDescent="0.35">
      <c r="B7" s="189" t="s">
        <v>6</v>
      </c>
      <c r="C7" s="8">
        <v>108125</v>
      </c>
      <c r="D7" s="8">
        <v>121436</v>
      </c>
      <c r="E7" s="8">
        <v>124315</v>
      </c>
      <c r="F7" s="8">
        <v>482121</v>
      </c>
      <c r="G7" s="11">
        <f t="shared" si="0"/>
        <v>128245</v>
      </c>
      <c r="H7" s="8">
        <v>129313</v>
      </c>
      <c r="I7" s="8">
        <v>143122</v>
      </c>
      <c r="J7" s="8">
        <v>138490</v>
      </c>
      <c r="K7" s="8">
        <v>543877</v>
      </c>
      <c r="L7" s="11">
        <f t="shared" si="1"/>
        <v>132952</v>
      </c>
      <c r="M7" s="8">
        <v>136617</v>
      </c>
      <c r="N7" s="3">
        <f t="shared" si="2"/>
        <v>551181</v>
      </c>
    </row>
    <row r="8" spans="2:15" x14ac:dyDescent="0.35">
      <c r="B8" s="190" t="s">
        <v>7</v>
      </c>
      <c r="C8" s="12">
        <f t="shared" ref="C8:K8" si="3">C3-C7</f>
        <v>16937</v>
      </c>
      <c r="D8" s="12">
        <f t="shared" si="3"/>
        <v>31089</v>
      </c>
      <c r="E8" s="12">
        <f t="shared" si="3"/>
        <v>29113</v>
      </c>
      <c r="F8" s="12">
        <f t="shared" si="3"/>
        <v>101920</v>
      </c>
      <c r="G8" s="13">
        <f>F8-C8-D8-E8</f>
        <v>24781</v>
      </c>
      <c r="H8" s="12">
        <f t="shared" si="3"/>
        <v>28537</v>
      </c>
      <c r="I8" s="12">
        <f t="shared" si="3"/>
        <v>41519</v>
      </c>
      <c r="J8" s="12">
        <f t="shared" si="3"/>
        <v>34941</v>
      </c>
      <c r="K8" s="12">
        <f t="shared" si="3"/>
        <v>132949</v>
      </c>
      <c r="L8" s="13">
        <f>K8-H8-I8-J8</f>
        <v>27952</v>
      </c>
      <c r="M8" s="12">
        <f>M3-M7</f>
        <v>29687</v>
      </c>
      <c r="N8" s="4">
        <f>N3-N7</f>
        <v>134099</v>
      </c>
    </row>
    <row r="9" spans="2:15" x14ac:dyDescent="0.35">
      <c r="B9" s="189" t="s">
        <v>8</v>
      </c>
      <c r="C9" s="8">
        <v>34907</v>
      </c>
      <c r="D9" s="8">
        <v>40350</v>
      </c>
      <c r="E9" s="8">
        <v>35963</v>
      </c>
      <c r="F9" s="8">
        <v>146672</v>
      </c>
      <c r="G9" s="11">
        <f>F9-SUM(C9:E9)</f>
        <v>35452</v>
      </c>
      <c r="H9" s="8">
        <v>36865</v>
      </c>
      <c r="I9" s="8">
        <v>39202</v>
      </c>
      <c r="J9" s="8">
        <v>36777</v>
      </c>
      <c r="K9" s="8">
        <v>149942</v>
      </c>
      <c r="L9" s="11">
        <f t="shared" si="1"/>
        <v>37098</v>
      </c>
      <c r="M9" s="8">
        <v>38337</v>
      </c>
      <c r="N9" s="3"/>
    </row>
    <row r="10" spans="2:15" x14ac:dyDescent="0.35">
      <c r="B10" s="189" t="s">
        <v>9</v>
      </c>
      <c r="C10" s="8">
        <v>13110</v>
      </c>
      <c r="D10" s="8">
        <v>14518</v>
      </c>
      <c r="E10" s="8">
        <v>15682</v>
      </c>
      <c r="F10" s="8">
        <v>59491</v>
      </c>
      <c r="G10" s="11">
        <f t="shared" ref="G10:G15" si="4">F10-SUM(C10:E10)</f>
        <v>16181</v>
      </c>
      <c r="H10" s="8">
        <v>16427</v>
      </c>
      <c r="I10" s="8">
        <v>16737</v>
      </c>
      <c r="J10" s="8">
        <v>16905</v>
      </c>
      <c r="K10" s="8">
        <v>67346</v>
      </c>
      <c r="L10" s="11">
        <f t="shared" si="1"/>
        <v>17277</v>
      </c>
      <c r="M10" s="8">
        <v>17106</v>
      </c>
      <c r="N10" s="3"/>
    </row>
    <row r="11" spans="2:15" x14ac:dyDescent="0.35">
      <c r="B11" s="189" t="s">
        <v>10</v>
      </c>
      <c r="C11" s="8">
        <v>3366</v>
      </c>
      <c r="D11" s="8">
        <v>2302</v>
      </c>
      <c r="E11" s="8">
        <v>2522</v>
      </c>
      <c r="F11" s="8">
        <v>9263</v>
      </c>
      <c r="G11" s="11">
        <f t="shared" si="4"/>
        <v>1073</v>
      </c>
      <c r="H11" s="8">
        <v>1432</v>
      </c>
      <c r="I11" s="8">
        <v>1104</v>
      </c>
      <c r="J11" s="8">
        <v>1759</v>
      </c>
      <c r="K11" s="8">
        <v>6616</v>
      </c>
      <c r="L11" s="11">
        <f t="shared" si="1"/>
        <v>2321</v>
      </c>
      <c r="M11" s="8">
        <v>1696</v>
      </c>
      <c r="N11" s="3"/>
    </row>
    <row r="12" spans="2:15" x14ac:dyDescent="0.35">
      <c r="B12" s="189" t="s">
        <v>11</v>
      </c>
      <c r="C12" s="8">
        <v>190</v>
      </c>
      <c r="D12" s="8">
        <v>157</v>
      </c>
      <c r="E12" s="8">
        <v>132</v>
      </c>
      <c r="F12" s="8">
        <v>624</v>
      </c>
      <c r="G12" s="11">
        <f t="shared" si="4"/>
        <v>145</v>
      </c>
      <c r="H12" s="8">
        <v>157</v>
      </c>
      <c r="I12" s="8">
        <v>117</v>
      </c>
      <c r="J12" s="8">
        <v>114</v>
      </c>
      <c r="K12" s="8">
        <v>2218</v>
      </c>
      <c r="L12" s="11">
        <f t="shared" si="1"/>
        <v>1830</v>
      </c>
      <c r="M12" s="8">
        <v>94</v>
      </c>
      <c r="N12" s="3"/>
    </row>
    <row r="13" spans="2:15" x14ac:dyDescent="0.35">
      <c r="B13" s="189" t="s">
        <v>12</v>
      </c>
      <c r="C13" s="8">
        <v>48</v>
      </c>
      <c r="D13" s="8">
        <v>10</v>
      </c>
      <c r="E13" s="8">
        <v>489</v>
      </c>
      <c r="F13" s="8">
        <v>687</v>
      </c>
      <c r="G13" s="11">
        <f t="shared" si="4"/>
        <v>140</v>
      </c>
      <c r="H13" s="8">
        <v>66</v>
      </c>
      <c r="I13" s="8">
        <v>49</v>
      </c>
      <c r="J13" s="8">
        <v>63</v>
      </c>
      <c r="K13" s="8">
        <v>255</v>
      </c>
      <c r="L13" s="11">
        <f t="shared" si="1"/>
        <v>77</v>
      </c>
      <c r="M13" s="8">
        <v>86</v>
      </c>
      <c r="N13" s="3"/>
    </row>
    <row r="14" spans="2:15" x14ac:dyDescent="0.35">
      <c r="B14" s="189" t="s">
        <v>13</v>
      </c>
      <c r="C14" s="8">
        <v>638</v>
      </c>
      <c r="D14" s="8">
        <v>4998</v>
      </c>
      <c r="E14" s="8">
        <v>812</v>
      </c>
      <c r="F14" s="8">
        <v>7437</v>
      </c>
      <c r="G14" s="11">
        <f t="shared" si="4"/>
        <v>989</v>
      </c>
      <c r="H14" s="8">
        <v>505</v>
      </c>
      <c r="I14" s="8">
        <v>494</v>
      </c>
      <c r="J14" s="8">
        <v>498</v>
      </c>
      <c r="K14" s="8">
        <v>2276</v>
      </c>
      <c r="L14" s="11">
        <f t="shared" si="1"/>
        <v>779</v>
      </c>
      <c r="M14" s="8">
        <v>905</v>
      </c>
      <c r="N14" s="3"/>
    </row>
    <row r="15" spans="2:15" x14ac:dyDescent="0.35">
      <c r="B15" s="189" t="s">
        <v>14</v>
      </c>
      <c r="C15" s="8">
        <v>52259</v>
      </c>
      <c r="D15" s="8">
        <v>62335</v>
      </c>
      <c r="E15" s="8">
        <v>55600</v>
      </c>
      <c r="F15" s="8">
        <v>224264</v>
      </c>
      <c r="G15" s="11">
        <f t="shared" si="4"/>
        <v>54070</v>
      </c>
      <c r="H15" s="8">
        <v>55452</v>
      </c>
      <c r="I15" s="8">
        <v>57703</v>
      </c>
      <c r="J15" s="8">
        <v>56116</v>
      </c>
      <c r="K15" s="8">
        <v>228653</v>
      </c>
      <c r="L15" s="11">
        <f t="shared" si="1"/>
        <v>59382</v>
      </c>
      <c r="M15" s="8">
        <v>58224</v>
      </c>
      <c r="N15" s="3">
        <f>M15+L15+J15+I15</f>
        <v>231425</v>
      </c>
    </row>
    <row r="16" spans="2:15" x14ac:dyDescent="0.35">
      <c r="B16" s="190" t="s">
        <v>320</v>
      </c>
      <c r="C16" s="14">
        <v>-35322</v>
      </c>
      <c r="D16" s="14">
        <v>-31246</v>
      </c>
      <c r="E16" s="14">
        <v>-26487</v>
      </c>
      <c r="F16" s="14">
        <v>-122344</v>
      </c>
      <c r="G16" s="13">
        <f t="shared" ref="G16:G24" si="5">F16-SUM(C16:E16)</f>
        <v>-29289</v>
      </c>
      <c r="H16" s="14">
        <v>-26915</v>
      </c>
      <c r="I16" s="14">
        <v>-16184</v>
      </c>
      <c r="J16" s="14">
        <v>-21175</v>
      </c>
      <c r="K16" s="14">
        <v>-95704</v>
      </c>
      <c r="L16" s="13">
        <f t="shared" si="1"/>
        <v>-31430</v>
      </c>
      <c r="M16" s="14">
        <v>-28537</v>
      </c>
      <c r="N16" s="4">
        <f t="shared" ref="N16:N22" si="6">M16+L16+J16+I16</f>
        <v>-97326</v>
      </c>
    </row>
    <row r="17" spans="2:14" x14ac:dyDescent="0.35">
      <c r="B17" s="190" t="s">
        <v>44</v>
      </c>
      <c r="C17" s="12">
        <f>C16*(1-0%)</f>
        <v>-35322</v>
      </c>
      <c r="D17" s="12">
        <f t="shared" ref="D17:M17" si="7">D16*(1-0%)</f>
        <v>-31246</v>
      </c>
      <c r="E17" s="12">
        <f t="shared" si="7"/>
        <v>-26487</v>
      </c>
      <c r="F17" s="12">
        <f t="shared" si="7"/>
        <v>-122344</v>
      </c>
      <c r="G17" s="13">
        <f t="shared" si="7"/>
        <v>-29289</v>
      </c>
      <c r="H17" s="12">
        <f t="shared" si="7"/>
        <v>-26915</v>
      </c>
      <c r="I17" s="12">
        <f t="shared" si="7"/>
        <v>-16184</v>
      </c>
      <c r="J17" s="12">
        <f t="shared" si="7"/>
        <v>-21175</v>
      </c>
      <c r="K17" s="12">
        <f t="shared" si="7"/>
        <v>-95704</v>
      </c>
      <c r="L17" s="13">
        <f t="shared" si="7"/>
        <v>-31430</v>
      </c>
      <c r="M17" s="12">
        <f t="shared" si="7"/>
        <v>-28537</v>
      </c>
      <c r="N17" s="4">
        <f t="shared" si="6"/>
        <v>-97326</v>
      </c>
    </row>
    <row r="18" spans="2:14" x14ac:dyDescent="0.35">
      <c r="B18" s="189" t="s">
        <v>15</v>
      </c>
      <c r="C18" s="8">
        <f>-3062+21</f>
        <v>-3041</v>
      </c>
      <c r="D18" s="8">
        <f>-3251+18</f>
        <v>-3233</v>
      </c>
      <c r="E18" s="8">
        <f>-3381+19</f>
        <v>-3362</v>
      </c>
      <c r="F18" s="8">
        <f>-12942+128</f>
        <v>-12814</v>
      </c>
      <c r="G18" s="11">
        <f t="shared" si="5"/>
        <v>-3178</v>
      </c>
      <c r="H18" s="8">
        <f>-3016+19</f>
        <v>-2997</v>
      </c>
      <c r="I18" s="8">
        <f>-2920+197</f>
        <v>-2723</v>
      </c>
      <c r="J18" s="8">
        <f>-2754+26</f>
        <v>-2728</v>
      </c>
      <c r="K18" s="8">
        <f>-10942+256</f>
        <v>-10686</v>
      </c>
      <c r="L18" s="11">
        <f t="shared" si="1"/>
        <v>-2238</v>
      </c>
      <c r="M18" s="8">
        <v>-1903</v>
      </c>
      <c r="N18" s="3">
        <f t="shared" si="6"/>
        <v>-9592</v>
      </c>
    </row>
    <row r="19" spans="2:14" x14ac:dyDescent="0.35">
      <c r="B19" s="189" t="s">
        <v>16</v>
      </c>
      <c r="C19" s="8">
        <v>1058</v>
      </c>
      <c r="D19" s="8">
        <v>-1073</v>
      </c>
      <c r="E19" s="8">
        <v>1612</v>
      </c>
      <c r="F19" s="8">
        <v>3475</v>
      </c>
      <c r="G19" s="11">
        <f t="shared" si="5"/>
        <v>1878</v>
      </c>
      <c r="H19" s="8">
        <v>2059</v>
      </c>
      <c r="I19" s="8">
        <v>909</v>
      </c>
      <c r="J19" s="8">
        <v>2279</v>
      </c>
      <c r="K19" s="8">
        <v>6656</v>
      </c>
      <c r="L19" s="11">
        <f t="shared" si="1"/>
        <v>1409</v>
      </c>
      <c r="M19" s="8">
        <v>-1685</v>
      </c>
      <c r="N19" s="3">
        <f t="shared" si="6"/>
        <v>2912</v>
      </c>
    </row>
    <row r="20" spans="2:14" x14ac:dyDescent="0.35">
      <c r="B20" s="189" t="s">
        <v>17</v>
      </c>
      <c r="C20" s="8">
        <v>-33339</v>
      </c>
      <c r="D20" s="8">
        <v>-26940</v>
      </c>
      <c r="E20" s="8">
        <v>-24737</v>
      </c>
      <c r="F20" s="8">
        <f>-113005</f>
        <v>-113005</v>
      </c>
      <c r="G20" s="11">
        <f t="shared" si="5"/>
        <v>-27989</v>
      </c>
      <c r="H20" s="8">
        <v>-25977</v>
      </c>
      <c r="I20" s="8">
        <v>-14370</v>
      </c>
      <c r="J20" s="8">
        <v>-20726</v>
      </c>
      <c r="K20" s="8">
        <v>-91674</v>
      </c>
      <c r="L20" s="11">
        <f t="shared" si="1"/>
        <v>-30601</v>
      </c>
      <c r="M20" s="8">
        <v>-24949</v>
      </c>
      <c r="N20" s="3">
        <f t="shared" si="6"/>
        <v>-90646</v>
      </c>
    </row>
    <row r="21" spans="2:14" x14ac:dyDescent="0.35">
      <c r="B21" s="189" t="s">
        <v>18</v>
      </c>
      <c r="C21" s="8">
        <v>318</v>
      </c>
      <c r="D21" s="8">
        <v>318</v>
      </c>
      <c r="E21" s="8">
        <v>318</v>
      </c>
      <c r="F21" s="8">
        <v>379</v>
      </c>
      <c r="G21" s="11">
        <f t="shared" si="5"/>
        <v>-575</v>
      </c>
      <c r="H21" s="8">
        <v>90</v>
      </c>
      <c r="I21" s="8">
        <v>90</v>
      </c>
      <c r="J21" s="8">
        <v>90</v>
      </c>
      <c r="K21" s="8">
        <v>-1301</v>
      </c>
      <c r="L21" s="11">
        <f t="shared" si="1"/>
        <v>-1571</v>
      </c>
      <c r="M21" s="8">
        <v>90</v>
      </c>
      <c r="N21" s="3">
        <f t="shared" si="6"/>
        <v>-1301</v>
      </c>
    </row>
    <row r="22" spans="2:14" x14ac:dyDescent="0.35">
      <c r="B22" s="190" t="s">
        <v>19</v>
      </c>
      <c r="C22" s="14">
        <v>-33657</v>
      </c>
      <c r="D22" s="14">
        <v>-27258</v>
      </c>
      <c r="E22" s="14">
        <v>-25055</v>
      </c>
      <c r="F22" s="14">
        <v>-113384</v>
      </c>
      <c r="G22" s="13">
        <f>F22-C22-D22-E22</f>
        <v>-27414</v>
      </c>
      <c r="H22" s="14">
        <v>-26067</v>
      </c>
      <c r="I22" s="14">
        <v>-14460</v>
      </c>
      <c r="J22" s="14">
        <v>-20816</v>
      </c>
      <c r="K22" s="14">
        <v>-90373</v>
      </c>
      <c r="L22" s="13">
        <f t="shared" si="1"/>
        <v>-29030</v>
      </c>
      <c r="M22" s="14">
        <v>-25039</v>
      </c>
      <c r="N22" s="4">
        <f t="shared" si="6"/>
        <v>-89345</v>
      </c>
    </row>
    <row r="23" spans="2:14" x14ac:dyDescent="0.35">
      <c r="B23" s="190"/>
      <c r="C23" s="14"/>
      <c r="D23" s="14"/>
      <c r="E23" s="14"/>
      <c r="F23" s="14"/>
      <c r="G23" s="13"/>
      <c r="H23" s="14"/>
      <c r="I23" s="14"/>
      <c r="J23" s="14"/>
      <c r="K23" s="14"/>
      <c r="L23" s="13"/>
      <c r="M23" s="14"/>
      <c r="N23" s="4"/>
    </row>
    <row r="24" spans="2:14" x14ac:dyDescent="0.35">
      <c r="B24" s="189" t="s">
        <v>20</v>
      </c>
      <c r="C24" s="15">
        <v>-0.3</v>
      </c>
      <c r="D24" s="15">
        <v>-0.24</v>
      </c>
      <c r="E24" s="15">
        <v>-0.22</v>
      </c>
      <c r="F24" s="15">
        <v>-1.01</v>
      </c>
      <c r="G24" s="16">
        <f t="shared" si="5"/>
        <v>-0.25</v>
      </c>
      <c r="H24" s="15">
        <v>-0.23</v>
      </c>
      <c r="I24" s="15">
        <v>-0.13</v>
      </c>
      <c r="J24" s="15">
        <v>-0.18</v>
      </c>
      <c r="K24" s="15">
        <v>-0.79</v>
      </c>
      <c r="L24" s="16">
        <f t="shared" si="1"/>
        <v>-0.25</v>
      </c>
      <c r="M24" s="15">
        <v>-0.21</v>
      </c>
      <c r="N24" s="17"/>
    </row>
    <row r="25" spans="2:14" x14ac:dyDescent="0.35">
      <c r="B25" s="189" t="s">
        <v>21</v>
      </c>
      <c r="C25" s="8">
        <v>111297064</v>
      </c>
      <c r="D25" s="8">
        <v>111585282</v>
      </c>
      <c r="E25" s="8">
        <v>112179722</v>
      </c>
      <c r="F25" s="8">
        <v>111907675</v>
      </c>
      <c r="G25" s="11">
        <f>F25</f>
        <v>111907675</v>
      </c>
      <c r="H25" s="8">
        <v>112772776</v>
      </c>
      <c r="I25" s="8">
        <v>113580674</v>
      </c>
      <c r="J25" s="8">
        <v>114752307</v>
      </c>
      <c r="K25" s="8">
        <v>114321672</v>
      </c>
      <c r="L25" s="11">
        <f>K25</f>
        <v>114321672</v>
      </c>
      <c r="M25" s="8">
        <v>117307189</v>
      </c>
      <c r="N25" s="3"/>
    </row>
    <row r="26" spans="2:14" x14ac:dyDescent="0.35">
      <c r="B26" s="189"/>
      <c r="C26" s="8"/>
      <c r="D26" s="8"/>
      <c r="E26" s="8"/>
      <c r="F26" s="8"/>
      <c r="G26" s="11"/>
      <c r="H26" s="8"/>
      <c r="I26" s="8"/>
      <c r="J26" s="8"/>
      <c r="K26" s="8"/>
      <c r="L26" s="11"/>
      <c r="M26" s="8"/>
      <c r="N26" s="3"/>
    </row>
    <row r="27" spans="2:14" x14ac:dyDescent="0.35">
      <c r="B27" s="189" t="s">
        <v>197</v>
      </c>
      <c r="C27" s="8">
        <v>5064</v>
      </c>
      <c r="D27" s="8">
        <v>7816</v>
      </c>
      <c r="E27" s="8">
        <v>9891</v>
      </c>
      <c r="F27" s="8">
        <v>3052</v>
      </c>
      <c r="G27" s="11"/>
      <c r="H27" s="8">
        <v>5590</v>
      </c>
      <c r="I27" s="8">
        <v>6494</v>
      </c>
      <c r="J27" s="8">
        <v>7141</v>
      </c>
      <c r="K27" s="8">
        <v>5034</v>
      </c>
      <c r="L27" s="11"/>
      <c r="M27" s="8">
        <v>7912</v>
      </c>
      <c r="N27" s="3"/>
    </row>
    <row r="28" spans="2:14" x14ac:dyDescent="0.35">
      <c r="B28" s="189" t="s">
        <v>198</v>
      </c>
      <c r="C28" s="8">
        <v>1284</v>
      </c>
      <c r="D28" s="8">
        <v>3145</v>
      </c>
      <c r="E28" s="8">
        <v>3348</v>
      </c>
      <c r="F28" s="8">
        <v>2069</v>
      </c>
      <c r="G28" s="11"/>
      <c r="H28" s="8">
        <v>1854</v>
      </c>
      <c r="I28" s="8">
        <v>2038</v>
      </c>
      <c r="J28" s="8">
        <v>2103</v>
      </c>
      <c r="K28" s="8">
        <v>1987</v>
      </c>
      <c r="L28" s="11"/>
      <c r="M28" s="8">
        <v>2119</v>
      </c>
      <c r="N28" s="3"/>
    </row>
    <row r="29" spans="2:14" x14ac:dyDescent="0.35">
      <c r="B29" s="189" t="s">
        <v>199</v>
      </c>
      <c r="C29" s="8">
        <v>7537</v>
      </c>
      <c r="D29" s="8">
        <v>7614</v>
      </c>
      <c r="E29" s="8">
        <v>5975</v>
      </c>
      <c r="F29" s="8">
        <v>5767</v>
      </c>
      <c r="G29" s="11"/>
      <c r="H29" s="8">
        <v>6773</v>
      </c>
      <c r="I29" s="8">
        <v>7574</v>
      </c>
      <c r="J29" s="8">
        <v>6426</v>
      </c>
      <c r="K29" s="8">
        <v>7844</v>
      </c>
      <c r="L29" s="11"/>
      <c r="M29" s="8">
        <v>7293</v>
      </c>
      <c r="N29" s="3"/>
    </row>
    <row r="30" spans="2:14" x14ac:dyDescent="0.35">
      <c r="B30" s="189" t="s">
        <v>200</v>
      </c>
      <c r="C30" s="8">
        <v>8042</v>
      </c>
      <c r="D30" s="8">
        <v>7486</v>
      </c>
      <c r="E30" s="8">
        <v>4612</v>
      </c>
      <c r="F30" s="8">
        <v>7450</v>
      </c>
      <c r="G30" s="11"/>
      <c r="H30" s="8">
        <v>5622</v>
      </c>
      <c r="I30" s="8">
        <v>5007</v>
      </c>
      <c r="J30" s="8">
        <v>4918</v>
      </c>
      <c r="K30" s="8">
        <v>4790</v>
      </c>
      <c r="L30" s="11"/>
      <c r="M30" s="8">
        <v>4856</v>
      </c>
      <c r="N30" s="3"/>
    </row>
    <row r="31" spans="2:14" x14ac:dyDescent="0.35">
      <c r="B31" s="189" t="s">
        <v>201</v>
      </c>
      <c r="C31" s="8">
        <v>318848</v>
      </c>
      <c r="D31" s="8">
        <v>306487</v>
      </c>
      <c r="E31" s="8">
        <v>298662</v>
      </c>
      <c r="F31" s="8">
        <v>276111</v>
      </c>
      <c r="G31" s="11"/>
      <c r="H31" s="8">
        <v>263688</v>
      </c>
      <c r="I31" s="8">
        <v>265789</v>
      </c>
      <c r="J31" s="8">
        <v>255304</v>
      </c>
      <c r="K31" s="8">
        <v>234537</v>
      </c>
      <c r="L31" s="11"/>
      <c r="M31" s="8">
        <v>206166</v>
      </c>
      <c r="N31" s="3"/>
    </row>
    <row r="32" spans="2:14" x14ac:dyDescent="0.35">
      <c r="B32" s="189" t="s">
        <v>249</v>
      </c>
      <c r="C32" s="8">
        <v>246929</v>
      </c>
      <c r="D32" s="8">
        <v>259848</v>
      </c>
      <c r="E32" s="8">
        <v>264270</v>
      </c>
      <c r="F32" s="8">
        <v>266902</v>
      </c>
      <c r="G32" s="11"/>
      <c r="H32" s="8">
        <v>267132</v>
      </c>
      <c r="I32" s="8">
        <v>276278</v>
      </c>
      <c r="J32" s="8">
        <v>285279</v>
      </c>
      <c r="K32" s="8">
        <v>296485</v>
      </c>
      <c r="L32" s="11"/>
      <c r="M32" s="8">
        <v>298234</v>
      </c>
      <c r="N32" s="3"/>
    </row>
    <row r="33" spans="2:14" x14ac:dyDescent="0.35">
      <c r="B33" s="189" t="s">
        <v>202</v>
      </c>
      <c r="C33" s="8">
        <v>13124</v>
      </c>
      <c r="D33" s="8">
        <v>14657</v>
      </c>
      <c r="E33" s="8">
        <v>13609</v>
      </c>
      <c r="F33" s="8">
        <v>17380</v>
      </c>
      <c r="G33" s="11"/>
      <c r="H33" s="8">
        <v>19722</v>
      </c>
      <c r="I33" s="8">
        <v>21599</v>
      </c>
      <c r="J33" s="8">
        <v>18133</v>
      </c>
      <c r="K33" s="8">
        <v>18698</v>
      </c>
      <c r="L33" s="11"/>
      <c r="M33" s="8">
        <v>18365</v>
      </c>
      <c r="N33" s="3"/>
    </row>
    <row r="34" spans="2:14" x14ac:dyDescent="0.35">
      <c r="B34" s="189" t="s">
        <v>203</v>
      </c>
      <c r="C34" s="8">
        <v>20731</v>
      </c>
      <c r="D34" s="8">
        <v>21478</v>
      </c>
      <c r="E34" s="8">
        <v>21485</v>
      </c>
      <c r="F34" s="8">
        <v>20845</v>
      </c>
      <c r="G34" s="11"/>
      <c r="H34" s="8">
        <v>22003</v>
      </c>
      <c r="I34" s="8">
        <v>25426</v>
      </c>
      <c r="J34" s="8">
        <v>28080</v>
      </c>
      <c r="K34" s="8">
        <v>26564</v>
      </c>
      <c r="L34" s="11"/>
      <c r="M34" s="8">
        <v>25998</v>
      </c>
      <c r="N34" s="3"/>
    </row>
    <row r="35" spans="2:14" x14ac:dyDescent="0.35">
      <c r="B35" s="189" t="s">
        <v>204</v>
      </c>
      <c r="C35" s="8">
        <v>8757</v>
      </c>
      <c r="D35" s="8">
        <v>10518</v>
      </c>
      <c r="E35" s="8">
        <v>13514</v>
      </c>
      <c r="F35" s="8">
        <v>13131</v>
      </c>
      <c r="G35" s="11"/>
      <c r="H35" s="8">
        <v>10122</v>
      </c>
      <c r="I35" s="8">
        <v>13701</v>
      </c>
      <c r="J35" s="8">
        <v>13964</v>
      </c>
      <c r="K35" s="8">
        <v>14716</v>
      </c>
      <c r="L35" s="11"/>
      <c r="M35" s="8">
        <v>9194</v>
      </c>
      <c r="N35" s="3"/>
    </row>
    <row r="36" spans="2:14" x14ac:dyDescent="0.35">
      <c r="B36" s="189" t="s">
        <v>205</v>
      </c>
      <c r="C36" s="8">
        <v>1836</v>
      </c>
      <c r="D36" s="8">
        <v>1824</v>
      </c>
      <c r="E36" s="8">
        <v>1832</v>
      </c>
      <c r="F36" s="8">
        <v>2797</v>
      </c>
      <c r="G36" s="11"/>
      <c r="H36" s="8">
        <v>3137</v>
      </c>
      <c r="I36" s="8">
        <v>3378</v>
      </c>
      <c r="J36" s="8">
        <v>3672</v>
      </c>
      <c r="K36" s="8">
        <v>4413</v>
      </c>
      <c r="L36" s="11"/>
      <c r="M36" s="8">
        <v>4704</v>
      </c>
      <c r="N36" s="3"/>
    </row>
    <row r="37" spans="2:14" x14ac:dyDescent="0.35">
      <c r="B37" s="189" t="s">
        <v>206</v>
      </c>
      <c r="C37" s="8">
        <v>0</v>
      </c>
      <c r="D37" s="8">
        <v>0</v>
      </c>
      <c r="E37" s="8">
        <v>0</v>
      </c>
      <c r="F37" s="8">
        <v>6000</v>
      </c>
      <c r="G37" s="11"/>
      <c r="H37" s="8">
        <v>0</v>
      </c>
      <c r="I37" s="8">
        <v>0</v>
      </c>
      <c r="J37" s="8">
        <v>0</v>
      </c>
      <c r="K37" s="8">
        <v>0</v>
      </c>
      <c r="L37" s="11"/>
      <c r="M37" s="8">
        <v>8858</v>
      </c>
      <c r="N37" s="3"/>
    </row>
    <row r="38" spans="2:14" x14ac:dyDescent="0.35">
      <c r="B38" s="189" t="s">
        <v>207</v>
      </c>
      <c r="C38" s="8">
        <v>73262</v>
      </c>
      <c r="D38" s="8">
        <v>78084</v>
      </c>
      <c r="E38" s="8">
        <v>81053</v>
      </c>
      <c r="F38" s="8">
        <v>91579</v>
      </c>
      <c r="G38" s="11"/>
      <c r="H38" s="8">
        <v>87332</v>
      </c>
      <c r="I38" s="8">
        <v>97619</v>
      </c>
      <c r="J38" s="8">
        <v>98522</v>
      </c>
      <c r="K38" s="8">
        <v>115827</v>
      </c>
      <c r="L38" s="11"/>
      <c r="M38" s="8">
        <v>104822</v>
      </c>
      <c r="N38" s="3"/>
    </row>
    <row r="39" spans="2:14" x14ac:dyDescent="0.35">
      <c r="B39" s="189"/>
      <c r="C39" s="8"/>
      <c r="D39" s="8"/>
      <c r="E39" s="8"/>
      <c r="F39" s="8"/>
      <c r="G39" s="11"/>
      <c r="H39" s="8"/>
      <c r="I39" s="8"/>
      <c r="J39" s="8"/>
      <c r="K39" s="8"/>
      <c r="L39" s="11"/>
      <c r="M39" s="8"/>
      <c r="N39" s="3"/>
    </row>
    <row r="40" spans="2:14" x14ac:dyDescent="0.35">
      <c r="B40" s="191" t="s">
        <v>208</v>
      </c>
      <c r="C40" s="13">
        <f>(C27+C28+C29+C30)-(C33+C34+C35+C36+C37)</f>
        <v>-22521</v>
      </c>
      <c r="D40" s="13">
        <f t="shared" ref="D40:M40" si="8">(D27+D28+D29+D30)-(D33+D34+D35+D36+D37)</f>
        <v>-22416</v>
      </c>
      <c r="E40" s="13">
        <f t="shared" si="8"/>
        <v>-26614</v>
      </c>
      <c r="F40" s="13">
        <f t="shared" si="8"/>
        <v>-41815</v>
      </c>
      <c r="G40" s="13"/>
      <c r="H40" s="13">
        <f t="shared" si="8"/>
        <v>-35145</v>
      </c>
      <c r="I40" s="13">
        <f t="shared" si="8"/>
        <v>-42991</v>
      </c>
      <c r="J40" s="13">
        <f t="shared" si="8"/>
        <v>-43261</v>
      </c>
      <c r="K40" s="13">
        <f t="shared" si="8"/>
        <v>-44736</v>
      </c>
      <c r="L40" s="13"/>
      <c r="M40" s="13">
        <f t="shared" si="8"/>
        <v>-44939</v>
      </c>
      <c r="N40" s="3"/>
    </row>
    <row r="41" spans="2:14" x14ac:dyDescent="0.35">
      <c r="B41" s="189"/>
      <c r="C41" s="8"/>
      <c r="D41" s="8"/>
      <c r="E41" s="8"/>
      <c r="F41" s="8"/>
      <c r="G41" s="11"/>
      <c r="H41" s="8"/>
      <c r="I41" s="8"/>
      <c r="J41" s="8"/>
      <c r="K41" s="8"/>
      <c r="L41" s="11"/>
      <c r="M41" s="8"/>
      <c r="N41" s="3"/>
    </row>
    <row r="42" spans="2:14" x14ac:dyDescent="0.35">
      <c r="B42" s="189" t="s">
        <v>22</v>
      </c>
      <c r="C42" s="8">
        <v>-3130</v>
      </c>
      <c r="D42" s="8">
        <v>4821</v>
      </c>
      <c r="E42" s="8">
        <v>17556</v>
      </c>
      <c r="F42" s="8">
        <v>26480</v>
      </c>
      <c r="G42" s="11">
        <f>F42-SUM(C42:E42)</f>
        <v>7233</v>
      </c>
      <c r="H42" s="8">
        <v>3426</v>
      </c>
      <c r="I42" s="8">
        <v>22542</v>
      </c>
      <c r="J42" s="8">
        <v>37271</v>
      </c>
      <c r="K42" s="8">
        <v>43390</v>
      </c>
      <c r="L42" s="11">
        <f>K42-SUM(H42:J42)</f>
        <v>-19849</v>
      </c>
      <c r="M42" s="8">
        <v>-13128</v>
      </c>
      <c r="N42" s="3">
        <f>M42+L42+J42+I42</f>
        <v>26836</v>
      </c>
    </row>
    <row r="43" spans="2:14" x14ac:dyDescent="0.35">
      <c r="B43" s="189" t="s">
        <v>23</v>
      </c>
      <c r="C43" s="8">
        <v>-30860</v>
      </c>
      <c r="D43" s="11">
        <f>-55767-C43</f>
        <v>-24907</v>
      </c>
      <c r="E43" s="11">
        <f>-74884-D43-C43</f>
        <v>-19117</v>
      </c>
      <c r="F43" s="8">
        <v>-89672</v>
      </c>
      <c r="G43" s="11">
        <f>F43-E43-D43-C43</f>
        <v>-14788</v>
      </c>
      <c r="H43" s="8">
        <v>-13410</v>
      </c>
      <c r="I43" s="11">
        <f>-32682-H43</f>
        <v>-19272</v>
      </c>
      <c r="J43" s="11">
        <f>-57739-H43-I43</f>
        <v>-25057</v>
      </c>
      <c r="K43" s="8">
        <v>-84457</v>
      </c>
      <c r="L43" s="11">
        <f>K43-J43-I43-H43</f>
        <v>-26718</v>
      </c>
      <c r="M43" s="8">
        <v>-16732</v>
      </c>
      <c r="N43" s="3">
        <f>M43+L43+J43+I43</f>
        <v>-87779</v>
      </c>
    </row>
    <row r="44" spans="2:14" x14ac:dyDescent="0.35">
      <c r="B44" s="189" t="s">
        <v>24</v>
      </c>
      <c r="C44" s="8">
        <v>296953</v>
      </c>
      <c r="D44" s="8">
        <v>280458</v>
      </c>
      <c r="E44" s="8">
        <v>274868</v>
      </c>
      <c r="F44" s="8">
        <v>257355</v>
      </c>
      <c r="G44" s="11"/>
      <c r="H44" s="8">
        <v>243881</v>
      </c>
      <c r="I44" s="8">
        <v>245158</v>
      </c>
      <c r="J44" s="8">
        <v>237263</v>
      </c>
      <c r="K44" s="8">
        <v>217429</v>
      </c>
      <c r="L44" s="11"/>
      <c r="M44" s="8">
        <v>186596</v>
      </c>
      <c r="N44" s="3"/>
    </row>
    <row r="45" spans="2:14" x14ac:dyDescent="0.35">
      <c r="B45" s="189" t="s">
        <v>302</v>
      </c>
      <c r="C45" s="8">
        <v>-705258</v>
      </c>
      <c r="D45" s="8">
        <v>-732516</v>
      </c>
      <c r="E45" s="8">
        <v>-757571</v>
      </c>
      <c r="F45" s="8">
        <v>-784985</v>
      </c>
      <c r="G45" s="11"/>
      <c r="H45" s="8">
        <v>-811052</v>
      </c>
      <c r="I45" s="8">
        <v>-825512</v>
      </c>
      <c r="J45" s="8">
        <v>-846328</v>
      </c>
      <c r="K45" s="8">
        <v>-875388</v>
      </c>
      <c r="L45" s="11"/>
      <c r="M45" s="8">
        <v>-900397</v>
      </c>
      <c r="N45" s="3"/>
    </row>
    <row r="46" spans="2:14" x14ac:dyDescent="0.35">
      <c r="B46" s="189" t="s">
        <v>0</v>
      </c>
      <c r="C46" s="8">
        <v>195</v>
      </c>
      <c r="D46" s="8"/>
      <c r="E46" s="8"/>
      <c r="F46" s="8">
        <v>224</v>
      </c>
      <c r="G46" s="11">
        <v>226</v>
      </c>
      <c r="H46" s="8">
        <v>227</v>
      </c>
      <c r="I46" s="8">
        <v>231</v>
      </c>
      <c r="J46" s="8">
        <v>236</v>
      </c>
      <c r="K46" s="8">
        <v>246</v>
      </c>
      <c r="L46" s="11">
        <f>246</f>
        <v>246</v>
      </c>
      <c r="M46" s="8">
        <v>251</v>
      </c>
      <c r="N46" s="3"/>
    </row>
    <row r="47" spans="2:14" x14ac:dyDescent="0.35">
      <c r="B47" s="189"/>
      <c r="C47" s="8"/>
      <c r="D47" s="8"/>
      <c r="E47" s="8"/>
      <c r="F47" s="8"/>
      <c r="G47" s="11"/>
      <c r="H47" s="8"/>
      <c r="I47" s="8"/>
      <c r="J47" s="8"/>
      <c r="K47" s="8"/>
      <c r="L47" s="11"/>
      <c r="M47" s="8"/>
      <c r="N47" s="3"/>
    </row>
    <row r="48" spans="2:14" x14ac:dyDescent="0.35">
      <c r="B48" s="189" t="s">
        <v>25</v>
      </c>
      <c r="C48" s="8">
        <v>9</v>
      </c>
      <c r="D48" s="8">
        <v>10</v>
      </c>
      <c r="E48" s="8">
        <v>15</v>
      </c>
      <c r="F48" s="8">
        <v>35</v>
      </c>
      <c r="G48" s="11">
        <v>1</v>
      </c>
      <c r="H48" s="8">
        <v>6</v>
      </c>
      <c r="I48" s="8">
        <v>4</v>
      </c>
      <c r="J48" s="8">
        <v>5</v>
      </c>
      <c r="K48" s="8">
        <v>25</v>
      </c>
      <c r="L48" s="11">
        <v>10</v>
      </c>
      <c r="M48" s="8">
        <v>5</v>
      </c>
      <c r="N48" s="3"/>
    </row>
    <row r="49" spans="2:15" x14ac:dyDescent="0.35">
      <c r="B49" s="189" t="s">
        <v>26</v>
      </c>
      <c r="C49" s="8">
        <v>2932</v>
      </c>
      <c r="D49" s="8">
        <v>2920</v>
      </c>
      <c r="E49" s="8">
        <v>2905</v>
      </c>
      <c r="F49" s="8">
        <v>2877</v>
      </c>
      <c r="G49" s="11"/>
      <c r="H49" s="8">
        <v>2889</v>
      </c>
      <c r="I49" s="8">
        <v>2925</v>
      </c>
      <c r="J49" s="8">
        <v>2907</v>
      </c>
      <c r="K49" s="8">
        <v>2924</v>
      </c>
      <c r="L49" s="11">
        <v>2924</v>
      </c>
      <c r="M49" s="8">
        <v>2907</v>
      </c>
      <c r="N49" s="3"/>
    </row>
    <row r="50" spans="2:15" x14ac:dyDescent="0.35">
      <c r="B50" s="189" t="s">
        <v>170</v>
      </c>
      <c r="C50" s="8">
        <v>5</v>
      </c>
      <c r="D50" s="8">
        <v>3</v>
      </c>
      <c r="E50" s="8">
        <v>4</v>
      </c>
      <c r="F50" s="8">
        <v>4</v>
      </c>
      <c r="G50" s="11"/>
      <c r="H50" s="8">
        <v>5</v>
      </c>
      <c r="I50" s="8">
        <v>9</v>
      </c>
      <c r="J50" s="8">
        <v>6</v>
      </c>
      <c r="K50" s="8">
        <v>6</v>
      </c>
      <c r="L50" s="11">
        <v>6</v>
      </c>
      <c r="M50" s="10">
        <v>-3.1</v>
      </c>
      <c r="N50" s="18">
        <f>((((I3*1.09)+(J3*1.06)+(L3*1.06)+(M3*0.969))-(H3+G3+E3+D3))/(H3+G3+E3+D3))*100</f>
        <v>16.207630639934251</v>
      </c>
      <c r="O50" s="1" t="s">
        <v>196</v>
      </c>
    </row>
    <row r="51" spans="2:15" x14ac:dyDescent="0.35">
      <c r="B51" s="189" t="s">
        <v>1</v>
      </c>
      <c r="C51" s="8">
        <v>61</v>
      </c>
      <c r="D51" s="8">
        <v>59</v>
      </c>
      <c r="E51" s="8">
        <v>58</v>
      </c>
      <c r="F51" s="8">
        <v>59</v>
      </c>
      <c r="G51" s="11"/>
      <c r="H51" s="10">
        <v>58.9</v>
      </c>
      <c r="I51" s="8">
        <v>56</v>
      </c>
      <c r="J51" s="8">
        <v>55</v>
      </c>
      <c r="K51" s="8">
        <v>56</v>
      </c>
      <c r="L51" s="11">
        <v>56</v>
      </c>
      <c r="M51" s="10">
        <v>59.9</v>
      </c>
      <c r="N51" s="9"/>
    </row>
    <row r="52" spans="2:15" x14ac:dyDescent="0.35">
      <c r="B52" s="189" t="s">
        <v>28</v>
      </c>
      <c r="C52" s="8">
        <v>14</v>
      </c>
      <c r="D52" s="8">
        <v>20</v>
      </c>
      <c r="E52" s="8">
        <v>19</v>
      </c>
      <c r="F52" s="8">
        <v>17</v>
      </c>
      <c r="G52" s="11"/>
      <c r="H52" s="10">
        <v>18.100000000000001</v>
      </c>
      <c r="I52" s="8">
        <v>22</v>
      </c>
      <c r="J52" s="8">
        <v>20</v>
      </c>
      <c r="K52" s="8">
        <v>20</v>
      </c>
      <c r="L52" s="11">
        <v>20</v>
      </c>
      <c r="M52" s="10">
        <v>17.899999999999999</v>
      </c>
      <c r="N52" s="9">
        <f>N8/N3*100</f>
        <v>19.56849754844735</v>
      </c>
    </row>
    <row r="53" spans="2:15" x14ac:dyDescent="0.35">
      <c r="B53" s="189" t="s">
        <v>27</v>
      </c>
      <c r="C53" s="8">
        <v>-6694</v>
      </c>
      <c r="D53" s="8">
        <v>3269</v>
      </c>
      <c r="E53" s="8">
        <v>2479</v>
      </c>
      <c r="F53" s="8">
        <v>-2795</v>
      </c>
      <c r="G53" s="11"/>
      <c r="H53" s="8">
        <v>113</v>
      </c>
      <c r="I53" s="8">
        <v>12357</v>
      </c>
      <c r="J53" s="8">
        <v>6810</v>
      </c>
      <c r="K53" s="8">
        <v>18708</v>
      </c>
      <c r="L53" s="11">
        <f>K53-J53-I53-H53</f>
        <v>-572</v>
      </c>
      <c r="M53" s="8">
        <v>285</v>
      </c>
      <c r="N53" s="3">
        <f>M53+L53+J53+I53</f>
        <v>18880</v>
      </c>
    </row>
    <row r="54" spans="2:15" x14ac:dyDescent="0.35">
      <c r="B54" s="189" t="s">
        <v>29</v>
      </c>
      <c r="C54" s="8">
        <v>-5</v>
      </c>
      <c r="D54" s="8">
        <v>2</v>
      </c>
      <c r="E54" s="8">
        <v>2</v>
      </c>
      <c r="F54" s="8">
        <v>0</v>
      </c>
      <c r="G54" s="11"/>
      <c r="H54" s="10">
        <v>0.1</v>
      </c>
      <c r="I54" s="8">
        <v>7</v>
      </c>
      <c r="J54" s="8">
        <v>4</v>
      </c>
      <c r="K54" s="8">
        <v>3</v>
      </c>
      <c r="L54" s="8"/>
      <c r="M54" s="10">
        <v>0.2</v>
      </c>
      <c r="N54" s="9">
        <f>N53/N3*100</f>
        <v>2.7550782162035956</v>
      </c>
    </row>
    <row r="55" spans="2:15" x14ac:dyDescent="0.35">
      <c r="B55" s="192"/>
      <c r="N55" s="5"/>
    </row>
    <row r="56" spans="2:15" x14ac:dyDescent="0.35">
      <c r="B56" s="192"/>
      <c r="N56" s="5"/>
    </row>
    <row r="57" spans="2:15" x14ac:dyDescent="0.35">
      <c r="B57" s="193" t="s">
        <v>41</v>
      </c>
      <c r="C57" s="22" t="s">
        <v>216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</row>
  </sheetData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BA9C-39DA-4626-A1D5-A42DED8C146D}">
  <dimension ref="B2:L22"/>
  <sheetViews>
    <sheetView showGridLines="0" topLeftCell="A3" zoomScale="90" zoomScaleNormal="90" workbookViewId="0">
      <selection activeCell="H18" sqref="H18"/>
    </sheetView>
  </sheetViews>
  <sheetFormatPr defaultRowHeight="14.5" x14ac:dyDescent="0.35"/>
  <cols>
    <col min="1" max="1" width="8.7265625" style="2"/>
    <col min="2" max="2" width="26.26953125" style="2" bestFit="1" customWidth="1"/>
    <col min="3" max="4" width="9.26953125" style="2" bestFit="1" customWidth="1"/>
    <col min="5" max="5" width="12.54296875" style="2" bestFit="1" customWidth="1"/>
    <col min="6" max="6" width="11.6328125" style="2" bestFit="1" customWidth="1"/>
    <col min="7" max="7" width="9.26953125" style="2" bestFit="1" customWidth="1"/>
    <col min="8" max="11" width="21.1796875" style="2" bestFit="1" customWidth="1"/>
    <col min="12" max="12" width="11.6328125" style="2" bestFit="1" customWidth="1"/>
    <col min="13" max="16384" width="8.7265625" style="2"/>
  </cols>
  <sheetData>
    <row r="2" spans="2:12" x14ac:dyDescent="0.35">
      <c r="B2" s="188" t="s">
        <v>209</v>
      </c>
      <c r="C2" s="6" t="s">
        <v>35</v>
      </c>
      <c r="D2" s="6" t="s">
        <v>36</v>
      </c>
      <c r="E2" s="6" t="s">
        <v>37</v>
      </c>
      <c r="F2" s="6" t="s">
        <v>210</v>
      </c>
      <c r="G2" s="6" t="s">
        <v>40</v>
      </c>
      <c r="H2" s="6" t="s">
        <v>218</v>
      </c>
      <c r="I2" s="6" t="s">
        <v>212</v>
      </c>
      <c r="J2" s="6" t="s">
        <v>213</v>
      </c>
      <c r="K2" s="7" t="s">
        <v>214</v>
      </c>
    </row>
    <row r="3" spans="2:12" x14ac:dyDescent="0.35">
      <c r="B3" s="189" t="s">
        <v>220</v>
      </c>
      <c r="C3" s="8">
        <f>Historical_Financials!H3</f>
        <v>157850</v>
      </c>
      <c r="D3" s="8">
        <f>Historical_Financials!I3</f>
        <v>184641</v>
      </c>
      <c r="E3" s="8">
        <f>Historical_Financials!J3</f>
        <v>173431</v>
      </c>
      <c r="F3" s="8">
        <f>Historical_Financials!L3</f>
        <v>160904</v>
      </c>
      <c r="G3" s="8">
        <f>Historical_Financials!M3</f>
        <v>166304</v>
      </c>
      <c r="H3" s="24">
        <f>((D3-C3)/C3)*100</f>
        <v>16.972442191954386</v>
      </c>
      <c r="I3" s="23">
        <f>((E3-D3)/D3)*100</f>
        <v>-6.0712409486517078</v>
      </c>
      <c r="J3" s="23">
        <f>((F3-E3)/E3)*100</f>
        <v>-7.2230454762989309</v>
      </c>
      <c r="K3" s="9">
        <f>((G3-F3)/F3)*100</f>
        <v>3.3560383831352856</v>
      </c>
    </row>
    <row r="4" spans="2:12" x14ac:dyDescent="0.35">
      <c r="B4" s="189" t="s">
        <v>225</v>
      </c>
      <c r="C4" s="8">
        <f>Historical_Financials!H43</f>
        <v>-13410</v>
      </c>
      <c r="D4" s="11">
        <f>Historical_Financials!I43</f>
        <v>-19272</v>
      </c>
      <c r="E4" s="11">
        <f>Historical_Financials!J43</f>
        <v>-25057</v>
      </c>
      <c r="F4" s="11">
        <f>Historical_Financials!L43</f>
        <v>-26718</v>
      </c>
      <c r="G4" s="8">
        <f>Historical_Financials!M43</f>
        <v>-16732</v>
      </c>
      <c r="H4" s="24">
        <f>((D4-C4)/C4)*100</f>
        <v>43.713646532438474</v>
      </c>
      <c r="I4" s="24">
        <f t="shared" ref="I4:K4" si="0">((E4-D4)/D4)*100</f>
        <v>30.017642175176423</v>
      </c>
      <c r="J4" s="24">
        <f t="shared" si="0"/>
        <v>6.6288861396017085</v>
      </c>
      <c r="K4" s="35">
        <f t="shared" si="0"/>
        <v>-37.375552062280107</v>
      </c>
    </row>
    <row r="5" spans="2:12" x14ac:dyDescent="0.35">
      <c r="B5" s="189" t="s">
        <v>28</v>
      </c>
      <c r="C5" s="10">
        <f>Historical_Financials!H52</f>
        <v>18.100000000000001</v>
      </c>
      <c r="D5" s="10">
        <f>Historical_Financials!I52</f>
        <v>22</v>
      </c>
      <c r="E5" s="10">
        <f>Historical_Financials!J52</f>
        <v>20</v>
      </c>
      <c r="F5" s="10">
        <f>Historical_Financials!L52</f>
        <v>20</v>
      </c>
      <c r="G5" s="10">
        <f>Historical_Financials!M52</f>
        <v>17.899999999999999</v>
      </c>
      <c r="H5" s="24">
        <f>D5-C5</f>
        <v>3.8999999999999986</v>
      </c>
      <c r="I5" s="23">
        <f>(E5-D5)</f>
        <v>-2</v>
      </c>
      <c r="J5" s="25">
        <f t="shared" ref="J5" si="1">(F5-E5)</f>
        <v>0</v>
      </c>
      <c r="K5" s="9">
        <f>(G5-F5)</f>
        <v>-2.1000000000000014</v>
      </c>
      <c r="L5" s="2" t="s">
        <v>219</v>
      </c>
    </row>
    <row r="6" spans="2:12" x14ac:dyDescent="0.35">
      <c r="B6" s="189" t="s">
        <v>221</v>
      </c>
      <c r="C6" s="8">
        <f>Historical_Financials!H53</f>
        <v>113</v>
      </c>
      <c r="D6" s="8">
        <f>Historical_Financials!I53</f>
        <v>12357</v>
      </c>
      <c r="E6" s="8">
        <f>Historical_Financials!J53</f>
        <v>6810</v>
      </c>
      <c r="F6" s="8">
        <f>Historical_Financials!L53</f>
        <v>-572</v>
      </c>
      <c r="G6" s="8">
        <f>Historical_Financials!M53</f>
        <v>285</v>
      </c>
      <c r="H6" s="24">
        <f>((D6-C6)/C6)*100</f>
        <v>10835.398230088495</v>
      </c>
      <c r="I6" s="23">
        <f>((E6-D6)/D6)*100</f>
        <v>-44.889536295217283</v>
      </c>
      <c r="J6" s="23">
        <f>((F6-E6)/E6)*100</f>
        <v>-108.39941262848751</v>
      </c>
      <c r="K6" s="9">
        <f>((G6-F6)/F6)*-100</f>
        <v>149.82517482517483</v>
      </c>
    </row>
    <row r="7" spans="2:12" x14ac:dyDescent="0.35">
      <c r="B7" s="189" t="s">
        <v>170</v>
      </c>
      <c r="C7" s="10">
        <f>Historical_Financials!H50</f>
        <v>5</v>
      </c>
      <c r="D7" s="10">
        <f>Historical_Financials!I50</f>
        <v>9</v>
      </c>
      <c r="E7" s="10">
        <f>Historical_Financials!J50</f>
        <v>6</v>
      </c>
      <c r="F7" s="10">
        <f>Historical_Financials!L50</f>
        <v>6</v>
      </c>
      <c r="G7" s="10">
        <f>Historical_Financials!M50</f>
        <v>-3.1</v>
      </c>
      <c r="H7" s="24">
        <f>D7-C7</f>
        <v>4</v>
      </c>
      <c r="I7" s="23">
        <f>(E7-D7)</f>
        <v>-3</v>
      </c>
      <c r="J7" s="23">
        <f t="shared" ref="J7:K8" si="2">(F7-E7)</f>
        <v>0</v>
      </c>
      <c r="K7" s="9">
        <f t="shared" si="2"/>
        <v>-9.1</v>
      </c>
      <c r="L7" s="2" t="s">
        <v>219</v>
      </c>
    </row>
    <row r="8" spans="2:12" x14ac:dyDescent="0.35">
      <c r="B8" s="189" t="s">
        <v>215</v>
      </c>
      <c r="C8" s="10">
        <f>Historical_Financials!H51</f>
        <v>58.9</v>
      </c>
      <c r="D8" s="10">
        <f>Historical_Financials!I51</f>
        <v>56</v>
      </c>
      <c r="E8" s="10">
        <f>Historical_Financials!J51</f>
        <v>55</v>
      </c>
      <c r="F8" s="10">
        <f>Historical_Financials!L51</f>
        <v>56</v>
      </c>
      <c r="G8" s="10">
        <f>Historical_Financials!M51</f>
        <v>59.9</v>
      </c>
      <c r="H8" s="24">
        <f>D8-C8</f>
        <v>-2.8999999999999986</v>
      </c>
      <c r="I8" s="23">
        <f>(E8-D8)</f>
        <v>-1</v>
      </c>
      <c r="J8" s="23">
        <f t="shared" si="2"/>
        <v>1</v>
      </c>
      <c r="K8" s="9">
        <f t="shared" si="2"/>
        <v>3.8999999999999986</v>
      </c>
      <c r="L8" s="2" t="s">
        <v>219</v>
      </c>
    </row>
    <row r="9" spans="2:12" x14ac:dyDescent="0.35">
      <c r="B9" s="189" t="s">
        <v>222</v>
      </c>
      <c r="C9" s="8">
        <f>Historical_Financials!H49</f>
        <v>2889</v>
      </c>
      <c r="D9" s="8">
        <f>Historical_Financials!I49</f>
        <v>2925</v>
      </c>
      <c r="E9" s="8">
        <f>Historical_Financials!J49</f>
        <v>2907</v>
      </c>
      <c r="F9" s="8">
        <f>Historical_Financials!L49</f>
        <v>2924</v>
      </c>
      <c r="G9" s="8">
        <f>Historical_Financials!M49</f>
        <v>2907</v>
      </c>
      <c r="H9" s="24">
        <f>((D9-C9)/C9)*100</f>
        <v>1.2461059190031152</v>
      </c>
      <c r="I9" s="23">
        <f>((E9-D9)/D9)*100</f>
        <v>-0.61538461538461542</v>
      </c>
      <c r="J9" s="23">
        <f t="shared" ref="J9:K9" si="3">((F9-E9)/E9)*100</f>
        <v>0.58479532163742687</v>
      </c>
      <c r="K9" s="9">
        <f t="shared" si="3"/>
        <v>-0.58139534883720934</v>
      </c>
    </row>
    <row r="10" spans="2:12" x14ac:dyDescent="0.35">
      <c r="B10" s="192" t="s">
        <v>0</v>
      </c>
      <c r="C10" s="8">
        <f>Historical_Financials!H46</f>
        <v>227</v>
      </c>
      <c r="D10" s="8">
        <f>Historical_Financials!I46</f>
        <v>231</v>
      </c>
      <c r="E10" s="8">
        <f>Historical_Financials!J46</f>
        <v>236</v>
      </c>
      <c r="F10" s="8">
        <f>Historical_Financials!L46</f>
        <v>246</v>
      </c>
      <c r="G10" s="8">
        <f>Historical_Financials!M46</f>
        <v>251</v>
      </c>
      <c r="H10" s="24">
        <f>((D10-C10)/C10)*100</f>
        <v>1.7621145374449341</v>
      </c>
      <c r="I10" s="26">
        <f>((E10-D10)/D10)*100</f>
        <v>2.1645021645021645</v>
      </c>
      <c r="J10" s="26">
        <f t="shared" ref="J10:K10" si="4">((F10-E10)/E10)*100</f>
        <v>4.2372881355932197</v>
      </c>
      <c r="K10" s="27">
        <f t="shared" si="4"/>
        <v>2.0325203252032518</v>
      </c>
    </row>
    <row r="11" spans="2:12" x14ac:dyDescent="0.35">
      <c r="B11" s="194" t="s">
        <v>223</v>
      </c>
      <c r="C11" s="28">
        <f>Historical_Financials!H40</f>
        <v>-35145</v>
      </c>
      <c r="D11" s="28">
        <f>Historical_Financials!I40</f>
        <v>-42991</v>
      </c>
      <c r="E11" s="28">
        <f>Historical_Financials!J40</f>
        <v>-43261</v>
      </c>
      <c r="F11" s="28">
        <f>Historical_Financials!K40</f>
        <v>-44736</v>
      </c>
      <c r="G11" s="28">
        <f>Historical_Financials!M40</f>
        <v>-44939</v>
      </c>
      <c r="H11" s="29">
        <f>(D11-C11)</f>
        <v>-7846</v>
      </c>
      <c r="I11" s="29">
        <f t="shared" ref="I11:K11" si="5">(E11-D11)</f>
        <v>-270</v>
      </c>
      <c r="J11" s="29">
        <f t="shared" si="5"/>
        <v>-1475</v>
      </c>
      <c r="K11" s="29">
        <f t="shared" si="5"/>
        <v>-203</v>
      </c>
    </row>
    <row r="13" spans="2:12" x14ac:dyDescent="0.35">
      <c r="B13" s="188" t="s">
        <v>209</v>
      </c>
      <c r="C13" s="31" t="s">
        <v>33</v>
      </c>
      <c r="D13" s="32" t="s">
        <v>38</v>
      </c>
      <c r="E13" s="33" t="s">
        <v>224</v>
      </c>
    </row>
    <row r="14" spans="2:12" x14ac:dyDescent="0.35">
      <c r="B14" s="189" t="s">
        <v>220</v>
      </c>
      <c r="C14" s="8">
        <f>Historical_Financials!F3</f>
        <v>584041</v>
      </c>
      <c r="D14" s="8">
        <f>Historical_Financials!K3</f>
        <v>676826</v>
      </c>
      <c r="E14" s="27">
        <f>((D14-C14)/C14)*100</f>
        <v>15.886727130458306</v>
      </c>
    </row>
    <row r="15" spans="2:12" x14ac:dyDescent="0.35">
      <c r="B15" s="189" t="s">
        <v>225</v>
      </c>
      <c r="C15" s="8">
        <f>Historical_Financials!F43</f>
        <v>-89672</v>
      </c>
      <c r="D15" s="8">
        <f>Historical_Financials!K43</f>
        <v>-84457</v>
      </c>
      <c r="E15" s="9">
        <f>((D15-C15)/C15)*100</f>
        <v>-5.8156392184851464</v>
      </c>
    </row>
    <row r="16" spans="2:12" x14ac:dyDescent="0.35">
      <c r="B16" s="189" t="s">
        <v>28</v>
      </c>
      <c r="C16" s="8">
        <f>Historical_Financials!F52</f>
        <v>17</v>
      </c>
      <c r="D16" s="8">
        <f>Historical_Financials!K52</f>
        <v>20</v>
      </c>
      <c r="E16" s="9">
        <f>D16-C16</f>
        <v>3</v>
      </c>
      <c r="F16" s="2" t="s">
        <v>219</v>
      </c>
    </row>
    <row r="17" spans="2:8" x14ac:dyDescent="0.35">
      <c r="B17" s="189" t="s">
        <v>221</v>
      </c>
      <c r="C17" s="8">
        <f>Historical_Financials!F53</f>
        <v>-2795</v>
      </c>
      <c r="D17" s="8">
        <f>Historical_Financials!K53</f>
        <v>18708</v>
      </c>
      <c r="E17" s="27">
        <f>((D17-C17)/C17)*-100</f>
        <v>769.33810375670839</v>
      </c>
      <c r="H17" s="26"/>
    </row>
    <row r="18" spans="2:8" x14ac:dyDescent="0.35">
      <c r="B18" s="189" t="s">
        <v>170</v>
      </c>
      <c r="C18" s="10">
        <f>Historical_Financials!F50</f>
        <v>4</v>
      </c>
      <c r="D18" s="10">
        <f>Historical_Financials!K50</f>
        <v>6</v>
      </c>
      <c r="E18" s="9">
        <f>D18-C18</f>
        <v>2</v>
      </c>
      <c r="F18" s="2" t="s">
        <v>219</v>
      </c>
    </row>
    <row r="19" spans="2:8" x14ac:dyDescent="0.35">
      <c r="B19" s="189" t="s">
        <v>215</v>
      </c>
      <c r="C19" s="10">
        <f>Historical_Financials!F51</f>
        <v>59</v>
      </c>
      <c r="D19" s="10">
        <f>Historical_Financials!K51</f>
        <v>56</v>
      </c>
      <c r="E19" s="9">
        <f>D19-C19</f>
        <v>-3</v>
      </c>
      <c r="F19" s="2" t="s">
        <v>219</v>
      </c>
    </row>
    <row r="20" spans="2:8" x14ac:dyDescent="0.35">
      <c r="B20" s="189" t="s">
        <v>222</v>
      </c>
      <c r="C20" s="8">
        <f>Historical_Financials!F49</f>
        <v>2877</v>
      </c>
      <c r="D20" s="8">
        <f>Historical_Financials!K49</f>
        <v>2924</v>
      </c>
      <c r="E20" s="27">
        <f>((D20-C20)/C20)*100</f>
        <v>1.6336461591936045</v>
      </c>
    </row>
    <row r="21" spans="2:8" x14ac:dyDescent="0.35">
      <c r="B21" s="192" t="s">
        <v>0</v>
      </c>
      <c r="C21" s="8">
        <f>Historical_Financials!F46</f>
        <v>224</v>
      </c>
      <c r="D21" s="8">
        <f>Historical_Financials!K46</f>
        <v>246</v>
      </c>
      <c r="E21" s="27">
        <f>((D21-C21)/C21)*100</f>
        <v>9.8214285714285712</v>
      </c>
    </row>
    <row r="22" spans="2:8" x14ac:dyDescent="0.35">
      <c r="B22" s="194" t="s">
        <v>223</v>
      </c>
      <c r="C22" s="34">
        <f>Historical_Financials!F40</f>
        <v>-41815</v>
      </c>
      <c r="D22" s="34">
        <f>Historical_Financials!K40</f>
        <v>-44736</v>
      </c>
      <c r="E22" s="28">
        <f>(D22-C22)</f>
        <v>-2921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7D37-4609-439F-89C9-61FDAC4103AF}">
  <dimension ref="B2:B347"/>
  <sheetViews>
    <sheetView showGridLines="0" workbookViewId="0">
      <selection activeCell="B350" sqref="B350"/>
    </sheetView>
  </sheetViews>
  <sheetFormatPr defaultRowHeight="14.5" x14ac:dyDescent="0.35"/>
  <cols>
    <col min="2" max="2" width="126.08984375" bestFit="1" customWidth="1"/>
  </cols>
  <sheetData>
    <row r="2" spans="2:2" x14ac:dyDescent="0.35">
      <c r="B2" t="s">
        <v>195</v>
      </c>
    </row>
    <row r="3" spans="2:2" x14ac:dyDescent="0.35">
      <c r="B3" t="s">
        <v>46</v>
      </c>
    </row>
    <row r="5" spans="2:2" x14ac:dyDescent="0.35">
      <c r="B5" t="s">
        <v>47</v>
      </c>
    </row>
    <row r="7" spans="2:2" x14ac:dyDescent="0.35">
      <c r="B7" t="s">
        <v>48</v>
      </c>
    </row>
    <row r="9" spans="2:2" x14ac:dyDescent="0.35">
      <c r="B9" t="s">
        <v>49</v>
      </c>
    </row>
    <row r="11" spans="2:2" x14ac:dyDescent="0.35">
      <c r="B11" t="s">
        <v>50</v>
      </c>
    </row>
    <row r="13" spans="2:2" x14ac:dyDescent="0.35">
      <c r="B13" t="s">
        <v>51</v>
      </c>
    </row>
    <row r="15" spans="2:2" x14ac:dyDescent="0.35">
      <c r="B15" t="s">
        <v>52</v>
      </c>
    </row>
    <row r="17" spans="2:2" x14ac:dyDescent="0.35">
      <c r="B17" t="s">
        <v>53</v>
      </c>
    </row>
    <row r="18" spans="2:2" x14ac:dyDescent="0.35">
      <c r="B18" t="s">
        <v>54</v>
      </c>
    </row>
    <row r="19" spans="2:2" x14ac:dyDescent="0.35">
      <c r="B19" t="s">
        <v>2</v>
      </c>
    </row>
    <row r="21" spans="2:2" x14ac:dyDescent="0.35">
      <c r="B21" t="s">
        <v>55</v>
      </c>
    </row>
    <row r="23" spans="2:2" x14ac:dyDescent="0.35">
      <c r="B23" t="s">
        <v>56</v>
      </c>
    </row>
    <row r="25" spans="2:2" x14ac:dyDescent="0.35">
      <c r="B25" t="s">
        <v>57</v>
      </c>
    </row>
    <row r="27" spans="2:2" x14ac:dyDescent="0.35">
      <c r="B27" t="s">
        <v>58</v>
      </c>
    </row>
    <row r="29" spans="2:2" x14ac:dyDescent="0.35">
      <c r="B29" t="s">
        <v>59</v>
      </c>
    </row>
    <row r="31" spans="2:2" x14ac:dyDescent="0.35">
      <c r="B31" t="s">
        <v>60</v>
      </c>
    </row>
    <row r="33" spans="2:2" x14ac:dyDescent="0.35">
      <c r="B33" t="s">
        <v>61</v>
      </c>
    </row>
    <row r="35" spans="2:2" x14ac:dyDescent="0.35">
      <c r="B35" t="s">
        <v>62</v>
      </c>
    </row>
    <row r="37" spans="2:2" x14ac:dyDescent="0.35">
      <c r="B37" t="s">
        <v>63</v>
      </c>
    </row>
    <row r="39" spans="2:2" x14ac:dyDescent="0.35">
      <c r="B39" t="s">
        <v>64</v>
      </c>
    </row>
    <row r="41" spans="2:2" x14ac:dyDescent="0.35">
      <c r="B41" t="s">
        <v>65</v>
      </c>
    </row>
    <row r="43" spans="2:2" x14ac:dyDescent="0.35">
      <c r="B43" t="s">
        <v>66</v>
      </c>
    </row>
    <row r="45" spans="2:2" x14ac:dyDescent="0.35">
      <c r="B45" t="s">
        <v>67</v>
      </c>
    </row>
    <row r="47" spans="2:2" x14ac:dyDescent="0.35">
      <c r="B47" t="s">
        <v>68</v>
      </c>
    </row>
    <row r="49" spans="2:2" x14ac:dyDescent="0.35">
      <c r="B49" t="s">
        <v>69</v>
      </c>
    </row>
    <row r="51" spans="2:2" x14ac:dyDescent="0.35">
      <c r="B51" t="s">
        <v>70</v>
      </c>
    </row>
    <row r="53" spans="2:2" x14ac:dyDescent="0.35">
      <c r="B53" t="s">
        <v>71</v>
      </c>
    </row>
    <row r="55" spans="2:2" x14ac:dyDescent="0.35">
      <c r="B55" t="s">
        <v>72</v>
      </c>
    </row>
    <row r="57" spans="2:2" x14ac:dyDescent="0.35">
      <c r="B57" t="s">
        <v>73</v>
      </c>
    </row>
    <row r="59" spans="2:2" x14ac:dyDescent="0.35">
      <c r="B59" t="s">
        <v>74</v>
      </c>
    </row>
    <row r="61" spans="2:2" x14ac:dyDescent="0.35">
      <c r="B61" t="s">
        <v>75</v>
      </c>
    </row>
    <row r="63" spans="2:2" x14ac:dyDescent="0.35">
      <c r="B63" t="s">
        <v>76</v>
      </c>
    </row>
    <row r="65" spans="2:2" x14ac:dyDescent="0.35">
      <c r="B65" t="s">
        <v>77</v>
      </c>
    </row>
    <row r="67" spans="2:2" x14ac:dyDescent="0.35">
      <c r="B67" t="s">
        <v>78</v>
      </c>
    </row>
    <row r="69" spans="2:2" x14ac:dyDescent="0.35">
      <c r="B69" t="s">
        <v>79</v>
      </c>
    </row>
    <row r="71" spans="2:2" x14ac:dyDescent="0.35">
      <c r="B71" t="s">
        <v>80</v>
      </c>
    </row>
    <row r="73" spans="2:2" x14ac:dyDescent="0.35">
      <c r="B73" t="s">
        <v>71</v>
      </c>
    </row>
    <row r="75" spans="2:2" x14ac:dyDescent="0.35">
      <c r="B75" t="s">
        <v>72</v>
      </c>
    </row>
    <row r="77" spans="2:2" x14ac:dyDescent="0.35">
      <c r="B77" t="s">
        <v>81</v>
      </c>
    </row>
    <row r="79" spans="2:2" x14ac:dyDescent="0.35">
      <c r="B79" t="s">
        <v>82</v>
      </c>
    </row>
    <row r="81" spans="2:2" x14ac:dyDescent="0.35">
      <c r="B81" t="s">
        <v>83</v>
      </c>
    </row>
    <row r="83" spans="2:2" x14ac:dyDescent="0.35">
      <c r="B83" t="s">
        <v>84</v>
      </c>
    </row>
    <row r="85" spans="2:2" x14ac:dyDescent="0.35">
      <c r="B85" t="s">
        <v>85</v>
      </c>
    </row>
    <row r="87" spans="2:2" x14ac:dyDescent="0.35">
      <c r="B87" t="s">
        <v>86</v>
      </c>
    </row>
    <row r="89" spans="2:2" x14ac:dyDescent="0.35">
      <c r="B89" t="s">
        <v>87</v>
      </c>
    </row>
    <row r="91" spans="2:2" x14ac:dyDescent="0.35">
      <c r="B91" t="s">
        <v>88</v>
      </c>
    </row>
    <row r="93" spans="2:2" x14ac:dyDescent="0.35">
      <c r="B93" t="s">
        <v>71</v>
      </c>
    </row>
    <row r="95" spans="2:2" x14ac:dyDescent="0.35">
      <c r="B95" t="s">
        <v>72</v>
      </c>
    </row>
    <row r="97" spans="2:2" x14ac:dyDescent="0.35">
      <c r="B97" t="s">
        <v>89</v>
      </c>
    </row>
    <row r="99" spans="2:2" x14ac:dyDescent="0.35">
      <c r="B99" t="s">
        <v>90</v>
      </c>
    </row>
    <row r="101" spans="2:2" x14ac:dyDescent="0.35">
      <c r="B101" t="s">
        <v>91</v>
      </c>
    </row>
    <row r="103" spans="2:2" x14ac:dyDescent="0.35">
      <c r="B103" t="s">
        <v>92</v>
      </c>
    </row>
    <row r="105" spans="2:2" x14ac:dyDescent="0.35">
      <c r="B105" t="s">
        <v>93</v>
      </c>
    </row>
    <row r="107" spans="2:2" x14ac:dyDescent="0.35">
      <c r="B107" t="s">
        <v>94</v>
      </c>
    </row>
    <row r="109" spans="2:2" x14ac:dyDescent="0.35">
      <c r="B109" t="s">
        <v>95</v>
      </c>
    </row>
    <row r="111" spans="2:2" x14ac:dyDescent="0.35">
      <c r="B111" t="s">
        <v>96</v>
      </c>
    </row>
    <row r="113" spans="2:2" x14ac:dyDescent="0.35">
      <c r="B113" t="s">
        <v>71</v>
      </c>
    </row>
    <row r="115" spans="2:2" x14ac:dyDescent="0.35">
      <c r="B115" t="s">
        <v>72</v>
      </c>
    </row>
    <row r="117" spans="2:2" x14ac:dyDescent="0.35">
      <c r="B117" t="s">
        <v>97</v>
      </c>
    </row>
    <row r="119" spans="2:2" x14ac:dyDescent="0.35">
      <c r="B119" t="s">
        <v>98</v>
      </c>
    </row>
    <row r="121" spans="2:2" x14ac:dyDescent="0.35">
      <c r="B121" t="s">
        <v>99</v>
      </c>
    </row>
    <row r="123" spans="2:2" x14ac:dyDescent="0.35">
      <c r="B123" t="s">
        <v>100</v>
      </c>
    </row>
    <row r="125" spans="2:2" x14ac:dyDescent="0.35">
      <c r="B125" t="s">
        <v>101</v>
      </c>
    </row>
    <row r="127" spans="2:2" x14ac:dyDescent="0.35">
      <c r="B127" t="s">
        <v>102</v>
      </c>
    </row>
    <row r="129" spans="2:2" x14ac:dyDescent="0.35">
      <c r="B129" t="s">
        <v>103</v>
      </c>
    </row>
    <row r="131" spans="2:2" x14ac:dyDescent="0.35">
      <c r="B131" t="s">
        <v>104</v>
      </c>
    </row>
    <row r="133" spans="2:2" x14ac:dyDescent="0.35">
      <c r="B133" t="s">
        <v>71</v>
      </c>
    </row>
    <row r="135" spans="2:2" x14ac:dyDescent="0.35">
      <c r="B135" t="s">
        <v>72</v>
      </c>
    </row>
    <row r="137" spans="2:2" x14ac:dyDescent="0.35">
      <c r="B137" t="s">
        <v>105</v>
      </c>
    </row>
    <row r="139" spans="2:2" x14ac:dyDescent="0.35">
      <c r="B139" t="s">
        <v>106</v>
      </c>
    </row>
    <row r="141" spans="2:2" x14ac:dyDescent="0.35">
      <c r="B141" t="s">
        <v>107</v>
      </c>
    </row>
    <row r="143" spans="2:2" x14ac:dyDescent="0.35">
      <c r="B143" t="s">
        <v>108</v>
      </c>
    </row>
    <row r="145" spans="2:2" x14ac:dyDescent="0.35">
      <c r="B145" t="s">
        <v>109</v>
      </c>
    </row>
    <row r="147" spans="2:2" x14ac:dyDescent="0.35">
      <c r="B147" t="s">
        <v>110</v>
      </c>
    </row>
    <row r="149" spans="2:2" x14ac:dyDescent="0.35">
      <c r="B149" t="s">
        <v>111</v>
      </c>
    </row>
    <row r="151" spans="2:2" x14ac:dyDescent="0.35">
      <c r="B151" t="s">
        <v>112</v>
      </c>
    </row>
    <row r="153" spans="2:2" x14ac:dyDescent="0.35">
      <c r="B153" t="s">
        <v>71</v>
      </c>
    </row>
    <row r="155" spans="2:2" x14ac:dyDescent="0.35">
      <c r="B155" t="s">
        <v>72</v>
      </c>
    </row>
    <row r="157" spans="2:2" x14ac:dyDescent="0.35">
      <c r="B157" t="s">
        <v>113</v>
      </c>
    </row>
    <row r="159" spans="2:2" x14ac:dyDescent="0.35">
      <c r="B159" t="s">
        <v>114</v>
      </c>
    </row>
    <row r="160" spans="2:2" x14ac:dyDescent="0.35">
      <c r="B160" t="s">
        <v>115</v>
      </c>
    </row>
    <row r="162" spans="2:2" x14ac:dyDescent="0.35">
      <c r="B162" t="s">
        <v>116</v>
      </c>
    </row>
    <row r="164" spans="2:2" x14ac:dyDescent="0.35">
      <c r="B164" t="s">
        <v>117</v>
      </c>
    </row>
    <row r="166" spans="2:2" x14ac:dyDescent="0.35">
      <c r="B166" t="s">
        <v>118</v>
      </c>
    </row>
    <row r="168" spans="2:2" x14ac:dyDescent="0.35">
      <c r="B168" t="s">
        <v>119</v>
      </c>
    </row>
    <row r="170" spans="2:2" x14ac:dyDescent="0.35">
      <c r="B170" t="s">
        <v>120</v>
      </c>
    </row>
    <row r="172" spans="2:2" x14ac:dyDescent="0.35">
      <c r="B172" t="s">
        <v>121</v>
      </c>
    </row>
    <row r="174" spans="2:2" x14ac:dyDescent="0.35">
      <c r="B174" t="s">
        <v>122</v>
      </c>
    </row>
    <row r="176" spans="2:2" x14ac:dyDescent="0.35">
      <c r="B176" t="s">
        <v>123</v>
      </c>
    </row>
    <row r="178" spans="2:2" x14ac:dyDescent="0.35">
      <c r="B178" t="s">
        <v>124</v>
      </c>
    </row>
    <row r="180" spans="2:2" x14ac:dyDescent="0.35">
      <c r="B180" t="s">
        <v>125</v>
      </c>
    </row>
    <row r="182" spans="2:2" x14ac:dyDescent="0.35">
      <c r="B182" t="s">
        <v>126</v>
      </c>
    </row>
    <row r="184" spans="2:2" x14ac:dyDescent="0.35">
      <c r="B184" t="s">
        <v>127</v>
      </c>
    </row>
    <row r="186" spans="2:2" x14ac:dyDescent="0.35">
      <c r="B186" t="s">
        <v>128</v>
      </c>
    </row>
    <row r="188" spans="2:2" x14ac:dyDescent="0.35">
      <c r="B188" t="s">
        <v>129</v>
      </c>
    </row>
    <row r="190" spans="2:2" x14ac:dyDescent="0.35">
      <c r="B190" t="s">
        <v>130</v>
      </c>
    </row>
    <row r="192" spans="2:2" x14ac:dyDescent="0.35">
      <c r="B192" t="s">
        <v>131</v>
      </c>
    </row>
    <row r="194" spans="2:2" x14ac:dyDescent="0.35">
      <c r="B194" t="s">
        <v>132</v>
      </c>
    </row>
    <row r="196" spans="2:2" x14ac:dyDescent="0.35">
      <c r="B196" t="s">
        <v>133</v>
      </c>
    </row>
    <row r="198" spans="2:2" x14ac:dyDescent="0.35">
      <c r="B198" t="s">
        <v>134</v>
      </c>
    </row>
    <row r="200" spans="2:2" x14ac:dyDescent="0.35">
      <c r="B200" t="s">
        <v>135</v>
      </c>
    </row>
    <row r="202" spans="2:2" x14ac:dyDescent="0.35">
      <c r="B202" t="s">
        <v>136</v>
      </c>
    </row>
    <row r="204" spans="2:2" x14ac:dyDescent="0.35">
      <c r="B204" t="s">
        <v>137</v>
      </c>
    </row>
    <row r="206" spans="2:2" x14ac:dyDescent="0.35">
      <c r="B206" t="s">
        <v>138</v>
      </c>
    </row>
    <row r="208" spans="2:2" x14ac:dyDescent="0.35">
      <c r="B208" t="s">
        <v>139</v>
      </c>
    </row>
    <row r="210" spans="2:2" x14ac:dyDescent="0.35">
      <c r="B210" t="s">
        <v>140</v>
      </c>
    </row>
    <row r="212" spans="2:2" x14ac:dyDescent="0.35">
      <c r="B212" t="s">
        <v>141</v>
      </c>
    </row>
    <row r="214" spans="2:2" x14ac:dyDescent="0.35">
      <c r="B214" t="s">
        <v>142</v>
      </c>
    </row>
    <row r="216" spans="2:2" x14ac:dyDescent="0.35">
      <c r="B216" t="s">
        <v>143</v>
      </c>
    </row>
    <row r="218" spans="2:2" x14ac:dyDescent="0.35">
      <c r="B218" t="s">
        <v>144</v>
      </c>
    </row>
    <row r="220" spans="2:2" x14ac:dyDescent="0.35">
      <c r="B220" t="s">
        <v>145</v>
      </c>
    </row>
    <row r="221" spans="2:2" x14ac:dyDescent="0.35">
      <c r="B221" t="s">
        <v>146</v>
      </c>
    </row>
    <row r="223" spans="2:2" x14ac:dyDescent="0.35">
      <c r="B223" t="s">
        <v>147</v>
      </c>
    </row>
    <row r="225" spans="2:2" x14ac:dyDescent="0.35">
      <c r="B225" t="s">
        <v>148</v>
      </c>
    </row>
    <row r="227" spans="2:2" x14ac:dyDescent="0.35">
      <c r="B227" t="s">
        <v>149</v>
      </c>
    </row>
    <row r="229" spans="2:2" x14ac:dyDescent="0.35">
      <c r="B229" t="s">
        <v>150</v>
      </c>
    </row>
    <row r="231" spans="2:2" x14ac:dyDescent="0.35">
      <c r="B231" t="s">
        <v>151</v>
      </c>
    </row>
    <row r="233" spans="2:2" x14ac:dyDescent="0.35">
      <c r="B233" t="s">
        <v>152</v>
      </c>
    </row>
    <row r="235" spans="2:2" x14ac:dyDescent="0.35">
      <c r="B235" t="s">
        <v>153</v>
      </c>
    </row>
    <row r="237" spans="2:2" x14ac:dyDescent="0.35">
      <c r="B237" t="s">
        <v>154</v>
      </c>
    </row>
    <row r="239" spans="2:2" x14ac:dyDescent="0.35">
      <c r="B239" t="s">
        <v>155</v>
      </c>
    </row>
    <row r="241" spans="2:2" x14ac:dyDescent="0.35">
      <c r="B241" t="s">
        <v>156</v>
      </c>
    </row>
    <row r="243" spans="2:2" x14ac:dyDescent="0.35">
      <c r="B243" t="s">
        <v>157</v>
      </c>
    </row>
    <row r="245" spans="2:2" x14ac:dyDescent="0.35">
      <c r="B245" t="s">
        <v>158</v>
      </c>
    </row>
    <row r="247" spans="2:2" x14ac:dyDescent="0.35">
      <c r="B247" t="s">
        <v>159</v>
      </c>
    </row>
    <row r="249" spans="2:2" x14ac:dyDescent="0.35">
      <c r="B249" t="s">
        <v>160</v>
      </c>
    </row>
    <row r="251" spans="2:2" x14ac:dyDescent="0.35">
      <c r="B251" t="s">
        <v>161</v>
      </c>
    </row>
    <row r="253" spans="2:2" x14ac:dyDescent="0.35">
      <c r="B253" t="s">
        <v>162</v>
      </c>
    </row>
    <row r="255" spans="2:2" x14ac:dyDescent="0.35">
      <c r="B255" t="s">
        <v>163</v>
      </c>
    </row>
    <row r="257" spans="2:2" x14ac:dyDescent="0.35">
      <c r="B257" t="s">
        <v>164</v>
      </c>
    </row>
    <row r="259" spans="2:2" x14ac:dyDescent="0.35">
      <c r="B259" t="s">
        <v>165</v>
      </c>
    </row>
    <row r="261" spans="2:2" x14ac:dyDescent="0.35">
      <c r="B261" t="s">
        <v>166</v>
      </c>
    </row>
    <row r="263" spans="2:2" x14ac:dyDescent="0.35">
      <c r="B263" t="s">
        <v>167</v>
      </c>
    </row>
    <row r="265" spans="2:2" x14ac:dyDescent="0.35">
      <c r="B265" t="s">
        <v>168</v>
      </c>
    </row>
    <row r="267" spans="2:2" x14ac:dyDescent="0.35">
      <c r="B267" t="s">
        <v>169</v>
      </c>
    </row>
    <row r="269" spans="2:2" x14ac:dyDescent="0.35">
      <c r="B269" t="s">
        <v>170</v>
      </c>
    </row>
    <row r="271" spans="2:2" x14ac:dyDescent="0.35">
      <c r="B271" t="s">
        <v>171</v>
      </c>
    </row>
    <row r="273" spans="2:2" x14ac:dyDescent="0.35">
      <c r="B273" t="s">
        <v>172</v>
      </c>
    </row>
    <row r="275" spans="2:2" x14ac:dyDescent="0.35">
      <c r="B275" t="s">
        <v>173</v>
      </c>
    </row>
    <row r="277" spans="2:2" x14ac:dyDescent="0.35">
      <c r="B277" t="s">
        <v>174</v>
      </c>
    </row>
    <row r="279" spans="2:2" x14ac:dyDescent="0.35">
      <c r="B279" t="s">
        <v>175</v>
      </c>
    </row>
    <row r="281" spans="2:2" x14ac:dyDescent="0.35">
      <c r="B281" t="s">
        <v>169</v>
      </c>
    </row>
    <row r="283" spans="2:2" x14ac:dyDescent="0.35">
      <c r="B283" t="s">
        <v>176</v>
      </c>
    </row>
    <row r="285" spans="2:2" x14ac:dyDescent="0.35">
      <c r="B285" t="s">
        <v>177</v>
      </c>
    </row>
    <row r="287" spans="2:2" x14ac:dyDescent="0.35">
      <c r="B287" t="s">
        <v>178</v>
      </c>
    </row>
    <row r="289" spans="2:2" x14ac:dyDescent="0.35">
      <c r="B289" t="s">
        <v>179</v>
      </c>
    </row>
    <row r="291" spans="2:2" x14ac:dyDescent="0.35">
      <c r="B291" t="s">
        <v>180</v>
      </c>
    </row>
    <row r="293" spans="2:2" x14ac:dyDescent="0.35">
      <c r="B293" t="s">
        <v>181</v>
      </c>
    </row>
    <row r="295" spans="2:2" x14ac:dyDescent="0.35">
      <c r="B295" t="s">
        <v>169</v>
      </c>
    </row>
    <row r="297" spans="2:2" x14ac:dyDescent="0.35">
      <c r="B297" t="s">
        <v>182</v>
      </c>
    </row>
    <row r="299" spans="2:2" x14ac:dyDescent="0.35">
      <c r="B299" t="s">
        <v>183</v>
      </c>
    </row>
    <row r="301" spans="2:2" x14ac:dyDescent="0.35">
      <c r="B301" t="s">
        <v>184</v>
      </c>
    </row>
    <row r="303" spans="2:2" x14ac:dyDescent="0.35">
      <c r="B303" t="s">
        <v>185</v>
      </c>
    </row>
    <row r="305" spans="2:2" x14ac:dyDescent="0.35">
      <c r="B305" t="s">
        <v>186</v>
      </c>
    </row>
    <row r="307" spans="2:2" x14ac:dyDescent="0.35">
      <c r="B307" t="s">
        <v>187</v>
      </c>
    </row>
    <row r="309" spans="2:2" x14ac:dyDescent="0.35">
      <c r="B309" t="s">
        <v>188</v>
      </c>
    </row>
    <row r="311" spans="2:2" x14ac:dyDescent="0.35">
      <c r="B311" t="s">
        <v>189</v>
      </c>
    </row>
    <row r="313" spans="2:2" x14ac:dyDescent="0.35">
      <c r="B313" t="s">
        <v>190</v>
      </c>
    </row>
    <row r="315" spans="2:2" x14ac:dyDescent="0.35">
      <c r="B315" t="s">
        <v>191</v>
      </c>
    </row>
    <row r="317" spans="2:2" x14ac:dyDescent="0.35">
      <c r="B317" t="s">
        <v>192</v>
      </c>
    </row>
    <row r="319" spans="2:2" x14ac:dyDescent="0.35">
      <c r="B319" t="s">
        <v>194</v>
      </c>
    </row>
    <row r="321" spans="2:2" x14ac:dyDescent="0.35">
      <c r="B321" t="s">
        <v>211</v>
      </c>
    </row>
    <row r="323" spans="2:2" x14ac:dyDescent="0.35">
      <c r="B323" t="s">
        <v>240</v>
      </c>
    </row>
    <row r="325" spans="2:2" x14ac:dyDescent="0.35">
      <c r="B325" t="s">
        <v>241</v>
      </c>
    </row>
    <row r="327" spans="2:2" x14ac:dyDescent="0.35">
      <c r="B327" t="s">
        <v>242</v>
      </c>
    </row>
    <row r="329" spans="2:2" x14ac:dyDescent="0.35">
      <c r="B329" t="s">
        <v>243</v>
      </c>
    </row>
    <row r="331" spans="2:2" x14ac:dyDescent="0.35">
      <c r="B331" t="s">
        <v>244</v>
      </c>
    </row>
    <row r="333" spans="2:2" x14ac:dyDescent="0.35">
      <c r="B333" t="s">
        <v>329</v>
      </c>
    </row>
    <row r="335" spans="2:2" x14ac:dyDescent="0.35">
      <c r="B335" t="s">
        <v>330</v>
      </c>
    </row>
    <row r="337" spans="2:2" x14ac:dyDescent="0.35">
      <c r="B337" t="s">
        <v>331</v>
      </c>
    </row>
    <row r="339" spans="2:2" x14ac:dyDescent="0.35">
      <c r="B339" t="s">
        <v>333</v>
      </c>
    </row>
    <row r="341" spans="2:2" x14ac:dyDescent="0.35">
      <c r="B341" t="s">
        <v>394</v>
      </c>
    </row>
    <row r="343" spans="2:2" x14ac:dyDescent="0.35">
      <c r="B343" t="s">
        <v>395</v>
      </c>
    </row>
    <row r="345" spans="2:2" x14ac:dyDescent="0.35">
      <c r="B345" t="s">
        <v>396</v>
      </c>
    </row>
    <row r="347" spans="2:2" x14ac:dyDescent="0.35">
      <c r="B34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Drivers</vt:lpstr>
      <vt:lpstr>Forecast</vt:lpstr>
      <vt:lpstr>3_statement_model</vt:lpstr>
      <vt:lpstr>DCF</vt:lpstr>
      <vt:lpstr>Valuation_&amp;_EPS_Sensitivity</vt:lpstr>
      <vt:lpstr>Historical_Financials</vt:lpstr>
      <vt:lpstr>Growth_Metrics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Vail</dc:creator>
  <cp:lastModifiedBy>Andrew Vail</cp:lastModifiedBy>
  <dcterms:created xsi:type="dcterms:W3CDTF">2025-07-20T01:23:05Z</dcterms:created>
  <dcterms:modified xsi:type="dcterms:W3CDTF">2025-08-02T02:21:05Z</dcterms:modified>
</cp:coreProperties>
</file>