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MAU" sheetId="1" r:id="rId4"/>
  </sheets>
  <definedNames/>
  <calcPr/>
  <extLst>
    <ext uri="GoogleSheetsCustomDataVersion1">
      <go:sheetsCustomData xmlns:go="http://customooxmlschemas.google.com/" r:id="rId5" roundtripDataSignature="AMtx7mionXzbqYdOgf2kd3qn7FowLrbbAw=="/>
    </ext>
  </extLst>
</workbook>
</file>

<file path=xl/sharedStrings.xml><?xml version="1.0" encoding="utf-8"?>
<sst xmlns="http://schemas.openxmlformats.org/spreadsheetml/2006/main" count="239" uniqueCount="101">
  <si>
    <t>Electric vs. Gasoline Vehicle MAU Decision Analysis With Two Hierarchical Objectives</t>
  </si>
  <si>
    <t>Consequence Table</t>
  </si>
  <si>
    <t>Secondary Objective Weights</t>
  </si>
  <si>
    <t>Primary Objective Weights</t>
  </si>
  <si>
    <t>Value Functions</t>
  </si>
  <si>
    <t>Alternatives</t>
  </si>
  <si>
    <t>Range</t>
  </si>
  <si>
    <t>Rank 
Weight</t>
  </si>
  <si>
    <t>Rated Weight</t>
  </si>
  <si>
    <t>Secondary Weight</t>
  </si>
  <si>
    <t>Actual Weight</t>
  </si>
  <si>
    <t>Primary Objective</t>
  </si>
  <si>
    <t>Rank</t>
  </si>
  <si>
    <t>Weight</t>
  </si>
  <si>
    <t>Normalized</t>
  </si>
  <si>
    <t>Secondary Totals</t>
  </si>
  <si>
    <t>Constructed Measure Scale</t>
  </si>
  <si>
    <t>Score</t>
  </si>
  <si>
    <t>No.</t>
  </si>
  <si>
    <t>Secondary Objective</t>
  </si>
  <si>
    <t>Measures</t>
  </si>
  <si>
    <t>Tesla Model Y</t>
  </si>
  <si>
    <t>Mustang Mach E GT</t>
  </si>
  <si>
    <t>VW Atlas</t>
  </si>
  <si>
    <t>Jeep Grand Cherokee</t>
  </si>
  <si>
    <t>Measure</t>
  </si>
  <si>
    <t>Worst</t>
  </si>
  <si>
    <t>Best</t>
  </si>
  <si>
    <t>Cost</t>
  </si>
  <si>
    <t>Low Cost</t>
  </si>
  <si>
    <t>5 Year Total Ownership Cost</t>
  </si>
  <si>
    <t>USD</t>
  </si>
  <si>
    <t>Performance</t>
  </si>
  <si>
    <t>Wow</t>
  </si>
  <si>
    <t>Benefit</t>
  </si>
  <si>
    <t>0-60mph Time</t>
  </si>
  <si>
    <t>Seconds</t>
  </si>
  <si>
    <t>Environmentally Friendly</t>
  </si>
  <si>
    <t>Cool</t>
  </si>
  <si>
    <t>Top Speed</t>
  </si>
  <si>
    <t>MPH</t>
  </si>
  <si>
    <t>Convenience</t>
  </si>
  <si>
    <t>Nice</t>
  </si>
  <si>
    <t>Towing Capacity</t>
  </si>
  <si>
    <t>Pounds</t>
  </si>
  <si>
    <t>Aesthetitcs</t>
  </si>
  <si>
    <t>Eh</t>
  </si>
  <si>
    <t>Power</t>
  </si>
  <si>
    <t>Horsepower (Hp)</t>
  </si>
  <si>
    <t>Size</t>
  </si>
  <si>
    <t>Yes</t>
  </si>
  <si>
    <t>Torque</t>
  </si>
  <si>
    <t>pounds-foot</t>
  </si>
  <si>
    <t>Luxury</t>
  </si>
  <si>
    <t>No</t>
  </si>
  <si>
    <t>Braking Distance (60-0 mph)</t>
  </si>
  <si>
    <t>Feet</t>
  </si>
  <si>
    <t>Driving Experience</t>
  </si>
  <si>
    <t>Miles</t>
  </si>
  <si>
    <t>TOTAL</t>
  </si>
  <si>
    <t>Low Carbon Footprint</t>
  </si>
  <si>
    <t>Tailpipe CO2 in grams/mile</t>
  </si>
  <si>
    <t>Petroleum Consumption</t>
  </si>
  <si>
    <t>Annual Petroleum Consumption in Barrels</t>
  </si>
  <si>
    <t>Time to Refuel/Recharge</t>
  </si>
  <si>
    <t>Hours</t>
  </si>
  <si>
    <t>Crash Safety</t>
  </si>
  <si>
    <t>NHSTA Overall Rating</t>
  </si>
  <si>
    <t>Limited Warranty Coverage</t>
  </si>
  <si>
    <t>Years</t>
  </si>
  <si>
    <t>Maintenence Schedule</t>
  </si>
  <si>
    <t>Frequency (years)</t>
  </si>
  <si>
    <t>Overall Height</t>
  </si>
  <si>
    <t>Inches</t>
  </si>
  <si>
    <t>Head room front</t>
  </si>
  <si>
    <t>Overall Length</t>
  </si>
  <si>
    <t>Wheel Size</t>
  </si>
  <si>
    <t>Inches in Diameter</t>
  </si>
  <si>
    <t>Overall Look</t>
  </si>
  <si>
    <t>Constructed</t>
  </si>
  <si>
    <t># of Seats</t>
  </si>
  <si>
    <t>Quantity</t>
  </si>
  <si>
    <t>Total Cargo</t>
  </si>
  <si>
    <t>Cubic Feet</t>
  </si>
  <si>
    <t>Power Seats - passenger</t>
  </si>
  <si>
    <t>Constructed (Yes / No)</t>
  </si>
  <si>
    <t>Leather Seats</t>
  </si>
  <si>
    <t>Heated Seats (3rd row)</t>
  </si>
  <si>
    <t>Child Safety Options</t>
  </si>
  <si>
    <t>Brand Recognition</t>
  </si>
  <si>
    <t>Driver Profiles</t>
  </si>
  <si>
    <t>Trip Information Storage</t>
  </si>
  <si>
    <t>Auto Pilot</t>
  </si>
  <si>
    <t>Single-Attribute Values</t>
  </si>
  <si>
    <t>Utility</t>
  </si>
  <si>
    <t>Unweighted Utility</t>
  </si>
  <si>
    <t>Weighted Utility</t>
  </si>
  <si>
    <t>Cost vs. Utility</t>
  </si>
  <si>
    <t>Total Cost ($)</t>
  </si>
  <si>
    <t>Normalized Cost</t>
  </si>
  <si>
    <t>Sensitivity on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</si>
</sst>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_);[Red]\(&quot;$&quot;#,##0\)"/>
    <numFmt numFmtId="166" formatCode="&quot;$&quot;#,##0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b/>
      <sz val="14.0"/>
      <color theme="0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b/>
      <sz val="10.0"/>
      <color theme="0"/>
      <name val="Arial"/>
    </font>
    <font>
      <b/>
      <sz val="10.0"/>
      <color rgb="FF000000"/>
      <name val="Arial"/>
    </font>
    <font>
      <sz val="11.0"/>
      <color theme="1"/>
      <name val="Arial"/>
    </font>
    <font>
      <sz val="10.0"/>
      <color theme="0"/>
      <name val="Arial"/>
    </font>
    <font>
      <sz val="10.0"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548135"/>
        <bgColor rgb="FF548135"/>
      </patternFill>
    </fill>
    <fill>
      <patternFill patternType="solid">
        <fgColor rgb="FFD6DCE4"/>
        <bgColor rgb="FFD6DCE4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/>
      <right/>
      <top/>
    </border>
    <border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  <top/>
      <bottom style="thin">
        <color theme="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left/>
      <right style="thin">
        <color rgb="FF000000"/>
      </right>
      <top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2" fontId="1" numFmtId="0" xfId="0" applyBorder="1" applyFont="1"/>
    <xf borderId="1" fillId="3" fontId="3" numFmtId="0" xfId="0" applyBorder="1" applyFill="1" applyFont="1"/>
    <xf borderId="1" fillId="3" fontId="1" numFmtId="0" xfId="0" applyBorder="1" applyFont="1"/>
    <xf borderId="1" fillId="4" fontId="3" numFmtId="0" xfId="0" applyBorder="1" applyFill="1" applyFont="1"/>
    <xf borderId="1" fillId="4" fontId="1" numFmtId="0" xfId="0" applyBorder="1" applyFont="1"/>
    <xf borderId="2" fillId="5" fontId="4" numFmtId="0" xfId="0" applyAlignment="1" applyBorder="1" applyFill="1" applyFont="1">
      <alignment horizontal="left" vertical="center"/>
    </xf>
    <xf borderId="3" fillId="0" fontId="5" numFmtId="0" xfId="0" applyBorder="1" applyFont="1"/>
    <xf borderId="4" fillId="6" fontId="6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4" fillId="7" fontId="7" numFmtId="0" xfId="0" applyAlignment="1" applyBorder="1" applyFill="1" applyFont="1">
      <alignment horizontal="center"/>
    </xf>
    <xf borderId="7" fillId="6" fontId="7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8" fillId="5" fontId="8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right"/>
    </xf>
    <xf borderId="10" fillId="7" fontId="6" numFmtId="0" xfId="0" applyBorder="1" applyFont="1"/>
    <xf borderId="11" fillId="7" fontId="6" numFmtId="0" xfId="0" applyBorder="1" applyFont="1"/>
    <xf borderId="11" fillId="7" fontId="6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2" fillId="7" fontId="6" numFmtId="0" xfId="0" applyBorder="1" applyFont="1"/>
    <xf borderId="13" fillId="7" fontId="6" numFmtId="0" xfId="0" applyBorder="1" applyFont="1"/>
    <xf borderId="12" fillId="6" fontId="7" numFmtId="0" xfId="0" applyAlignment="1" applyBorder="1" applyFont="1">
      <alignment horizontal="center"/>
    </xf>
    <xf borderId="14" fillId="6" fontId="7" numFmtId="0" xfId="0" applyAlignment="1" applyBorder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" fillId="4" fontId="7" numFmtId="0" xfId="0" applyBorder="1" applyFont="1"/>
    <xf borderId="17" fillId="0" fontId="5" numFmtId="0" xfId="0" applyBorder="1" applyFont="1"/>
    <xf borderId="18" fillId="0" fontId="5" numFmtId="0" xfId="0" applyBorder="1" applyFont="1"/>
    <xf borderId="1" fillId="2" fontId="6" numFmtId="0" xfId="0" applyBorder="1" applyFont="1"/>
    <xf borderId="1" fillId="2" fontId="7" numFmtId="0" xfId="0" applyAlignment="1" applyBorder="1" applyFont="1">
      <alignment horizontal="center"/>
    </xf>
    <xf borderId="12" fillId="2" fontId="9" numFmtId="0" xfId="0" applyAlignment="1" applyBorder="1" applyFont="1">
      <alignment horizontal="center" vertical="center"/>
    </xf>
    <xf borderId="12" fillId="2" fontId="1" numFmtId="0" xfId="0" applyBorder="1" applyFont="1"/>
    <xf borderId="14" fillId="2" fontId="1" numFmtId="0" xfId="0" applyBorder="1" applyFont="1"/>
    <xf borderId="12" fillId="2" fontId="1" numFmtId="164" xfId="0" applyAlignment="1" applyBorder="1" applyFont="1" applyNumberFormat="1">
      <alignment horizontal="center" vertical="center"/>
    </xf>
    <xf borderId="19" fillId="3" fontId="9" numFmtId="0" xfId="0" applyAlignment="1" applyBorder="1" applyFont="1">
      <alignment shrinkToFit="0" vertical="center" wrapText="1"/>
    </xf>
    <xf borderId="12" fillId="3" fontId="9" numFmtId="0" xfId="0" applyAlignment="1" applyBorder="1" applyFont="1">
      <alignment shrinkToFit="0" vertical="center" wrapText="1"/>
    </xf>
    <xf borderId="20" fillId="3" fontId="7" numFmtId="0" xfId="0" applyAlignment="1" applyBorder="1" applyFont="1">
      <alignment horizontal="left"/>
    </xf>
    <xf borderId="12" fillId="3" fontId="7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 shrinkToFit="0" vertical="center" wrapText="1"/>
    </xf>
    <xf borderId="14" fillId="3" fontId="7" numFmtId="9" xfId="0" applyAlignment="1" applyBorder="1" applyFont="1" applyNumberFormat="1">
      <alignment horizontal="center" shrinkToFit="0" vertical="center" wrapText="1"/>
    </xf>
    <xf borderId="12" fillId="3" fontId="7" numFmtId="10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/>
    </xf>
    <xf borderId="21" fillId="4" fontId="7" numFmtId="0" xfId="0" applyBorder="1" applyFont="1"/>
    <xf borderId="22" fillId="4" fontId="10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22" fillId="4" fontId="1" numFmtId="9" xfId="0" applyAlignment="1" applyBorder="1" applyFont="1" applyNumberFormat="1">
      <alignment horizontal="center" vertical="center"/>
    </xf>
    <xf borderId="23" fillId="4" fontId="1" numFmtId="0" xfId="0" applyAlignment="1" applyBorder="1" applyFont="1">
      <alignment horizontal="center" vertical="center"/>
    </xf>
    <xf borderId="12" fillId="5" fontId="11" numFmtId="0" xfId="0" applyAlignment="1" applyBorder="1" applyFont="1">
      <alignment horizontal="right"/>
    </xf>
    <xf borderId="24" fillId="0" fontId="1" numFmtId="0" xfId="0" applyAlignment="1" applyBorder="1" applyFont="1">
      <alignment horizontal="center" vertical="center"/>
    </xf>
    <xf borderId="25" fillId="2" fontId="6" numFmtId="0" xfId="0" applyAlignment="1" applyBorder="1" applyFont="1">
      <alignment horizontal="center" textRotation="90" vertical="center"/>
    </xf>
    <xf borderId="7" fillId="2" fontId="9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vertical="center"/>
    </xf>
    <xf borderId="21" fillId="3" fontId="9" numFmtId="0" xfId="0" applyAlignment="1" applyBorder="1" applyFont="1">
      <alignment shrinkToFit="0" vertical="center" wrapText="1"/>
    </xf>
    <xf borderId="22" fillId="3" fontId="9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horizontal="left"/>
    </xf>
    <xf borderId="22" fillId="3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 readingOrder="0"/>
    </xf>
    <xf borderId="22" fillId="3" fontId="7" numFmtId="0" xfId="0" applyAlignment="1" applyBorder="1" applyFont="1">
      <alignment horizontal="center" shrinkToFit="0" vertical="center" wrapText="1"/>
    </xf>
    <xf borderId="22" fillId="3" fontId="7" numFmtId="9" xfId="0" applyAlignment="1" applyBorder="1" applyFont="1" applyNumberFormat="1">
      <alignment horizontal="center" shrinkToFit="0" vertical="center" wrapText="1"/>
    </xf>
    <xf borderId="22" fillId="3" fontId="7" numFmtId="10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center" vertical="center"/>
    </xf>
    <xf borderId="22" fillId="5" fontId="11" numFmtId="0" xfId="0" applyAlignment="1" applyBorder="1" applyFont="1">
      <alignment horizontal="right"/>
    </xf>
    <xf borderId="26" fillId="0" fontId="1" numFmtId="0" xfId="0" applyAlignment="1" applyBorder="1" applyFont="1">
      <alignment horizontal="center" vertical="center"/>
    </xf>
    <xf borderId="27" fillId="0" fontId="5" numFmtId="0" xfId="0" applyBorder="1" applyFont="1"/>
    <xf borderId="22" fillId="2" fontId="1" numFmtId="0" xfId="0" applyBorder="1" applyFont="1"/>
    <xf borderId="23" fillId="2" fontId="1" numFmtId="0" xfId="0" applyBorder="1" applyFont="1"/>
    <xf borderId="22" fillId="2" fontId="1" numFmtId="0" xfId="0" applyAlignment="1" applyBorder="1" applyFont="1">
      <alignment horizontal="center" vertical="center"/>
    </xf>
    <xf borderId="23" fillId="3" fontId="7" numFmtId="9" xfId="0" applyAlignment="1" applyBorder="1" applyFont="1" applyNumberFormat="1">
      <alignment horizontal="center" shrinkToFit="0" vertical="center" wrapText="1"/>
    </xf>
    <xf borderId="23" fillId="3" fontId="7" numFmtId="10" xfId="0" applyAlignment="1" applyBorder="1" applyFont="1" applyNumberFormat="1">
      <alignment horizontal="center" shrinkToFit="0" vertical="center" wrapText="1"/>
    </xf>
    <xf borderId="28" fillId="5" fontId="11" numFmtId="0" xfId="0" applyAlignment="1" applyBorder="1" applyFont="1">
      <alignment horizontal="right"/>
    </xf>
    <xf borderId="29" fillId="0" fontId="1" numFmtId="0" xfId="0" applyAlignment="1" applyBorder="1" applyFont="1">
      <alignment horizontal="center" vertical="center"/>
    </xf>
    <xf borderId="30" fillId="5" fontId="11" numFmtId="0" xfId="0" applyAlignment="1" applyBorder="1" applyFont="1">
      <alignment horizontal="right"/>
    </xf>
    <xf borderId="30" fillId="3" fontId="7" numFmtId="0" xfId="0" applyAlignment="1" applyBorder="1" applyFont="1">
      <alignment horizontal="center"/>
    </xf>
    <xf borderId="31" fillId="3" fontId="7" numFmtId="0" xfId="0" applyAlignment="1" applyBorder="1" applyFont="1">
      <alignment horizontal="center"/>
    </xf>
    <xf borderId="30" fillId="3" fontId="7" numFmtId="0" xfId="0" applyAlignment="1" applyBorder="1" applyFont="1">
      <alignment horizontal="center" shrinkToFit="0" vertical="center" wrapText="1"/>
    </xf>
    <xf borderId="30" fillId="3" fontId="7" numFmtId="9" xfId="0" applyAlignment="1" applyBorder="1" applyFont="1" applyNumberFormat="1">
      <alignment horizontal="center" shrinkToFit="0" vertical="center" wrapText="1"/>
    </xf>
    <xf borderId="32" fillId="3" fontId="7" numFmtId="10" xfId="0" applyAlignment="1" applyBorder="1" applyFont="1" applyNumberFormat="1">
      <alignment horizontal="center" shrinkToFit="0" vertical="center" wrapText="1"/>
    </xf>
    <xf borderId="33" fillId="4" fontId="7" numFmtId="0" xfId="0" applyBorder="1" applyFont="1"/>
    <xf borderId="30" fillId="4" fontId="10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vertical="center"/>
    </xf>
    <xf borderId="30" fillId="4" fontId="1" numFmtId="9" xfId="0" applyAlignment="1" applyBorder="1" applyFont="1" applyNumberFormat="1">
      <alignment horizontal="center" vertical="center"/>
    </xf>
    <xf borderId="32" fillId="4" fontId="1" numFmtId="0" xfId="0" applyAlignment="1" applyBorder="1" applyFont="1">
      <alignment horizontal="center" vertical="center"/>
    </xf>
    <xf borderId="34" fillId="0" fontId="5" numFmtId="0" xfId="0" applyBorder="1" applyFont="1"/>
    <xf borderId="30" fillId="2" fontId="1" numFmtId="0" xfId="0" applyBorder="1" applyFont="1"/>
    <xf borderId="32" fillId="2" fontId="1" numFmtId="0" xfId="0" applyBorder="1" applyFont="1"/>
    <xf borderId="30" fillId="2" fontId="1" numFmtId="0" xfId="0" applyAlignment="1" applyBorder="1" applyFont="1">
      <alignment horizontal="center" vertical="center"/>
    </xf>
    <xf borderId="14" fillId="3" fontId="7" numFmtId="0" xfId="0" applyAlignment="1" applyBorder="1" applyFont="1">
      <alignment horizontal="left"/>
    </xf>
    <xf borderId="1" fillId="4" fontId="7" numFmtId="0" xfId="0" applyAlignment="1" applyBorder="1" applyFont="1">
      <alignment horizontal="center" vertical="center"/>
    </xf>
    <xf borderId="1" fillId="4" fontId="7" numFmtId="9" xfId="0" applyAlignment="1" applyBorder="1" applyFont="1" applyNumberFormat="1">
      <alignment horizontal="center" vertical="center"/>
    </xf>
    <xf borderId="35" fillId="2" fontId="9" numFmtId="0" xfId="0" applyAlignment="1" applyBorder="1" applyFont="1">
      <alignment horizontal="center" shrinkToFit="0" vertical="center" wrapText="1"/>
    </xf>
    <xf borderId="23" fillId="2" fontId="12" numFmtId="0" xfId="0" applyBorder="1" applyFont="1"/>
    <xf borderId="33" fillId="3" fontId="9" numFmtId="0" xfId="0" applyAlignment="1" applyBorder="1" applyFont="1">
      <alignment shrinkToFit="0" vertical="center" wrapText="1"/>
    </xf>
    <xf borderId="30" fillId="3" fontId="9" numFmtId="0" xfId="0" applyAlignment="1" applyBorder="1" applyFont="1">
      <alignment shrinkToFit="0" vertical="center" wrapText="1"/>
    </xf>
    <xf borderId="32" fillId="3" fontId="7" numFmtId="0" xfId="0" applyAlignment="1" applyBorder="1" applyFont="1">
      <alignment horizontal="left"/>
    </xf>
    <xf borderId="22" fillId="2" fontId="1" numFmtId="3" xfId="0" applyAlignment="1" applyBorder="1" applyFont="1" applyNumberFormat="1">
      <alignment horizontal="center" vertical="center"/>
    </xf>
    <xf borderId="30" fillId="3" fontId="7" numFmtId="10" xfId="0" applyAlignment="1" applyBorder="1" applyFont="1" applyNumberFormat="1">
      <alignment horizontal="center" shrinkToFit="0" vertical="center" wrapText="1"/>
    </xf>
    <xf borderId="12" fillId="3" fontId="7" numFmtId="9" xfId="0" applyAlignment="1" applyBorder="1" applyFont="1" applyNumberFormat="1">
      <alignment horizontal="center" shrinkToFit="0" vertical="center" wrapText="1"/>
    </xf>
    <xf borderId="14" fillId="3" fontId="7" numFmtId="10" xfId="0" applyAlignment="1" applyBorder="1" applyFont="1" applyNumberFormat="1">
      <alignment horizontal="center" shrinkToFit="0" vertical="center" wrapText="1"/>
    </xf>
    <xf borderId="23" fillId="3" fontId="7" numFmtId="0" xfId="0" applyAlignment="1" applyBorder="1" applyFont="1">
      <alignment horizontal="left"/>
    </xf>
    <xf borderId="32" fillId="3" fontId="7" numFmtId="9" xfId="0" applyAlignment="1" applyBorder="1" applyFont="1" applyNumberFormat="1">
      <alignment horizontal="center" shrinkToFit="0" vertical="center" wrapText="1"/>
    </xf>
    <xf borderId="36" fillId="3" fontId="9" numFmtId="0" xfId="0" applyAlignment="1" applyBorder="1" applyFont="1">
      <alignment shrinkToFit="0" vertical="center" wrapText="1"/>
    </xf>
    <xf borderId="35" fillId="3" fontId="9" numFmtId="0" xfId="0" applyAlignment="1" applyBorder="1" applyFont="1">
      <alignment shrinkToFit="0" vertical="center" wrapText="1"/>
    </xf>
    <xf borderId="25" fillId="3" fontId="7" numFmtId="0" xfId="0" applyAlignment="1" applyBorder="1" applyFont="1">
      <alignment horizontal="left"/>
    </xf>
    <xf borderId="37" fillId="3" fontId="7" numFmtId="0" xfId="0" applyAlignment="1" applyBorder="1" applyFont="1">
      <alignment horizontal="center"/>
    </xf>
    <xf borderId="2" fillId="3" fontId="9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horizontal="left"/>
    </xf>
    <xf borderId="23" fillId="2" fontId="1" numFmtId="0" xfId="0" applyAlignment="1" applyBorder="1" applyFont="1">
      <alignment horizontal="center" vertical="center"/>
    </xf>
    <xf borderId="38" fillId="3" fontId="9" numFmtId="0" xfId="0" applyAlignment="1" applyBorder="1" applyFont="1">
      <alignment shrinkToFit="0" vertical="center" wrapText="1"/>
    </xf>
    <xf borderId="22" fillId="3" fontId="7" numFmtId="0" xfId="0" applyAlignment="1" applyBorder="1" applyFont="1">
      <alignment horizontal="left"/>
    </xf>
    <xf borderId="39" fillId="3" fontId="7" numFmtId="9" xfId="0" applyAlignment="1" applyBorder="1" applyFont="1" applyNumberFormat="1">
      <alignment horizontal="center" shrinkToFit="0" vertical="center" wrapText="1"/>
    </xf>
    <xf borderId="40" fillId="3" fontId="9" numFmtId="0" xfId="0" applyAlignment="1" applyBorder="1" applyFont="1">
      <alignment shrinkToFit="0" vertical="center" wrapText="1"/>
    </xf>
    <xf borderId="35" fillId="3" fontId="7" numFmtId="0" xfId="0" applyAlignment="1" applyBorder="1" applyFont="1">
      <alignment horizontal="left"/>
    </xf>
    <xf borderId="35" fillId="3" fontId="7" numFmtId="0" xfId="0" applyAlignment="1" applyBorder="1" applyFont="1">
      <alignment horizontal="center"/>
    </xf>
    <xf borderId="35" fillId="3" fontId="7" numFmtId="0" xfId="0" applyAlignment="1" applyBorder="1" applyFont="1">
      <alignment horizontal="center" readingOrder="0"/>
    </xf>
    <xf borderId="35" fillId="3" fontId="7" numFmtId="9" xfId="0" applyAlignment="1" applyBorder="1" applyFont="1" applyNumberFormat="1">
      <alignment horizontal="center" shrinkToFit="0" vertical="center" wrapText="1"/>
    </xf>
    <xf borderId="35" fillId="3" fontId="7" numFmtId="10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42" fillId="3" fontId="9" numFmtId="0" xfId="0" applyAlignment="1" applyBorder="1" applyFont="1">
      <alignment shrinkToFit="0" vertical="center" wrapText="1"/>
    </xf>
    <xf borderId="15" fillId="3" fontId="9" numFmtId="0" xfId="0" applyAlignment="1" applyBorder="1" applyFont="1">
      <alignment shrinkToFit="0" vertical="center" wrapText="1"/>
    </xf>
    <xf borderId="15" fillId="3" fontId="7" numFmtId="0" xfId="0" applyAlignment="1" applyBorder="1" applyFont="1">
      <alignment horizontal="left"/>
    </xf>
    <xf borderId="42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0" fillId="3" fontId="7" numFmtId="9" xfId="0" applyAlignment="1" applyFont="1" applyNumberFormat="1">
      <alignment horizontal="center" shrinkToFit="0" vertical="center" wrapText="1"/>
    </xf>
    <xf borderId="15" fillId="3" fontId="7" numFmtId="10" xfId="0" applyAlignment="1" applyBorder="1" applyFont="1" applyNumberFormat="1">
      <alignment horizontal="center" shrinkToFit="0" vertical="center" wrapText="1"/>
    </xf>
    <xf borderId="41" fillId="2" fontId="1" numFmtId="0" xfId="0" applyBorder="1" applyFont="1"/>
    <xf borderId="35" fillId="2" fontId="1" numFmtId="0" xfId="0" applyBorder="1" applyFont="1"/>
    <xf borderId="35" fillId="2" fontId="1" numFmtId="0" xfId="0" applyAlignment="1" applyBorder="1" applyFont="1">
      <alignment horizontal="center"/>
    </xf>
    <xf borderId="43" fillId="3" fontId="9" numFmtId="0" xfId="0" applyAlignment="1" applyBorder="1" applyFont="1">
      <alignment shrinkToFit="0" vertical="center" wrapText="1"/>
    </xf>
    <xf borderId="34" fillId="3" fontId="9" numFmtId="0" xfId="0" applyAlignment="1" applyBorder="1" applyFont="1">
      <alignment shrinkToFit="0" vertical="center" wrapText="1"/>
    </xf>
    <xf borderId="34" fillId="3" fontId="7" numFmtId="0" xfId="0" applyAlignment="1" applyBorder="1" applyFont="1">
      <alignment horizontal="left"/>
    </xf>
    <xf borderId="43" fillId="3" fontId="7" numFmtId="0" xfId="0" applyAlignment="1" applyBorder="1" applyFont="1">
      <alignment horizontal="center"/>
    </xf>
    <xf borderId="34" fillId="3" fontId="7" numFmtId="0" xfId="0" applyAlignment="1" applyBorder="1" applyFont="1">
      <alignment horizontal="center"/>
    </xf>
    <xf borderId="43" fillId="3" fontId="7" numFmtId="0" xfId="0" applyAlignment="1" applyBorder="1" applyFont="1">
      <alignment horizontal="center" readingOrder="0"/>
    </xf>
    <xf borderId="34" fillId="3" fontId="7" numFmtId="0" xfId="0" applyAlignment="1" applyBorder="1" applyFont="1">
      <alignment horizontal="center" readingOrder="0"/>
    </xf>
    <xf borderId="44" fillId="3" fontId="7" numFmtId="9" xfId="0" applyAlignment="1" applyBorder="1" applyFont="1" applyNumberFormat="1">
      <alignment horizontal="center" shrinkToFit="0" vertical="center" wrapText="1"/>
    </xf>
    <xf borderId="34" fillId="3" fontId="7" numFmtId="10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readingOrder="0"/>
    </xf>
    <xf borderId="29" fillId="2" fontId="1" numFmtId="0" xfId="0" applyAlignment="1" applyBorder="1" applyFont="1">
      <alignment horizontal="center" readingOrder="0"/>
    </xf>
    <xf borderId="45" fillId="3" fontId="9" numFmtId="0" xfId="0" applyAlignment="1" applyBorder="1" applyFont="1">
      <alignment shrinkToFit="0" vertical="center" wrapText="1"/>
    </xf>
    <xf borderId="46" fillId="3" fontId="9" numFmtId="0" xfId="0" applyAlignment="1" applyBorder="1" applyFont="1">
      <alignment shrinkToFit="0" vertical="center" wrapText="1"/>
    </xf>
    <xf borderId="47" fillId="3" fontId="7" numFmtId="0" xfId="0" applyAlignment="1" applyBorder="1" applyFont="1">
      <alignment horizontal="left"/>
    </xf>
    <xf borderId="46" fillId="3" fontId="7" numFmtId="0" xfId="0" applyAlignment="1" applyBorder="1" applyFont="1">
      <alignment horizontal="center"/>
    </xf>
    <xf borderId="47" fillId="3" fontId="7" numFmtId="0" xfId="0" applyAlignment="1" applyBorder="1" applyFont="1">
      <alignment horizontal="center"/>
    </xf>
    <xf borderId="48" fillId="3" fontId="7" numFmtId="9" xfId="0" applyAlignment="1" applyBorder="1" applyFont="1" applyNumberFormat="1">
      <alignment horizontal="center" shrinkToFit="0" vertical="center" wrapText="1"/>
    </xf>
    <xf borderId="46" fillId="3" fontId="7" numFmtId="10" xfId="0" applyAlignment="1" applyBorder="1" applyFont="1" applyNumberFormat="1">
      <alignment horizontal="center" shrinkToFit="0" vertical="center" wrapText="1"/>
    </xf>
    <xf borderId="46" fillId="2" fontId="1" numFmtId="0" xfId="0" applyBorder="1" applyFont="1"/>
    <xf borderId="32" fillId="2" fontId="1" numFmtId="0" xfId="0" applyAlignment="1" applyBorder="1" applyFont="1">
      <alignment horizontal="center" vertical="center"/>
    </xf>
    <xf borderId="1" fillId="3" fontId="7" numFmtId="165" xfId="0" applyAlignment="1" applyBorder="1" applyFont="1" applyNumberFormat="1">
      <alignment horizontal="center"/>
    </xf>
    <xf borderId="1" fillId="3" fontId="7" numFmtId="165" xfId="0" applyAlignment="1" applyBorder="1" applyFont="1" applyNumberFormat="1">
      <alignment horizontal="right"/>
    </xf>
    <xf borderId="1" fillId="3" fontId="7" numFmtId="0" xfId="0" applyAlignment="1" applyBorder="1" applyFont="1">
      <alignment horizontal="right"/>
    </xf>
    <xf borderId="1" fillId="3" fontId="7" numFmtId="9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textRotation="90" vertical="center"/>
    </xf>
    <xf borderId="1" fillId="2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7" numFmtId="9" xfId="0" applyAlignment="1" applyFont="1" applyNumberFormat="1">
      <alignment horizontal="center"/>
    </xf>
    <xf borderId="1" fillId="8" fontId="3" numFmtId="0" xfId="0" applyBorder="1" applyFill="1" applyFont="1"/>
    <xf borderId="1" fillId="8" fontId="1" numFmtId="0" xfId="0" applyBorder="1" applyFont="1"/>
    <xf borderId="1" fillId="8" fontId="1" numFmtId="165" xfId="0" applyAlignment="1" applyBorder="1" applyFont="1" applyNumberFormat="1">
      <alignment horizontal="center"/>
    </xf>
    <xf borderId="1" fillId="8" fontId="6" numFmtId="0" xfId="0" applyAlignment="1" applyBorder="1" applyFont="1">
      <alignment horizontal="right"/>
    </xf>
    <xf borderId="19" fillId="7" fontId="6" numFmtId="0" xfId="0" applyBorder="1" applyFont="1"/>
    <xf borderId="19" fillId="7" fontId="6" numFmtId="0" xfId="0" applyAlignment="1" applyBorder="1" applyFont="1">
      <alignment horizontal="center"/>
    </xf>
    <xf borderId="12" fillId="7" fontId="6" numFmtId="0" xfId="0" applyAlignment="1" applyBorder="1" applyFont="1">
      <alignment horizontal="center"/>
    </xf>
    <xf borderId="20" fillId="7" fontId="6" numFmtId="0" xfId="0" applyAlignment="1" applyBorder="1" applyFont="1">
      <alignment horizontal="center"/>
    </xf>
    <xf borderId="25" fillId="8" fontId="6" numFmtId="0" xfId="0" applyAlignment="1" applyBorder="1" applyFont="1">
      <alignment horizontal="center" textRotation="90" vertical="center"/>
    </xf>
    <xf borderId="1" fillId="8" fontId="7" numFmtId="0" xfId="0" applyAlignment="1" applyBorder="1" applyFont="1">
      <alignment horizontal="center"/>
    </xf>
    <xf borderId="9" fillId="8" fontId="9" numFmtId="0" xfId="0" applyAlignment="1" applyBorder="1" applyFont="1">
      <alignment horizontal="center" shrinkToFit="0" vertical="center" wrapText="1"/>
    </xf>
    <xf borderId="12" fillId="8" fontId="1" numFmtId="0" xfId="0" applyBorder="1" applyFont="1"/>
    <xf borderId="20" fillId="8" fontId="7" numFmtId="2" xfId="0" applyAlignment="1" applyBorder="1" applyFont="1" applyNumberFormat="1">
      <alignment horizontal="center"/>
    </xf>
    <xf borderId="12" fillId="8" fontId="7" numFmtId="2" xfId="0" applyAlignment="1" applyBorder="1" applyFont="1" applyNumberFormat="1">
      <alignment horizontal="center"/>
    </xf>
    <xf borderId="49" fillId="0" fontId="5" numFmtId="0" xfId="0" applyBorder="1" applyFont="1"/>
    <xf borderId="22" fillId="8" fontId="1" numFmtId="0" xfId="0" applyBorder="1" applyFont="1"/>
    <xf borderId="1" fillId="8" fontId="7" numFmtId="2" xfId="0" applyAlignment="1" applyBorder="1" applyFont="1" applyNumberFormat="1">
      <alignment horizontal="center"/>
    </xf>
    <xf borderId="22" fillId="8" fontId="7" numFmtId="2" xfId="0" applyAlignment="1" applyBorder="1" applyFont="1" applyNumberFormat="1">
      <alignment horizontal="center"/>
    </xf>
    <xf borderId="30" fillId="8" fontId="1" numFmtId="0" xfId="0" applyBorder="1" applyFont="1"/>
    <xf borderId="31" fillId="8" fontId="7" numFmtId="2" xfId="0" applyAlignment="1" applyBorder="1" applyFont="1" applyNumberFormat="1">
      <alignment horizontal="center"/>
    </xf>
    <xf borderId="30" fillId="8" fontId="7" numFmtId="2" xfId="0" applyAlignment="1" applyBorder="1" applyFont="1" applyNumberFormat="1">
      <alignment horizontal="center"/>
    </xf>
    <xf borderId="36" fillId="8" fontId="9" numFmtId="0" xfId="0" applyAlignment="1" applyBorder="1" applyFont="1">
      <alignment horizontal="center" shrinkToFit="0" vertical="center" wrapText="1"/>
    </xf>
    <xf borderId="0" fillId="0" fontId="1" numFmtId="9" xfId="0" applyFont="1" applyNumberFormat="1"/>
    <xf borderId="35" fillId="8" fontId="1" numFmtId="0" xfId="0" applyBorder="1" applyFont="1"/>
    <xf borderId="25" fillId="8" fontId="7" numFmtId="2" xfId="0" applyAlignment="1" applyBorder="1" applyFont="1" applyNumberFormat="1">
      <alignment horizontal="center"/>
    </xf>
    <xf borderId="35" fillId="8" fontId="7" numFmtId="2" xfId="0" applyAlignment="1" applyBorder="1" applyFont="1" applyNumberFormat="1">
      <alignment horizontal="center"/>
    </xf>
    <xf borderId="50" fillId="8" fontId="9" numFmtId="0" xfId="0" applyAlignment="1" applyBorder="1" applyFont="1">
      <alignment horizontal="center" shrinkToFit="0" vertical="center" wrapText="1"/>
    </xf>
    <xf borderId="42" fillId="0" fontId="5" numFmtId="0" xfId="0" applyBorder="1" applyFont="1"/>
    <xf borderId="15" fillId="8" fontId="1" numFmtId="0" xfId="0" applyBorder="1" applyFont="1"/>
    <xf borderId="0" fillId="8" fontId="1" numFmtId="0" xfId="0" applyFont="1"/>
    <xf borderId="15" fillId="8" fontId="7" numFmtId="2" xfId="0" applyAlignment="1" applyBorder="1" applyFont="1" applyNumberFormat="1">
      <alignment horizontal="center"/>
    </xf>
    <xf borderId="0" fillId="8" fontId="7" numFmtId="2" xfId="0" applyAlignment="1" applyFont="1" applyNumberFormat="1">
      <alignment horizontal="center"/>
    </xf>
    <xf borderId="26" fillId="8" fontId="7" numFmtId="2" xfId="0" applyAlignment="1" applyBorder="1" applyFont="1" applyNumberFormat="1">
      <alignment horizontal="center"/>
    </xf>
    <xf borderId="43" fillId="0" fontId="5" numFmtId="0" xfId="0" applyBorder="1" applyFont="1"/>
    <xf borderId="34" fillId="8" fontId="1" numFmtId="0" xfId="0" applyBorder="1" applyFont="1"/>
    <xf borderId="44" fillId="8" fontId="1" numFmtId="0" xfId="0" applyBorder="1" applyFont="1"/>
    <xf borderId="34" fillId="8" fontId="7" numFmtId="2" xfId="0" applyAlignment="1" applyBorder="1" applyFont="1" applyNumberFormat="1">
      <alignment horizontal="center"/>
    </xf>
    <xf borderId="44" fillId="8" fontId="7" numFmtId="2" xfId="0" applyAlignment="1" applyBorder="1" applyFont="1" applyNumberFormat="1">
      <alignment horizontal="center"/>
    </xf>
    <xf borderId="29" fillId="8" fontId="7" numFmtId="2" xfId="0" applyAlignment="1" applyBorder="1" applyFont="1" applyNumberFormat="1">
      <alignment horizontal="center"/>
    </xf>
    <xf borderId="46" fillId="8" fontId="1" numFmtId="0" xfId="0" applyBorder="1" applyFont="1"/>
    <xf borderId="47" fillId="8" fontId="7" numFmtId="2" xfId="0" applyAlignment="1" applyBorder="1" applyFont="1" applyNumberFormat="1">
      <alignment horizontal="center"/>
    </xf>
    <xf borderId="46" fillId="8" fontId="7" numFmtId="2" xfId="0" applyAlignment="1" applyBorder="1" applyFont="1" applyNumberFormat="1">
      <alignment horizontal="center"/>
    </xf>
    <xf borderId="1" fillId="8" fontId="9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/>
    </xf>
    <xf borderId="1" fillId="9" fontId="4" numFmtId="0" xfId="0" applyBorder="1" applyFill="1" applyFont="1"/>
    <xf borderId="13" fillId="7" fontId="6" numFmtId="0" xfId="0" applyAlignment="1" applyBorder="1" applyFont="1">
      <alignment horizontal="center"/>
    </xf>
    <xf borderId="51" fillId="7" fontId="6" numFmtId="0" xfId="0" applyAlignment="1" applyBorder="1" applyFont="1">
      <alignment horizontal="center"/>
    </xf>
    <xf borderId="1" fillId="9" fontId="8" numFmtId="0" xfId="0" applyAlignment="1" applyBorder="1" applyFont="1">
      <alignment horizontal="right" vertical="center"/>
    </xf>
    <xf borderId="19" fillId="9" fontId="8" numFmtId="2" xfId="0" applyAlignment="1" applyBorder="1" applyFont="1" applyNumberFormat="1">
      <alignment horizontal="center" vertical="center"/>
    </xf>
    <xf borderId="12" fillId="9" fontId="8" numFmtId="2" xfId="0" applyAlignment="1" applyBorder="1" applyFont="1" applyNumberFormat="1">
      <alignment horizontal="center" vertical="center"/>
    </xf>
    <xf borderId="20" fillId="9" fontId="8" numFmtId="2" xfId="0" applyAlignment="1" applyBorder="1" applyFont="1" applyNumberFormat="1">
      <alignment horizontal="center" vertical="center"/>
    </xf>
    <xf borderId="33" fillId="9" fontId="8" numFmtId="2" xfId="0" applyAlignment="1" applyBorder="1" applyFont="1" applyNumberFormat="1">
      <alignment horizontal="center" vertical="center"/>
    </xf>
    <xf borderId="30" fillId="9" fontId="8" numFmtId="2" xfId="0" applyAlignment="1" applyBorder="1" applyFont="1" applyNumberFormat="1">
      <alignment horizontal="center" vertical="center"/>
    </xf>
    <xf borderId="31" fillId="9" fontId="8" numFmtId="2" xfId="0" applyAlignment="1" applyBorder="1" applyFont="1" applyNumberFormat="1">
      <alignment horizontal="center" vertical="center"/>
    </xf>
    <xf borderId="1" fillId="9" fontId="8" numFmtId="0" xfId="0" applyAlignment="1" applyBorder="1" applyFont="1">
      <alignment horizontal="right"/>
    </xf>
    <xf borderId="12" fillId="9" fontId="8" numFmtId="166" xfId="0" applyAlignment="1" applyBorder="1" applyFont="1" applyNumberFormat="1">
      <alignment horizontal="center"/>
    </xf>
    <xf borderId="20" fillId="9" fontId="8" numFmtId="166" xfId="0" applyAlignment="1" applyBorder="1" applyFont="1" applyNumberFormat="1">
      <alignment horizontal="center"/>
    </xf>
    <xf borderId="14" fillId="9" fontId="8" numFmtId="166" xfId="0" applyAlignment="1" applyBorder="1" applyFont="1" applyNumberFormat="1">
      <alignment horizontal="center"/>
    </xf>
    <xf borderId="22" fillId="9" fontId="8" numFmtId="2" xfId="0" applyAlignment="1" applyBorder="1" applyFont="1" applyNumberFormat="1">
      <alignment horizontal="center"/>
    </xf>
    <xf borderId="1" fillId="9" fontId="8" numFmtId="2" xfId="0" applyAlignment="1" applyBorder="1" applyFont="1" applyNumberFormat="1">
      <alignment horizontal="center"/>
    </xf>
    <xf borderId="23" fillId="9" fontId="8" numFmtId="2" xfId="0" applyAlignment="1" applyBorder="1" applyFont="1" applyNumberFormat="1">
      <alignment horizontal="center"/>
    </xf>
    <xf borderId="30" fillId="9" fontId="8" numFmtId="2" xfId="0" applyAlignment="1" applyBorder="1" applyFont="1" applyNumberFormat="1">
      <alignment horizontal="center"/>
    </xf>
    <xf borderId="31" fillId="9" fontId="8" numFmtId="2" xfId="0" applyAlignment="1" applyBorder="1" applyFont="1" applyNumberFormat="1">
      <alignment horizontal="center"/>
    </xf>
    <xf borderId="32" fillId="9" fontId="8" numFmtId="2" xfId="0" applyAlignment="1" applyBorder="1" applyFont="1" applyNumberFormat="1">
      <alignment horizontal="center"/>
    </xf>
    <xf borderId="1" fillId="10" fontId="3" numFmtId="0" xfId="0" applyBorder="1" applyFill="1" applyFont="1"/>
    <xf borderId="1" fillId="10" fontId="7" numFmtId="2" xfId="0" applyAlignment="1" applyBorder="1" applyFont="1" applyNumberFormat="1">
      <alignment horizontal="right"/>
    </xf>
    <xf borderId="12" fillId="10" fontId="1" numFmtId="2" xfId="0" applyAlignment="1" applyBorder="1" applyFont="1" applyNumberFormat="1">
      <alignment horizontal="center" vertical="center"/>
    </xf>
    <xf borderId="20" fillId="10" fontId="1" numFmtId="2" xfId="0" applyAlignment="1" applyBorder="1" applyFont="1" applyNumberFormat="1">
      <alignment horizontal="center" vertical="center"/>
    </xf>
    <xf borderId="14" fillId="10" fontId="1" numFmtId="2" xfId="0" applyAlignment="1" applyBorder="1" applyFont="1" applyNumberFormat="1">
      <alignment horizontal="center" vertical="center"/>
    </xf>
    <xf borderId="22" fillId="10" fontId="1" numFmtId="2" xfId="0" applyAlignment="1" applyBorder="1" applyFont="1" applyNumberFormat="1">
      <alignment horizontal="center" vertical="center"/>
    </xf>
    <xf borderId="1" fillId="10" fontId="1" numFmtId="2" xfId="0" applyAlignment="1" applyBorder="1" applyFont="1" applyNumberFormat="1">
      <alignment horizontal="center" vertical="center"/>
    </xf>
    <xf borderId="23" fillId="10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30" fillId="10" fontId="1" numFmtId="2" xfId="0" applyAlignment="1" applyBorder="1" applyFont="1" applyNumberFormat="1">
      <alignment horizontal="center" vertical="center"/>
    </xf>
    <xf borderId="31" fillId="10" fontId="1" numFmtId="2" xfId="0" applyAlignment="1" applyBorder="1" applyFont="1" applyNumberFormat="1">
      <alignment horizontal="center" vertical="center"/>
    </xf>
    <xf borderId="32" fillId="10" fontId="1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Sensitivity to Weight on Cost</a:t>
            </a:r>
          </a:p>
        </c:rich>
      </c:tx>
      <c:layout>
        <c:manualLayout>
          <c:xMode val="edge"/>
          <c:yMode val="edge"/>
          <c:x val="0.3551132636856939"/>
          <c:y val="0.03729912454957891"/>
        </c:manualLayout>
      </c:layout>
      <c:overlay val="0"/>
    </c:title>
    <c:plotArea>
      <c:layout>
        <c:manualLayout>
          <c:xMode val="edge"/>
          <c:yMode val="edge"/>
          <c:x val="0.09902270805061482"/>
          <c:y val="0.10196464615057328"/>
          <c:w val="0.7514924360690207"/>
          <c:h val="0.8033226484089515"/>
        </c:manualLayout>
      </c:layout>
      <c:scatterChart>
        <c:scatterStyle val="lineMarker"/>
        <c:ser>
          <c:idx val="0"/>
          <c:order val="0"/>
          <c:tx>
            <c:v>Tesla Model 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'Vehicle MAU'!$F$83:$F$87</c:f>
            </c:numRef>
          </c:xVal>
          <c:yVal>
            <c:numRef>
              <c:f>'Vehicle MAU'!$G$83:$G$87</c:f>
              <c:numCache/>
            </c:numRef>
          </c:yVal>
        </c:ser>
        <c:ser>
          <c:idx val="1"/>
          <c:order val="1"/>
          <c:tx>
            <c:v>Mustang Mach E GT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'Vehicle MAU'!$F$83:$F$87</c:f>
            </c:numRef>
          </c:xVal>
          <c:yVal>
            <c:numRef>
              <c:f>'Vehicle MAU'!$H$83:$H$87</c:f>
              <c:numCache/>
            </c:numRef>
          </c:yVal>
        </c:ser>
        <c:ser>
          <c:idx val="2"/>
          <c:order val="2"/>
          <c:tx>
            <c:v>VW Atlas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'Vehicle MAU'!$F$83:$F$87</c:f>
            </c:numRef>
          </c:xVal>
          <c:yVal>
            <c:numRef>
              <c:f>'Vehicle MAU'!$I$83:$I$87</c:f>
              <c:numCache/>
            </c:numRef>
          </c:yVal>
        </c:ser>
        <c:ser>
          <c:idx val="3"/>
          <c:order val="3"/>
          <c:tx>
            <c:v>Jeep Grand Cherokee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'Vehicle MAU'!$F$83:$F$87</c:f>
            </c:numRef>
          </c:xVal>
          <c:yVal>
            <c:numRef>
              <c:f>'Vehicle MAU'!$J$83:$J$87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67766"/>
        <c:axId val="648590965"/>
      </c:scatterChart>
      <c:valAx>
        <c:axId val="13422677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Weight on Cost</a:t>
                </a:r>
              </a:p>
            </c:rich>
          </c:tx>
          <c:layout>
            <c:manualLayout>
              <c:xMode val="edge"/>
              <c:yMode val="edge"/>
              <c:x val="0.40630663324437083"/>
              <c:y val="0.95101645541349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48590965"/>
      </c:valAx>
      <c:valAx>
        <c:axId val="648590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Weighted Multiattribute Utility</a:t>
                </a:r>
              </a:p>
            </c:rich>
          </c:tx>
          <c:layout>
            <c:manualLayout>
              <c:xMode val="edge"/>
              <c:yMode val="edge"/>
              <c:x val="0.02017260046964131"/>
              <c:y val="0.31884928689207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422677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Cost Vs Utility</a:t>
            </a:r>
          </a:p>
        </c:rich>
      </c:tx>
      <c:layout>
        <c:manualLayout>
          <c:xMode val="edge"/>
          <c:yMode val="edge"/>
          <c:x val="0.3985102420856611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'Vehicle MAU'!$G$78:$J$78</c:f>
            </c:numRef>
          </c:xVal>
          <c:yVal>
            <c:numRef>
              <c:f>'Vehicle MAU'!$G$75:$J$75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85731"/>
        <c:axId val="399252876"/>
      </c:scatterChart>
      <c:valAx>
        <c:axId val="919885731"/>
        <c:scaling>
          <c:orientation val="minMax"/>
          <c:max val="7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52876"/>
      </c:valAx>
      <c:valAx>
        <c:axId val="39925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8857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304800</xdr:colOff>
      <xdr:row>38</xdr:row>
      <xdr:rowOff>219075</xdr:rowOff>
    </xdr:from>
    <xdr:ext cx="10744200" cy="7915275"/>
    <xdr:graphicFrame>
      <xdr:nvGraphicFramePr>
        <xdr:cNvPr id="19858316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142875</xdr:colOff>
      <xdr:row>39</xdr:row>
      <xdr:rowOff>57150</xdr:rowOff>
    </xdr:from>
    <xdr:ext cx="10229850" cy="8001000"/>
    <xdr:graphicFrame>
      <xdr:nvGraphicFramePr>
        <xdr:cNvPr id="9974844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38"/>
    <col customWidth="1" min="3" max="3" width="5.0"/>
    <col customWidth="1" min="4" max="4" width="18.88"/>
    <col customWidth="1" min="5" max="5" width="25.63"/>
    <col customWidth="1" min="6" max="6" width="33.5"/>
    <col customWidth="1" min="7" max="10" width="21.63"/>
    <col customWidth="1" min="11" max="11" width="3.88"/>
    <col customWidth="1" min="12" max="12" width="4.88"/>
    <col customWidth="1" min="13" max="13" width="22.0"/>
    <col customWidth="1" min="14" max="14" width="25.5"/>
    <col customWidth="1" min="15" max="15" width="36.0"/>
    <col customWidth="1" min="16" max="20" width="10.88"/>
    <col customWidth="1" min="21" max="21" width="10.5"/>
    <col customWidth="1" min="22" max="22" width="6.38"/>
    <col customWidth="1" min="23" max="23" width="6.5"/>
    <col customWidth="1" min="24" max="24" width="5.0"/>
    <col customWidth="1" min="25" max="25" width="22.0"/>
    <col customWidth="1" min="26" max="27" width="8.88"/>
    <col customWidth="1" min="28" max="28" width="10.13"/>
    <col customWidth="1" min="29" max="29" width="9.5"/>
    <col customWidth="1" min="30" max="30" width="8.88"/>
    <col customWidth="1" min="31" max="31" width="14.0"/>
    <col customWidth="1" min="32" max="32" width="13.5"/>
    <col customWidth="1" min="33" max="35" width="8.88"/>
  </cols>
  <sheetData>
    <row r="1" ht="16.5" customHeight="1">
      <c r="A1" s="1"/>
      <c r="B1" s="1"/>
      <c r="C1" s="2"/>
      <c r="D1" s="2"/>
    </row>
    <row r="2" ht="12.75" customHeight="1">
      <c r="A2" s="1"/>
      <c r="B2" s="1"/>
      <c r="C2" s="3" t="s">
        <v>0</v>
      </c>
    </row>
    <row r="3" ht="12.75" customHeight="1"/>
    <row r="4" ht="20.25" customHeight="1">
      <c r="B4" s="4" t="s">
        <v>1</v>
      </c>
      <c r="C4" s="5"/>
      <c r="D4" s="4"/>
      <c r="E4" s="4"/>
      <c r="F4" s="5"/>
      <c r="G4" s="5"/>
      <c r="H4" s="5"/>
      <c r="I4" s="5"/>
      <c r="J4" s="5"/>
      <c r="L4" s="6" t="s">
        <v>2</v>
      </c>
      <c r="M4" s="6"/>
      <c r="N4" s="6"/>
      <c r="O4" s="6"/>
      <c r="P4" s="6"/>
      <c r="Q4" s="6"/>
      <c r="R4" s="6"/>
      <c r="S4" s="6"/>
      <c r="T4" s="6"/>
      <c r="U4" s="7"/>
      <c r="W4" s="8" t="s">
        <v>3</v>
      </c>
      <c r="X4" s="8"/>
      <c r="Y4" s="9"/>
      <c r="Z4" s="9"/>
      <c r="AA4" s="9"/>
      <c r="AB4" s="9"/>
      <c r="AC4" s="9"/>
      <c r="AE4" s="10" t="s">
        <v>4</v>
      </c>
      <c r="AF4" s="11"/>
    </row>
    <row r="5" ht="12.75" customHeight="1">
      <c r="B5" s="5"/>
      <c r="C5" s="5"/>
      <c r="D5" s="5"/>
      <c r="E5" s="5"/>
      <c r="F5" s="5"/>
      <c r="G5" s="12" t="s">
        <v>5</v>
      </c>
      <c r="H5" s="13"/>
      <c r="I5" s="13"/>
      <c r="J5" s="14"/>
      <c r="L5" s="7"/>
      <c r="M5" s="7"/>
      <c r="N5" s="7"/>
      <c r="O5" s="7"/>
      <c r="P5" s="15" t="s">
        <v>6</v>
      </c>
      <c r="Q5" s="14"/>
      <c r="R5" s="16" t="s">
        <v>7</v>
      </c>
      <c r="S5" s="16" t="s">
        <v>8</v>
      </c>
      <c r="T5" s="17" t="s">
        <v>9</v>
      </c>
      <c r="U5" s="17" t="s">
        <v>10</v>
      </c>
      <c r="W5" s="9"/>
      <c r="X5" s="9"/>
      <c r="Y5" s="16" t="s">
        <v>11</v>
      </c>
      <c r="Z5" s="16" t="s">
        <v>12</v>
      </c>
      <c r="AA5" s="16" t="s">
        <v>13</v>
      </c>
      <c r="AB5" s="16" t="s">
        <v>14</v>
      </c>
      <c r="AC5" s="16" t="s">
        <v>15</v>
      </c>
      <c r="AE5" s="18" t="s">
        <v>16</v>
      </c>
      <c r="AF5" s="19" t="s">
        <v>17</v>
      </c>
    </row>
    <row r="6" ht="15.75" customHeight="1">
      <c r="B6" s="5"/>
      <c r="C6" s="20" t="s">
        <v>18</v>
      </c>
      <c r="D6" s="21" t="s">
        <v>11</v>
      </c>
      <c r="E6" s="21" t="s">
        <v>19</v>
      </c>
      <c r="F6" s="22" t="s">
        <v>20</v>
      </c>
      <c r="G6" s="23" t="s">
        <v>21</v>
      </c>
      <c r="H6" s="23" t="s">
        <v>22</v>
      </c>
      <c r="I6" s="23" t="s">
        <v>23</v>
      </c>
      <c r="J6" s="23" t="s">
        <v>24</v>
      </c>
      <c r="L6" s="24" t="s">
        <v>18</v>
      </c>
      <c r="M6" s="21" t="s">
        <v>11</v>
      </c>
      <c r="N6" s="25" t="s">
        <v>19</v>
      </c>
      <c r="O6" s="26" t="s">
        <v>25</v>
      </c>
      <c r="P6" s="27" t="s">
        <v>26</v>
      </c>
      <c r="Q6" s="28" t="s">
        <v>27</v>
      </c>
      <c r="R6" s="29"/>
      <c r="S6" s="29"/>
      <c r="T6" s="30"/>
      <c r="U6" s="30"/>
      <c r="W6" s="9"/>
      <c r="X6" s="31" t="s">
        <v>18</v>
      </c>
      <c r="Y6" s="29"/>
      <c r="Z6" s="29"/>
      <c r="AA6" s="29"/>
      <c r="AB6" s="29"/>
      <c r="AC6" s="29"/>
      <c r="AE6" s="32"/>
      <c r="AF6" s="33"/>
    </row>
    <row r="7" ht="15.75" customHeight="1">
      <c r="B7" s="34" t="s">
        <v>28</v>
      </c>
      <c r="C7" s="35">
        <v>1.0</v>
      </c>
      <c r="D7" s="36" t="s">
        <v>29</v>
      </c>
      <c r="E7" s="37" t="s">
        <v>30</v>
      </c>
      <c r="F7" s="38" t="s">
        <v>31</v>
      </c>
      <c r="G7" s="39">
        <v>57581.0</v>
      </c>
      <c r="H7" s="39">
        <v>55316.0</v>
      </c>
      <c r="I7" s="39">
        <v>58594.0</v>
      </c>
      <c r="J7" s="39">
        <v>70049.0</v>
      </c>
      <c r="L7" s="24">
        <f t="shared" ref="L7:L35" si="2">C7</f>
        <v>1</v>
      </c>
      <c r="M7" s="40" t="s">
        <v>32</v>
      </c>
      <c r="N7" s="41" t="str">
        <f t="shared" ref="N7:O7" si="1">E8</f>
        <v>0-60mph Time</v>
      </c>
      <c r="O7" s="42" t="str">
        <f t="shared" si="1"/>
        <v>Seconds</v>
      </c>
      <c r="P7" s="43">
        <v>3.0</v>
      </c>
      <c r="Q7" s="44">
        <v>10.0</v>
      </c>
      <c r="R7" s="45">
        <v>2.0</v>
      </c>
      <c r="S7" s="45">
        <v>90.0</v>
      </c>
      <c r="T7" s="46">
        <f t="shared" ref="T7:T35" si="4">S7/VLOOKUP(M7,$Y$7:$AC$13,5,FALSE)</f>
        <v>0.1956521739</v>
      </c>
      <c r="U7" s="47">
        <f t="shared" ref="U7:U35" si="5">T7*VLOOKUP(M7,$Y$7:$AB$13,4,FALSE)</f>
        <v>0.04294803818</v>
      </c>
      <c r="W7" s="9"/>
      <c r="X7" s="48">
        <v>1.0</v>
      </c>
      <c r="Y7" s="49" t="s">
        <v>32</v>
      </c>
      <c r="Z7" s="50">
        <v>1.0</v>
      </c>
      <c r="AA7" s="51">
        <v>90.0</v>
      </c>
      <c r="AB7" s="52">
        <f t="shared" ref="AB7:AB13" si="6">AA7/$AA$14</f>
        <v>0.2195121951</v>
      </c>
      <c r="AC7" s="53">
        <f t="shared" ref="AC7:AC13" si="7">SUMIF($M$7:$M$35,Y7,$S$7:$S$35)</f>
        <v>460</v>
      </c>
      <c r="AE7" s="54" t="s">
        <v>33</v>
      </c>
      <c r="AF7" s="55">
        <v>100.0</v>
      </c>
    </row>
    <row r="8" ht="15.75" customHeight="1">
      <c r="B8" s="56" t="s">
        <v>34</v>
      </c>
      <c r="C8" s="35">
        <f t="shared" ref="C8:C36" si="8">C7+1</f>
        <v>2</v>
      </c>
      <c r="D8" s="57" t="s">
        <v>32</v>
      </c>
      <c r="E8" s="37" t="s">
        <v>35</v>
      </c>
      <c r="F8" s="38" t="s">
        <v>36</v>
      </c>
      <c r="G8" s="58">
        <v>3.5</v>
      </c>
      <c r="H8" s="58">
        <v>3.8</v>
      </c>
      <c r="I8" s="58">
        <v>7.1</v>
      </c>
      <c r="J8" s="58">
        <v>8.3</v>
      </c>
      <c r="L8" s="24">
        <f t="shared" si="2"/>
        <v>2</v>
      </c>
      <c r="M8" s="59" t="s">
        <v>32</v>
      </c>
      <c r="N8" s="60" t="str">
        <f t="shared" ref="N8:O8" si="3">E9</f>
        <v>Top Speed</v>
      </c>
      <c r="O8" s="61" t="str">
        <f t="shared" si="3"/>
        <v>MPH</v>
      </c>
      <c r="P8" s="62">
        <v>100.0</v>
      </c>
      <c r="Q8" s="63">
        <v>175.0</v>
      </c>
      <c r="R8" s="64">
        <v>6.0</v>
      </c>
      <c r="S8" s="64">
        <v>40.0</v>
      </c>
      <c r="T8" s="65">
        <f t="shared" si="4"/>
        <v>0.08695652174</v>
      </c>
      <c r="U8" s="66">
        <f t="shared" si="5"/>
        <v>0.01908801697</v>
      </c>
      <c r="W8" s="9"/>
      <c r="X8" s="48">
        <f t="shared" ref="X8:X13" si="10">X7+1</f>
        <v>2</v>
      </c>
      <c r="Y8" s="49" t="s">
        <v>37</v>
      </c>
      <c r="Z8" s="67">
        <v>5.0</v>
      </c>
      <c r="AA8" s="51">
        <v>50.0</v>
      </c>
      <c r="AB8" s="52">
        <f t="shared" si="6"/>
        <v>0.1219512195</v>
      </c>
      <c r="AC8" s="53">
        <f t="shared" si="7"/>
        <v>150</v>
      </c>
      <c r="AE8" s="68" t="s">
        <v>38</v>
      </c>
      <c r="AF8" s="69">
        <v>75.0</v>
      </c>
    </row>
    <row r="9" ht="15.75" customHeight="1">
      <c r="B9" s="70"/>
      <c r="C9" s="35">
        <f t="shared" si="8"/>
        <v>3</v>
      </c>
      <c r="D9" s="29"/>
      <c r="E9" s="71" t="s">
        <v>39</v>
      </c>
      <c r="F9" s="72" t="s">
        <v>40</v>
      </c>
      <c r="G9" s="73">
        <v>155.0</v>
      </c>
      <c r="H9" s="73">
        <v>111.0</v>
      </c>
      <c r="I9" s="73">
        <v>115.0</v>
      </c>
      <c r="J9" s="73">
        <v>128.0</v>
      </c>
      <c r="L9" s="24">
        <f t="shared" si="2"/>
        <v>3</v>
      </c>
      <c r="M9" s="59" t="s">
        <v>32</v>
      </c>
      <c r="N9" s="60" t="str">
        <f t="shared" ref="N9:O9" si="9">E10</f>
        <v>Towing Capacity</v>
      </c>
      <c r="O9" s="61" t="str">
        <f t="shared" si="9"/>
        <v>Pounds</v>
      </c>
      <c r="P9" s="62">
        <v>3000.0</v>
      </c>
      <c r="Q9" s="24">
        <v>10000.0</v>
      </c>
      <c r="R9" s="64">
        <v>7.0</v>
      </c>
      <c r="S9" s="64">
        <v>30.0</v>
      </c>
      <c r="T9" s="65">
        <f t="shared" si="4"/>
        <v>0.0652173913</v>
      </c>
      <c r="U9" s="66">
        <f t="shared" si="5"/>
        <v>0.01431601273</v>
      </c>
      <c r="W9" s="9"/>
      <c r="X9" s="48">
        <f t="shared" si="10"/>
        <v>3</v>
      </c>
      <c r="Y9" s="49" t="s">
        <v>41</v>
      </c>
      <c r="Z9" s="67">
        <v>2.0</v>
      </c>
      <c r="AA9" s="51">
        <v>80.0</v>
      </c>
      <c r="AB9" s="52">
        <f t="shared" si="6"/>
        <v>0.1951219512</v>
      </c>
      <c r="AC9" s="53">
        <f t="shared" si="7"/>
        <v>320</v>
      </c>
      <c r="AE9" s="68" t="s">
        <v>42</v>
      </c>
      <c r="AF9" s="69">
        <v>50.0</v>
      </c>
    </row>
    <row r="10" ht="15.75" customHeight="1">
      <c r="B10" s="70"/>
      <c r="C10" s="35">
        <f t="shared" si="8"/>
        <v>4</v>
      </c>
      <c r="D10" s="29"/>
      <c r="E10" s="71" t="s">
        <v>43</v>
      </c>
      <c r="F10" s="72" t="s">
        <v>44</v>
      </c>
      <c r="G10" s="73">
        <v>3500.0</v>
      </c>
      <c r="H10" s="73">
        <v>3500.0</v>
      </c>
      <c r="I10" s="73">
        <v>5000.0</v>
      </c>
      <c r="J10" s="73">
        <v>6200.0</v>
      </c>
      <c r="L10" s="24">
        <f t="shared" si="2"/>
        <v>4</v>
      </c>
      <c r="M10" s="59" t="s">
        <v>32</v>
      </c>
      <c r="N10" s="60" t="str">
        <f t="shared" ref="N10:O10" si="11">E11</f>
        <v>Power</v>
      </c>
      <c r="O10" s="61" t="str">
        <f t="shared" si="11"/>
        <v>Horsepower (Hp)</v>
      </c>
      <c r="P10" s="62">
        <v>200.0</v>
      </c>
      <c r="Q10" s="24">
        <v>600.0</v>
      </c>
      <c r="R10" s="64">
        <v>4.0</v>
      </c>
      <c r="S10" s="64">
        <v>60.0</v>
      </c>
      <c r="T10" s="74">
        <f t="shared" si="4"/>
        <v>0.1304347826</v>
      </c>
      <c r="U10" s="75">
        <f t="shared" si="5"/>
        <v>0.02863202545</v>
      </c>
      <c r="W10" s="9"/>
      <c r="X10" s="48">
        <f t="shared" si="10"/>
        <v>4</v>
      </c>
      <c r="Y10" s="49" t="s">
        <v>45</v>
      </c>
      <c r="Z10" s="67">
        <v>6.0</v>
      </c>
      <c r="AA10" s="51">
        <v>30.0</v>
      </c>
      <c r="AB10" s="52">
        <f t="shared" si="6"/>
        <v>0.07317073171</v>
      </c>
      <c r="AC10" s="53">
        <f t="shared" si="7"/>
        <v>360</v>
      </c>
      <c r="AE10" s="76" t="s">
        <v>46</v>
      </c>
      <c r="AF10" s="77">
        <v>25.0</v>
      </c>
    </row>
    <row r="11" ht="15.75" customHeight="1">
      <c r="B11" s="70"/>
      <c r="C11" s="35">
        <f t="shared" si="8"/>
        <v>5</v>
      </c>
      <c r="D11" s="29"/>
      <c r="E11" s="71" t="s">
        <v>47</v>
      </c>
      <c r="F11" s="72" t="s">
        <v>48</v>
      </c>
      <c r="G11" s="73">
        <v>450.0</v>
      </c>
      <c r="H11" s="73">
        <v>480.0</v>
      </c>
      <c r="I11" s="73">
        <v>276.0</v>
      </c>
      <c r="J11" s="73">
        <v>293.0</v>
      </c>
      <c r="L11" s="24">
        <f t="shared" si="2"/>
        <v>5</v>
      </c>
      <c r="M11" s="59" t="s">
        <v>32</v>
      </c>
      <c r="N11" s="60" t="str">
        <f t="shared" ref="N11:O11" si="12">E12</f>
        <v>Torque</v>
      </c>
      <c r="O11" s="61" t="str">
        <f t="shared" si="12"/>
        <v>pounds-foot</v>
      </c>
      <c r="P11" s="62">
        <v>200.0</v>
      </c>
      <c r="Q11" s="24">
        <v>750.0</v>
      </c>
      <c r="R11" s="64">
        <v>5.0</v>
      </c>
      <c r="S11" s="64">
        <v>60.0</v>
      </c>
      <c r="T11" s="65">
        <f t="shared" si="4"/>
        <v>0.1304347826</v>
      </c>
      <c r="U11" s="66">
        <f t="shared" si="5"/>
        <v>0.02863202545</v>
      </c>
      <c r="W11" s="9"/>
      <c r="X11" s="48">
        <f t="shared" si="10"/>
        <v>5</v>
      </c>
      <c r="Y11" s="49" t="s">
        <v>49</v>
      </c>
      <c r="Z11" s="67">
        <v>4.0</v>
      </c>
      <c r="AA11" s="51">
        <v>70.0</v>
      </c>
      <c r="AB11" s="52">
        <f t="shared" si="6"/>
        <v>0.1707317073</v>
      </c>
      <c r="AC11" s="53">
        <f t="shared" si="7"/>
        <v>150</v>
      </c>
      <c r="AE11" s="68" t="s">
        <v>50</v>
      </c>
      <c r="AF11" s="55">
        <v>100.0</v>
      </c>
    </row>
    <row r="12" ht="15.75" customHeight="1">
      <c r="B12" s="70"/>
      <c r="C12" s="35">
        <f t="shared" si="8"/>
        <v>6</v>
      </c>
      <c r="D12" s="29"/>
      <c r="E12" s="71" t="s">
        <v>51</v>
      </c>
      <c r="F12" s="72" t="s">
        <v>52</v>
      </c>
      <c r="G12" s="73">
        <v>471.0</v>
      </c>
      <c r="H12" s="73">
        <v>600.0</v>
      </c>
      <c r="I12" s="73">
        <v>266.0</v>
      </c>
      <c r="J12" s="73">
        <v>260.0</v>
      </c>
      <c r="L12" s="24">
        <f t="shared" si="2"/>
        <v>6</v>
      </c>
      <c r="M12" s="59" t="s">
        <v>32</v>
      </c>
      <c r="N12" s="60" t="str">
        <f t="shared" ref="N12:O12" si="13">E13</f>
        <v>Braking Distance (60-0 mph)</v>
      </c>
      <c r="O12" s="61" t="str">
        <f t="shared" si="13"/>
        <v>Feet</v>
      </c>
      <c r="P12" s="62">
        <v>95.0</v>
      </c>
      <c r="Q12" s="24">
        <v>150.0</v>
      </c>
      <c r="R12" s="64">
        <v>3.0</v>
      </c>
      <c r="S12" s="64">
        <v>80.0</v>
      </c>
      <c r="T12" s="74">
        <f t="shared" si="4"/>
        <v>0.1739130435</v>
      </c>
      <c r="U12" s="66">
        <f t="shared" si="5"/>
        <v>0.03817603393</v>
      </c>
      <c r="W12" s="9"/>
      <c r="X12" s="48">
        <f t="shared" si="10"/>
        <v>6</v>
      </c>
      <c r="Y12" s="49" t="s">
        <v>53</v>
      </c>
      <c r="Z12" s="67">
        <v>3.0</v>
      </c>
      <c r="AA12" s="51">
        <v>70.0</v>
      </c>
      <c r="AB12" s="52">
        <f t="shared" si="6"/>
        <v>0.1707317073</v>
      </c>
      <c r="AC12" s="53">
        <f t="shared" si="7"/>
        <v>395</v>
      </c>
      <c r="AE12" s="78" t="s">
        <v>54</v>
      </c>
      <c r="AF12" s="77">
        <v>0.0</v>
      </c>
    </row>
    <row r="13" ht="15.75" customHeight="1">
      <c r="B13" s="70"/>
      <c r="C13" s="35">
        <f t="shared" si="8"/>
        <v>7</v>
      </c>
      <c r="D13" s="29"/>
      <c r="E13" s="71" t="s">
        <v>55</v>
      </c>
      <c r="F13" s="72" t="s">
        <v>56</v>
      </c>
      <c r="G13" s="73">
        <v>112.0</v>
      </c>
      <c r="H13" s="73">
        <v>106.0</v>
      </c>
      <c r="I13" s="73">
        <v>115.0</v>
      </c>
      <c r="J13" s="73">
        <v>138.0</v>
      </c>
      <c r="L13" s="24">
        <f t="shared" si="2"/>
        <v>7</v>
      </c>
      <c r="M13" s="59" t="s">
        <v>32</v>
      </c>
      <c r="N13" s="60" t="str">
        <f t="shared" ref="N13:O13" si="14">E14</f>
        <v>Range</v>
      </c>
      <c r="O13" s="61" t="str">
        <f t="shared" si="14"/>
        <v>Miles</v>
      </c>
      <c r="P13" s="79">
        <v>200.0</v>
      </c>
      <c r="Q13" s="80">
        <v>500.0</v>
      </c>
      <c r="R13" s="81">
        <v>1.0</v>
      </c>
      <c r="S13" s="81">
        <v>100.0</v>
      </c>
      <c r="T13" s="82">
        <f t="shared" si="4"/>
        <v>0.2173913043</v>
      </c>
      <c r="U13" s="83">
        <f t="shared" si="5"/>
        <v>0.04772004242</v>
      </c>
      <c r="W13" s="9"/>
      <c r="X13" s="48">
        <f t="shared" si="10"/>
        <v>7</v>
      </c>
      <c r="Y13" s="84" t="s">
        <v>57</v>
      </c>
      <c r="Z13" s="85">
        <v>7.0</v>
      </c>
      <c r="AA13" s="86">
        <v>20.0</v>
      </c>
      <c r="AB13" s="87">
        <f t="shared" si="6"/>
        <v>0.0487804878</v>
      </c>
      <c r="AC13" s="88">
        <f t="shared" si="7"/>
        <v>200</v>
      </c>
    </row>
    <row r="14" ht="15.75" customHeight="1">
      <c r="B14" s="70"/>
      <c r="C14" s="35">
        <f t="shared" si="8"/>
        <v>8</v>
      </c>
      <c r="D14" s="89"/>
      <c r="E14" s="90" t="s">
        <v>6</v>
      </c>
      <c r="F14" s="91" t="s">
        <v>58</v>
      </c>
      <c r="G14" s="92">
        <v>303.0</v>
      </c>
      <c r="H14" s="92">
        <v>272.0</v>
      </c>
      <c r="I14" s="92">
        <v>353.0</v>
      </c>
      <c r="J14" s="92">
        <v>483.0</v>
      </c>
      <c r="L14" s="24">
        <f t="shared" si="2"/>
        <v>8</v>
      </c>
      <c r="M14" s="40" t="s">
        <v>37</v>
      </c>
      <c r="N14" s="41" t="str">
        <f t="shared" ref="N14:O14" si="15">E15</f>
        <v>Low Carbon Footprint</v>
      </c>
      <c r="O14" s="93" t="str">
        <f t="shared" si="15"/>
        <v>Tailpipe CO2 in grams/mile</v>
      </c>
      <c r="P14" s="43">
        <v>1000.0</v>
      </c>
      <c r="Q14" s="44">
        <v>0.0</v>
      </c>
      <c r="R14" s="45">
        <v>2.0</v>
      </c>
      <c r="S14" s="45">
        <v>50.0</v>
      </c>
      <c r="T14" s="46">
        <f t="shared" si="4"/>
        <v>0.3333333333</v>
      </c>
      <c r="U14" s="47">
        <f t="shared" si="5"/>
        <v>0.0406504065</v>
      </c>
      <c r="W14" s="9"/>
      <c r="X14" s="9"/>
      <c r="Y14" s="9"/>
      <c r="Z14" s="94" t="s">
        <v>59</v>
      </c>
      <c r="AA14" s="94">
        <f t="shared" ref="AA14:AB14" si="16">SUM(AA7:AA13)</f>
        <v>410</v>
      </c>
      <c r="AB14" s="95">
        <f t="shared" si="16"/>
        <v>1</v>
      </c>
      <c r="AC14" s="51"/>
    </row>
    <row r="15" ht="15.75" customHeight="1">
      <c r="B15" s="70"/>
      <c r="C15" s="35">
        <f t="shared" si="8"/>
        <v>9</v>
      </c>
      <c r="D15" s="96" t="s">
        <v>37</v>
      </c>
      <c r="E15" s="71" t="s">
        <v>60</v>
      </c>
      <c r="F15" s="97" t="s">
        <v>61</v>
      </c>
      <c r="G15" s="73">
        <v>0.0</v>
      </c>
      <c r="H15" s="73">
        <v>0.0</v>
      </c>
      <c r="I15" s="73">
        <v>460.0</v>
      </c>
      <c r="J15" s="73">
        <v>533.0</v>
      </c>
      <c r="L15" s="24">
        <f t="shared" si="2"/>
        <v>9</v>
      </c>
      <c r="M15" s="98" t="s">
        <v>37</v>
      </c>
      <c r="N15" s="99" t="str">
        <f t="shared" ref="N15:O15" si="17">E16</f>
        <v>Petroleum Consumption</v>
      </c>
      <c r="O15" s="100" t="str">
        <f t="shared" si="17"/>
        <v>Annual Petroleum Consumption in Barrels</v>
      </c>
      <c r="P15" s="79">
        <v>20.0</v>
      </c>
      <c r="Q15" s="80">
        <v>0.0</v>
      </c>
      <c r="R15" s="81">
        <v>1.0</v>
      </c>
      <c r="S15" s="81">
        <v>100.0</v>
      </c>
      <c r="T15" s="82">
        <f t="shared" si="4"/>
        <v>0.6666666667</v>
      </c>
      <c r="U15" s="83">
        <f t="shared" si="5"/>
        <v>0.08130081301</v>
      </c>
    </row>
    <row r="16" ht="15.75" customHeight="1">
      <c r="B16" s="70"/>
      <c r="C16" s="35">
        <f t="shared" si="8"/>
        <v>10</v>
      </c>
      <c r="D16" s="29"/>
      <c r="E16" s="71" t="s">
        <v>62</v>
      </c>
      <c r="F16" s="97" t="s">
        <v>63</v>
      </c>
      <c r="G16" s="73">
        <v>0.072</v>
      </c>
      <c r="H16" s="73">
        <v>0.096</v>
      </c>
      <c r="I16" s="73">
        <v>17.0777</v>
      </c>
      <c r="J16" s="73">
        <v>14.0551</v>
      </c>
      <c r="L16" s="24">
        <f t="shared" si="2"/>
        <v>10</v>
      </c>
      <c r="M16" s="59" t="s">
        <v>41</v>
      </c>
      <c r="N16" s="60" t="str">
        <f t="shared" ref="N16:O16" si="18">E17</f>
        <v>Time to Refuel/Recharge</v>
      </c>
      <c r="O16" s="61" t="str">
        <f t="shared" si="18"/>
        <v>Hours</v>
      </c>
      <c r="P16" s="62">
        <v>0.0</v>
      </c>
      <c r="Q16" s="24">
        <v>15.0</v>
      </c>
      <c r="R16" s="64">
        <v>1.0</v>
      </c>
      <c r="S16" s="64">
        <v>100.0</v>
      </c>
      <c r="T16" s="46">
        <f t="shared" si="4"/>
        <v>0.3125</v>
      </c>
      <c r="U16" s="47">
        <f t="shared" si="5"/>
        <v>0.06097560976</v>
      </c>
    </row>
    <row r="17" ht="15.75" customHeight="1">
      <c r="B17" s="70"/>
      <c r="C17" s="35">
        <f t="shared" si="8"/>
        <v>11</v>
      </c>
      <c r="D17" s="57" t="s">
        <v>41</v>
      </c>
      <c r="E17" s="37" t="s">
        <v>64</v>
      </c>
      <c r="F17" s="38" t="s">
        <v>65</v>
      </c>
      <c r="G17" s="58">
        <v>11.8</v>
      </c>
      <c r="H17" s="58">
        <v>10.3</v>
      </c>
      <c r="I17" s="58">
        <v>0.17</v>
      </c>
      <c r="J17" s="58">
        <v>0.17</v>
      </c>
      <c r="L17" s="24">
        <f t="shared" si="2"/>
        <v>11</v>
      </c>
      <c r="M17" s="59" t="s">
        <v>41</v>
      </c>
      <c r="N17" s="60" t="str">
        <f t="shared" ref="N17:O17" si="19">E18</f>
        <v>Crash Safety</v>
      </c>
      <c r="O17" s="61" t="str">
        <f t="shared" si="19"/>
        <v>NHSTA Overall Rating</v>
      </c>
      <c r="P17" s="62">
        <v>0.0</v>
      </c>
      <c r="Q17" s="24">
        <v>5.0</v>
      </c>
      <c r="R17" s="64">
        <v>2.0</v>
      </c>
      <c r="S17" s="64">
        <v>90.0</v>
      </c>
      <c r="T17" s="65">
        <f t="shared" si="4"/>
        <v>0.28125</v>
      </c>
      <c r="U17" s="66">
        <f t="shared" si="5"/>
        <v>0.05487804878</v>
      </c>
      <c r="AE17" s="2"/>
      <c r="AF17" s="2"/>
    </row>
    <row r="18" ht="15.75" customHeight="1">
      <c r="B18" s="70"/>
      <c r="C18" s="35">
        <f t="shared" si="8"/>
        <v>12</v>
      </c>
      <c r="D18" s="29"/>
      <c r="E18" s="71" t="s">
        <v>66</v>
      </c>
      <c r="F18" s="72" t="s">
        <v>67</v>
      </c>
      <c r="G18" s="73">
        <v>5.0</v>
      </c>
      <c r="H18" s="73">
        <v>0.0</v>
      </c>
      <c r="I18" s="73">
        <v>5.0</v>
      </c>
      <c r="J18" s="73">
        <v>5.0</v>
      </c>
      <c r="L18" s="24">
        <f t="shared" si="2"/>
        <v>12</v>
      </c>
      <c r="M18" s="59" t="s">
        <v>41</v>
      </c>
      <c r="N18" s="60" t="str">
        <f t="shared" ref="N18:O18" si="20">E19</f>
        <v>Limited Warranty Coverage</v>
      </c>
      <c r="O18" s="61" t="str">
        <f t="shared" si="20"/>
        <v>Miles</v>
      </c>
      <c r="P18" s="62">
        <v>20000.0</v>
      </c>
      <c r="Q18" s="24">
        <v>150000.0</v>
      </c>
      <c r="R18" s="64">
        <v>4.0</v>
      </c>
      <c r="S18" s="64">
        <v>40.0</v>
      </c>
      <c r="T18" s="65">
        <f t="shared" si="4"/>
        <v>0.125</v>
      </c>
      <c r="U18" s="75">
        <f t="shared" si="5"/>
        <v>0.0243902439</v>
      </c>
    </row>
    <row r="19" ht="15.75" customHeight="1">
      <c r="B19" s="70"/>
      <c r="C19" s="35">
        <f t="shared" si="8"/>
        <v>13</v>
      </c>
      <c r="D19" s="29"/>
      <c r="E19" s="71" t="s">
        <v>68</v>
      </c>
      <c r="F19" s="72" t="s">
        <v>58</v>
      </c>
      <c r="G19" s="101">
        <v>120000.0</v>
      </c>
      <c r="H19" s="101">
        <v>36000.0</v>
      </c>
      <c r="I19" s="101">
        <v>50000.0</v>
      </c>
      <c r="J19" s="101">
        <v>36000.0</v>
      </c>
      <c r="L19" s="24">
        <f t="shared" si="2"/>
        <v>13</v>
      </c>
      <c r="M19" s="59" t="s">
        <v>41</v>
      </c>
      <c r="N19" s="60" t="str">
        <f t="shared" ref="N19:O19" si="21">E20</f>
        <v>Limited Warranty Coverage</v>
      </c>
      <c r="O19" s="61" t="str">
        <f t="shared" si="21"/>
        <v>Years</v>
      </c>
      <c r="P19" s="62">
        <v>2.0</v>
      </c>
      <c r="Q19" s="24">
        <v>10.0</v>
      </c>
      <c r="R19" s="64">
        <v>5.0</v>
      </c>
      <c r="S19" s="64">
        <v>40.0</v>
      </c>
      <c r="T19" s="65">
        <f t="shared" si="4"/>
        <v>0.125</v>
      </c>
      <c r="U19" s="66">
        <f t="shared" si="5"/>
        <v>0.0243902439</v>
      </c>
    </row>
    <row r="20" ht="15.75" customHeight="1">
      <c r="B20" s="70"/>
      <c r="C20" s="35">
        <f t="shared" si="8"/>
        <v>14</v>
      </c>
      <c r="D20" s="29"/>
      <c r="E20" s="71" t="s">
        <v>68</v>
      </c>
      <c r="F20" s="72" t="s">
        <v>69</v>
      </c>
      <c r="G20" s="73">
        <v>8.0</v>
      </c>
      <c r="H20" s="73">
        <v>3.0</v>
      </c>
      <c r="I20" s="73">
        <v>4.0</v>
      </c>
      <c r="J20" s="73">
        <v>3.0</v>
      </c>
      <c r="L20" s="24">
        <f t="shared" si="2"/>
        <v>14</v>
      </c>
      <c r="M20" s="59" t="s">
        <v>41</v>
      </c>
      <c r="N20" s="60" t="str">
        <f t="shared" ref="N20:O20" si="22">E21</f>
        <v>Maintenence Schedule</v>
      </c>
      <c r="O20" s="61" t="str">
        <f t="shared" si="22"/>
        <v>Frequency (years)</v>
      </c>
      <c r="P20" s="62">
        <v>0.1</v>
      </c>
      <c r="Q20" s="24">
        <v>5.0</v>
      </c>
      <c r="R20" s="64">
        <v>3.0</v>
      </c>
      <c r="S20" s="64">
        <v>50.0</v>
      </c>
      <c r="T20" s="82">
        <f t="shared" si="4"/>
        <v>0.15625</v>
      </c>
      <c r="U20" s="102">
        <f t="shared" si="5"/>
        <v>0.03048780488</v>
      </c>
    </row>
    <row r="21" ht="15.75" customHeight="1">
      <c r="B21" s="70"/>
      <c r="C21" s="35">
        <f t="shared" si="8"/>
        <v>15</v>
      </c>
      <c r="D21" s="89"/>
      <c r="E21" s="90" t="s">
        <v>70</v>
      </c>
      <c r="F21" s="91" t="s">
        <v>71</v>
      </c>
      <c r="G21" s="92">
        <v>2.0</v>
      </c>
      <c r="H21" s="92">
        <v>2.0</v>
      </c>
      <c r="I21" s="92">
        <v>0.5</v>
      </c>
      <c r="J21" s="92">
        <v>0.5</v>
      </c>
      <c r="L21" s="24">
        <f t="shared" si="2"/>
        <v>15</v>
      </c>
      <c r="M21" s="40" t="s">
        <v>45</v>
      </c>
      <c r="N21" s="41" t="str">
        <f t="shared" ref="N21:O21" si="23">E22</f>
        <v>Overall Height</v>
      </c>
      <c r="O21" s="93" t="str">
        <f t="shared" si="23"/>
        <v>Inches</v>
      </c>
      <c r="P21" s="43">
        <v>60.0</v>
      </c>
      <c r="Q21" s="44">
        <v>72.0</v>
      </c>
      <c r="R21" s="45">
        <v>4.0</v>
      </c>
      <c r="S21" s="45">
        <v>60.0</v>
      </c>
      <c r="T21" s="103">
        <f t="shared" si="4"/>
        <v>0.1666666667</v>
      </c>
      <c r="U21" s="104">
        <f t="shared" si="5"/>
        <v>0.01219512195</v>
      </c>
    </row>
    <row r="22" ht="15.75" customHeight="1">
      <c r="B22" s="70"/>
      <c r="C22" s="35">
        <f t="shared" si="8"/>
        <v>16</v>
      </c>
      <c r="D22" s="57" t="s">
        <v>45</v>
      </c>
      <c r="E22" s="37" t="s">
        <v>72</v>
      </c>
      <c r="F22" s="38" t="s">
        <v>73</v>
      </c>
      <c r="G22" s="58">
        <v>63.9</v>
      </c>
      <c r="H22" s="58">
        <v>64.0</v>
      </c>
      <c r="I22" s="58">
        <v>70.1</v>
      </c>
      <c r="J22" s="58">
        <v>70.8</v>
      </c>
      <c r="L22" s="24">
        <f t="shared" si="2"/>
        <v>16</v>
      </c>
      <c r="M22" s="59" t="s">
        <v>45</v>
      </c>
      <c r="N22" s="60" t="str">
        <f t="shared" ref="N22:O22" si="24">E23</f>
        <v>Head room front</v>
      </c>
      <c r="O22" s="105" t="str">
        <f t="shared" si="24"/>
        <v>Inches</v>
      </c>
      <c r="P22" s="62">
        <v>35.0</v>
      </c>
      <c r="Q22" s="24">
        <v>45.0</v>
      </c>
      <c r="R22" s="64">
        <v>2.0</v>
      </c>
      <c r="S22" s="64">
        <v>90.0</v>
      </c>
      <c r="T22" s="74">
        <f t="shared" si="4"/>
        <v>0.25</v>
      </c>
      <c r="U22" s="66">
        <f t="shared" si="5"/>
        <v>0.01829268293</v>
      </c>
    </row>
    <row r="23" ht="15.75" customHeight="1">
      <c r="B23" s="70"/>
      <c r="C23" s="35">
        <f t="shared" si="8"/>
        <v>17</v>
      </c>
      <c r="D23" s="29"/>
      <c r="E23" s="71" t="s">
        <v>74</v>
      </c>
      <c r="F23" s="72" t="s">
        <v>73</v>
      </c>
      <c r="G23" s="73">
        <v>41.0</v>
      </c>
      <c r="H23" s="73">
        <v>38.9</v>
      </c>
      <c r="I23" s="73">
        <v>39.4</v>
      </c>
      <c r="J23" s="73">
        <v>39.9</v>
      </c>
      <c r="L23" s="24">
        <f t="shared" si="2"/>
        <v>17</v>
      </c>
      <c r="M23" s="59" t="s">
        <v>45</v>
      </c>
      <c r="N23" s="60" t="str">
        <f t="shared" ref="N23:O23" si="25">E24</f>
        <v>Overall Length</v>
      </c>
      <c r="O23" s="105" t="str">
        <f t="shared" si="25"/>
        <v>Inches</v>
      </c>
      <c r="P23" s="62">
        <v>175.0</v>
      </c>
      <c r="Q23" s="24">
        <v>210.0</v>
      </c>
      <c r="R23" s="64">
        <v>7.0</v>
      </c>
      <c r="S23" s="64">
        <v>40.0</v>
      </c>
      <c r="T23" s="65">
        <f t="shared" si="4"/>
        <v>0.1111111111</v>
      </c>
      <c r="U23" s="66">
        <f t="shared" si="5"/>
        <v>0.008130081301</v>
      </c>
    </row>
    <row r="24" ht="15.75" customHeight="1">
      <c r="B24" s="70"/>
      <c r="C24" s="35">
        <f t="shared" si="8"/>
        <v>18</v>
      </c>
      <c r="D24" s="29"/>
      <c r="E24" s="71" t="s">
        <v>75</v>
      </c>
      <c r="F24" s="72" t="s">
        <v>73</v>
      </c>
      <c r="G24" s="73">
        <v>187.0</v>
      </c>
      <c r="H24" s="73">
        <v>185.6</v>
      </c>
      <c r="I24" s="73">
        <v>200.7</v>
      </c>
      <c r="J24" s="73">
        <v>190.08</v>
      </c>
      <c r="L24" s="24">
        <f t="shared" si="2"/>
        <v>18</v>
      </c>
      <c r="M24" s="59" t="s">
        <v>45</v>
      </c>
      <c r="N24" s="60" t="str">
        <f t="shared" ref="N24:O24" si="26">E25</f>
        <v>Wheel Size</v>
      </c>
      <c r="O24" s="105" t="str">
        <f t="shared" si="26"/>
        <v>Inches in Diameter</v>
      </c>
      <c r="P24" s="62">
        <v>18.0</v>
      </c>
      <c r="Q24" s="62">
        <v>22.0</v>
      </c>
      <c r="R24" s="64">
        <v>3.0</v>
      </c>
      <c r="S24" s="64">
        <v>70.0</v>
      </c>
      <c r="T24" s="65">
        <f t="shared" si="4"/>
        <v>0.1944444444</v>
      </c>
      <c r="U24" s="66">
        <f t="shared" si="5"/>
        <v>0.01422764228</v>
      </c>
    </row>
    <row r="25" ht="15.75" customHeight="1">
      <c r="B25" s="70"/>
      <c r="C25" s="35">
        <f t="shared" si="8"/>
        <v>19</v>
      </c>
      <c r="D25" s="29"/>
      <c r="E25" s="71" t="s">
        <v>76</v>
      </c>
      <c r="F25" s="71" t="s">
        <v>77</v>
      </c>
      <c r="G25" s="73">
        <v>21.0</v>
      </c>
      <c r="H25" s="73">
        <v>20.0</v>
      </c>
      <c r="I25" s="73">
        <v>21.0</v>
      </c>
      <c r="J25" s="73">
        <v>20.0</v>
      </c>
      <c r="L25" s="24">
        <f t="shared" si="2"/>
        <v>19</v>
      </c>
      <c r="M25" s="98" t="s">
        <v>45</v>
      </c>
      <c r="N25" s="99" t="str">
        <f t="shared" ref="N25:O25" si="27">E26</f>
        <v>Overall Look</v>
      </c>
      <c r="O25" s="100" t="str">
        <f t="shared" si="27"/>
        <v>Constructed</v>
      </c>
      <c r="P25" s="62" t="s">
        <v>46</v>
      </c>
      <c r="Q25" s="24" t="s">
        <v>33</v>
      </c>
      <c r="R25" s="64">
        <v>1.0</v>
      </c>
      <c r="S25" s="64">
        <v>100.0</v>
      </c>
      <c r="T25" s="106">
        <f t="shared" si="4"/>
        <v>0.2777777778</v>
      </c>
      <c r="U25" s="102">
        <f t="shared" si="5"/>
        <v>0.02032520325</v>
      </c>
    </row>
    <row r="26" ht="15.75" customHeight="1">
      <c r="B26" s="70"/>
      <c r="C26" s="35">
        <f t="shared" si="8"/>
        <v>20</v>
      </c>
      <c r="D26" s="89"/>
      <c r="E26" s="71" t="s">
        <v>78</v>
      </c>
      <c r="F26" s="72" t="s">
        <v>79</v>
      </c>
      <c r="G26" s="73" t="s">
        <v>33</v>
      </c>
      <c r="H26" s="73" t="s">
        <v>42</v>
      </c>
      <c r="I26" s="73" t="s">
        <v>46</v>
      </c>
      <c r="J26" s="73" t="s">
        <v>38</v>
      </c>
      <c r="L26" s="24">
        <f t="shared" si="2"/>
        <v>20</v>
      </c>
      <c r="M26" s="59" t="s">
        <v>49</v>
      </c>
      <c r="N26" s="60" t="str">
        <f t="shared" ref="N26:O26" si="28">E27</f>
        <v># of Seats</v>
      </c>
      <c r="O26" s="61" t="str">
        <f t="shared" si="28"/>
        <v>Quantity</v>
      </c>
      <c r="P26" s="43">
        <v>5.0</v>
      </c>
      <c r="Q26" s="44">
        <v>7.0</v>
      </c>
      <c r="R26" s="45">
        <v>1.0</v>
      </c>
      <c r="S26" s="45">
        <v>80.0</v>
      </c>
      <c r="T26" s="46">
        <f t="shared" si="4"/>
        <v>0.5333333333</v>
      </c>
      <c r="U26" s="47">
        <f t="shared" si="5"/>
        <v>0.09105691057</v>
      </c>
    </row>
    <row r="27" ht="15.75" customHeight="1">
      <c r="B27" s="70"/>
      <c r="C27" s="35">
        <f t="shared" si="8"/>
        <v>21</v>
      </c>
      <c r="D27" s="57" t="s">
        <v>49</v>
      </c>
      <c r="E27" s="37" t="s">
        <v>80</v>
      </c>
      <c r="F27" s="38" t="s">
        <v>81</v>
      </c>
      <c r="G27" s="58">
        <v>7.0</v>
      </c>
      <c r="H27" s="58">
        <v>5.0</v>
      </c>
      <c r="I27" s="58">
        <v>7.0</v>
      </c>
      <c r="J27" s="58">
        <v>7.0</v>
      </c>
      <c r="L27" s="24">
        <f t="shared" si="2"/>
        <v>21</v>
      </c>
      <c r="M27" s="107" t="s">
        <v>49</v>
      </c>
      <c r="N27" s="108" t="str">
        <f t="shared" ref="N27:O27" si="29">E28</f>
        <v>Total Cargo</v>
      </c>
      <c r="O27" s="109" t="str">
        <f t="shared" si="29"/>
        <v>Cubic Feet</v>
      </c>
      <c r="P27" s="79">
        <v>12.0</v>
      </c>
      <c r="Q27" s="80">
        <v>20.0</v>
      </c>
      <c r="R27" s="81">
        <v>2.0</v>
      </c>
      <c r="S27" s="81">
        <v>70.0</v>
      </c>
      <c r="T27" s="82">
        <f t="shared" si="4"/>
        <v>0.4666666667</v>
      </c>
      <c r="U27" s="83">
        <f t="shared" si="5"/>
        <v>0.07967479675</v>
      </c>
    </row>
    <row r="28" ht="15.75" customHeight="1">
      <c r="B28" s="70"/>
      <c r="C28" s="35">
        <f t="shared" si="8"/>
        <v>22</v>
      </c>
      <c r="D28" s="89"/>
      <c r="E28" s="90" t="s">
        <v>82</v>
      </c>
      <c r="F28" s="91" t="s">
        <v>83</v>
      </c>
      <c r="G28" s="92">
        <v>17.0</v>
      </c>
      <c r="H28" s="92">
        <v>35.4</v>
      </c>
      <c r="I28" s="92">
        <v>16.7</v>
      </c>
      <c r="J28" s="92">
        <v>17.2</v>
      </c>
      <c r="L28" s="110">
        <f t="shared" si="2"/>
        <v>22</v>
      </c>
      <c r="M28" s="111" t="s">
        <v>53</v>
      </c>
      <c r="N28" s="41" t="str">
        <f t="shared" ref="N28:O28" si="30">E29</f>
        <v>Power Seats - passenger</v>
      </c>
      <c r="O28" s="112" t="str">
        <f t="shared" si="30"/>
        <v>Constructed (Yes / No)</v>
      </c>
      <c r="P28" s="43" t="s">
        <v>54</v>
      </c>
      <c r="Q28" s="43" t="s">
        <v>50</v>
      </c>
      <c r="R28" s="43">
        <v>3.0</v>
      </c>
      <c r="S28" s="43">
        <v>80.0</v>
      </c>
      <c r="T28" s="103">
        <f t="shared" si="4"/>
        <v>0.2025316456</v>
      </c>
      <c r="U28" s="47">
        <f t="shared" si="5"/>
        <v>0.03457857363</v>
      </c>
    </row>
    <row r="29" ht="15.75" customHeight="1">
      <c r="B29" s="70"/>
      <c r="C29" s="35">
        <f t="shared" si="8"/>
        <v>23</v>
      </c>
      <c r="D29" s="57" t="s">
        <v>53</v>
      </c>
      <c r="E29" s="72" t="s">
        <v>84</v>
      </c>
      <c r="F29" s="71" t="s">
        <v>85</v>
      </c>
      <c r="G29" s="113" t="s">
        <v>50</v>
      </c>
      <c r="H29" s="73" t="s">
        <v>54</v>
      </c>
      <c r="I29" s="73" t="s">
        <v>54</v>
      </c>
      <c r="J29" s="73" t="s">
        <v>50</v>
      </c>
      <c r="L29" s="110">
        <f t="shared" si="2"/>
        <v>23</v>
      </c>
      <c r="M29" s="114" t="s">
        <v>53</v>
      </c>
      <c r="N29" s="60" t="str">
        <f t="shared" ref="N29:O29" si="31">E30</f>
        <v>Leather Seats</v>
      </c>
      <c r="O29" s="115" t="str">
        <f t="shared" si="31"/>
        <v>Constructed (Yes / No)</v>
      </c>
      <c r="P29" s="62" t="s">
        <v>54</v>
      </c>
      <c r="Q29" s="62" t="s">
        <v>50</v>
      </c>
      <c r="R29" s="62">
        <v>2.0</v>
      </c>
      <c r="S29" s="62">
        <v>100.0</v>
      </c>
      <c r="T29" s="116">
        <f t="shared" si="4"/>
        <v>0.253164557</v>
      </c>
      <c r="U29" s="66">
        <f t="shared" si="5"/>
        <v>0.04322321704</v>
      </c>
    </row>
    <row r="30" ht="15.75" customHeight="1">
      <c r="B30" s="70"/>
      <c r="C30" s="35">
        <f t="shared" si="8"/>
        <v>24</v>
      </c>
      <c r="D30" s="29"/>
      <c r="E30" s="72" t="s">
        <v>86</v>
      </c>
      <c r="F30" s="71" t="s">
        <v>85</v>
      </c>
      <c r="G30" s="113" t="s">
        <v>54</v>
      </c>
      <c r="H30" s="73" t="s">
        <v>54</v>
      </c>
      <c r="I30" s="73" t="s">
        <v>54</v>
      </c>
      <c r="J30" s="73" t="s">
        <v>50</v>
      </c>
      <c r="L30" s="110">
        <f t="shared" si="2"/>
        <v>24</v>
      </c>
      <c r="M30" s="117" t="s">
        <v>53</v>
      </c>
      <c r="N30" s="108" t="str">
        <f t="shared" ref="N30:O30" si="32">E31</f>
        <v>Heated Seats (3rd row)</v>
      </c>
      <c r="O30" s="118" t="str">
        <f t="shared" si="32"/>
        <v>Constructed (Yes / No)</v>
      </c>
      <c r="P30" s="119" t="s">
        <v>54</v>
      </c>
      <c r="Q30" s="119" t="s">
        <v>50</v>
      </c>
      <c r="R30" s="120">
        <v>5.0</v>
      </c>
      <c r="S30" s="120">
        <v>40.0</v>
      </c>
      <c r="T30" s="121">
        <f t="shared" si="4"/>
        <v>0.1012658228</v>
      </c>
      <c r="U30" s="122">
        <f t="shared" si="5"/>
        <v>0.01728928682</v>
      </c>
    </row>
    <row r="31" ht="15.75" customHeight="1">
      <c r="B31" s="70"/>
      <c r="C31" s="35">
        <f t="shared" si="8"/>
        <v>25</v>
      </c>
      <c r="D31" s="29"/>
      <c r="E31" s="72" t="s">
        <v>87</v>
      </c>
      <c r="F31" s="71" t="s">
        <v>85</v>
      </c>
      <c r="G31" s="123" t="s">
        <v>54</v>
      </c>
      <c r="H31" s="124" t="s">
        <v>54</v>
      </c>
      <c r="I31" s="124" t="s">
        <v>54</v>
      </c>
      <c r="J31" s="124" t="s">
        <v>54</v>
      </c>
      <c r="L31" s="110">
        <f t="shared" si="2"/>
        <v>25</v>
      </c>
      <c r="M31" s="125" t="s">
        <v>53</v>
      </c>
      <c r="N31" s="126" t="str">
        <f t="shared" ref="N31:O31" si="33">E32</f>
        <v>Child Safety Options</v>
      </c>
      <c r="O31" s="127" t="str">
        <f t="shared" si="33"/>
        <v>Constructed (Yes / No)</v>
      </c>
      <c r="P31" s="128" t="s">
        <v>54</v>
      </c>
      <c r="Q31" s="129" t="s">
        <v>50</v>
      </c>
      <c r="R31" s="128">
        <v>1.0</v>
      </c>
      <c r="S31" s="129">
        <v>100.0</v>
      </c>
      <c r="T31" s="130">
        <f t="shared" si="4"/>
        <v>0.253164557</v>
      </c>
      <c r="U31" s="131">
        <f t="shared" si="5"/>
        <v>0.04322321704</v>
      </c>
    </row>
    <row r="32" ht="15.75" customHeight="1">
      <c r="B32" s="70"/>
      <c r="C32" s="35">
        <f t="shared" si="8"/>
        <v>26</v>
      </c>
      <c r="D32" s="29"/>
      <c r="E32" s="132" t="s">
        <v>88</v>
      </c>
      <c r="F32" s="133" t="s">
        <v>85</v>
      </c>
      <c r="G32" s="134" t="s">
        <v>50</v>
      </c>
      <c r="H32" s="134" t="s">
        <v>50</v>
      </c>
      <c r="I32" s="134" t="s">
        <v>54</v>
      </c>
      <c r="J32" s="134" t="s">
        <v>54</v>
      </c>
      <c r="L32" s="110">
        <f t="shared" si="2"/>
        <v>26</v>
      </c>
      <c r="M32" s="135" t="s">
        <v>53</v>
      </c>
      <c r="N32" s="136" t="str">
        <f t="shared" ref="N32:O32" si="34">E33</f>
        <v>Brand Recognition</v>
      </c>
      <c r="O32" s="137" t="str">
        <f t="shared" si="34"/>
        <v>Constructed</v>
      </c>
      <c r="P32" s="138" t="s">
        <v>46</v>
      </c>
      <c r="Q32" s="139" t="s">
        <v>33</v>
      </c>
      <c r="R32" s="140">
        <v>4.0</v>
      </c>
      <c r="S32" s="141">
        <v>75.0</v>
      </c>
      <c r="T32" s="142">
        <f t="shared" si="4"/>
        <v>0.1898734177</v>
      </c>
      <c r="U32" s="143">
        <f t="shared" si="5"/>
        <v>0.03241741278</v>
      </c>
    </row>
    <row r="33" ht="15.75" customHeight="1">
      <c r="B33" s="70"/>
      <c r="C33" s="35">
        <f t="shared" si="8"/>
        <v>27</v>
      </c>
      <c r="D33" s="89"/>
      <c r="E33" s="144" t="s">
        <v>89</v>
      </c>
      <c r="F33" s="144" t="s">
        <v>79</v>
      </c>
      <c r="G33" s="145" t="s">
        <v>33</v>
      </c>
      <c r="H33" s="145" t="s">
        <v>42</v>
      </c>
      <c r="I33" s="145" t="s">
        <v>38</v>
      </c>
      <c r="J33" s="145" t="s">
        <v>46</v>
      </c>
      <c r="L33" s="24">
        <f t="shared" si="2"/>
        <v>27</v>
      </c>
      <c r="M33" s="146" t="s">
        <v>57</v>
      </c>
      <c r="N33" s="147" t="str">
        <f t="shared" ref="N33:O33" si="35">E34</f>
        <v>Driver Profiles</v>
      </c>
      <c r="O33" s="148" t="str">
        <f t="shared" si="35"/>
        <v>Constructed (Yes / No)</v>
      </c>
      <c r="P33" s="149" t="s">
        <v>54</v>
      </c>
      <c r="Q33" s="150" t="s">
        <v>50</v>
      </c>
      <c r="R33" s="149">
        <v>1.0</v>
      </c>
      <c r="S33" s="149">
        <v>80.0</v>
      </c>
      <c r="T33" s="151">
        <f t="shared" si="4"/>
        <v>0.4</v>
      </c>
      <c r="U33" s="152">
        <f t="shared" si="5"/>
        <v>0.01951219512</v>
      </c>
    </row>
    <row r="34" ht="15.75" customHeight="1">
      <c r="B34" s="70"/>
      <c r="C34" s="35">
        <f t="shared" si="8"/>
        <v>28</v>
      </c>
      <c r="D34" s="57" t="s">
        <v>57</v>
      </c>
      <c r="E34" s="153" t="s">
        <v>90</v>
      </c>
      <c r="F34" s="153" t="s">
        <v>85</v>
      </c>
      <c r="G34" s="113" t="s">
        <v>50</v>
      </c>
      <c r="H34" s="73" t="s">
        <v>50</v>
      </c>
      <c r="I34" s="73" t="s">
        <v>50</v>
      </c>
      <c r="J34" s="73" t="s">
        <v>54</v>
      </c>
      <c r="L34" s="24">
        <f t="shared" si="2"/>
        <v>28</v>
      </c>
      <c r="M34" s="59" t="s">
        <v>57</v>
      </c>
      <c r="N34" s="60" t="str">
        <f t="shared" ref="N34:O34" si="36">E35</f>
        <v>Trip Information Storage</v>
      </c>
      <c r="O34" s="105" t="str">
        <f t="shared" si="36"/>
        <v>Constructed (Yes / No)</v>
      </c>
      <c r="P34" s="62" t="s">
        <v>54</v>
      </c>
      <c r="Q34" s="24" t="s">
        <v>50</v>
      </c>
      <c r="R34" s="62">
        <v>2.0</v>
      </c>
      <c r="S34" s="62">
        <v>50.0</v>
      </c>
      <c r="T34" s="65">
        <f t="shared" si="4"/>
        <v>0.25</v>
      </c>
      <c r="U34" s="66">
        <f t="shared" si="5"/>
        <v>0.01219512195</v>
      </c>
    </row>
    <row r="35" ht="15.75" customHeight="1">
      <c r="B35" s="70"/>
      <c r="C35" s="35">
        <f t="shared" si="8"/>
        <v>29</v>
      </c>
      <c r="D35" s="29"/>
      <c r="E35" s="71" t="s">
        <v>91</v>
      </c>
      <c r="F35" s="71" t="s">
        <v>85</v>
      </c>
      <c r="G35" s="113" t="s">
        <v>50</v>
      </c>
      <c r="H35" s="73" t="s">
        <v>50</v>
      </c>
      <c r="I35" s="73" t="s">
        <v>54</v>
      </c>
      <c r="J35" s="73" t="s">
        <v>54</v>
      </c>
      <c r="L35" s="24">
        <f t="shared" si="2"/>
        <v>29</v>
      </c>
      <c r="M35" s="98" t="s">
        <v>57</v>
      </c>
      <c r="N35" s="99" t="str">
        <f t="shared" ref="N35:O35" si="37">E36</f>
        <v>Auto Pilot</v>
      </c>
      <c r="O35" s="100" t="str">
        <f t="shared" si="37"/>
        <v>Constructed (Yes / No)</v>
      </c>
      <c r="P35" s="79" t="s">
        <v>54</v>
      </c>
      <c r="Q35" s="80" t="s">
        <v>50</v>
      </c>
      <c r="R35" s="79">
        <v>3.0</v>
      </c>
      <c r="S35" s="79">
        <v>70.0</v>
      </c>
      <c r="T35" s="82">
        <f t="shared" si="4"/>
        <v>0.35</v>
      </c>
      <c r="U35" s="83">
        <f t="shared" si="5"/>
        <v>0.01707317073</v>
      </c>
    </row>
    <row r="36" ht="15.75" customHeight="1">
      <c r="B36" s="70"/>
      <c r="C36" s="35">
        <f t="shared" si="8"/>
        <v>30</v>
      </c>
      <c r="D36" s="89"/>
      <c r="E36" s="91" t="s">
        <v>92</v>
      </c>
      <c r="F36" s="90" t="s">
        <v>85</v>
      </c>
      <c r="G36" s="154" t="s">
        <v>50</v>
      </c>
      <c r="H36" s="92" t="s">
        <v>50</v>
      </c>
      <c r="I36" s="92" t="s">
        <v>54</v>
      </c>
      <c r="J36" s="92" t="s">
        <v>54</v>
      </c>
      <c r="L36" s="24"/>
      <c r="M36" s="7"/>
      <c r="N36" s="7"/>
      <c r="O36" s="7"/>
      <c r="P36" s="155"/>
      <c r="Q36" s="156"/>
      <c r="R36" s="157"/>
      <c r="S36" s="24"/>
      <c r="T36" s="158" t="s">
        <v>59</v>
      </c>
      <c r="U36" s="158">
        <f>SUM(U7:U35)</f>
        <v>1</v>
      </c>
      <c r="W36" s="2"/>
      <c r="X36" s="2"/>
      <c r="Y36" s="2"/>
      <c r="AA36" s="2"/>
      <c r="AB36" s="2"/>
      <c r="AC36" s="2"/>
    </row>
    <row r="37" ht="18.0" customHeight="1">
      <c r="A37" s="2"/>
      <c r="B37" s="159"/>
      <c r="C37" s="5"/>
      <c r="D37" s="5"/>
      <c r="E37" s="5"/>
      <c r="F37" s="5"/>
      <c r="G37" s="160"/>
      <c r="H37" s="160"/>
      <c r="I37" s="160"/>
      <c r="J37" s="160"/>
      <c r="K37" s="2"/>
      <c r="L37" s="7"/>
      <c r="M37" s="7"/>
      <c r="N37" s="7"/>
      <c r="O37" s="7"/>
      <c r="P37" s="7"/>
      <c r="Q37" s="7"/>
      <c r="R37" s="7"/>
      <c r="S37" s="7"/>
      <c r="T37" s="7"/>
      <c r="U37" s="7"/>
      <c r="W37" s="2"/>
      <c r="X37" s="2"/>
      <c r="Y37" s="2"/>
      <c r="Z37" s="2"/>
      <c r="AA37" s="2"/>
      <c r="AB37" s="2"/>
      <c r="AC37" s="2"/>
      <c r="AD37" s="2"/>
      <c r="AG37" s="2"/>
      <c r="AH37" s="2"/>
      <c r="AI37" s="2"/>
    </row>
    <row r="38" ht="18.0" customHeight="1">
      <c r="A38" s="2"/>
      <c r="B38" s="2"/>
      <c r="C38" s="2"/>
      <c r="D38" s="2"/>
      <c r="E38" s="2"/>
      <c r="F38" s="2"/>
      <c r="G38" s="161"/>
      <c r="H38" s="161"/>
      <c r="I38" s="161"/>
      <c r="J38" s="161"/>
      <c r="K38" s="2"/>
      <c r="L38" s="2"/>
      <c r="M38" s="2"/>
      <c r="N38" s="2"/>
      <c r="O38" s="2"/>
      <c r="P38" s="162"/>
      <c r="Q38" s="163"/>
      <c r="R38" s="164"/>
      <c r="S38" s="165"/>
      <c r="T38" s="166"/>
      <c r="Z38" s="2"/>
      <c r="AD38" s="2"/>
      <c r="AG38" s="2"/>
      <c r="AH38" s="2"/>
      <c r="AI38" s="2"/>
    </row>
    <row r="39">
      <c r="B39" s="167" t="s">
        <v>93</v>
      </c>
      <c r="C39" s="168"/>
      <c r="D39" s="167"/>
      <c r="E39" s="167"/>
      <c r="F39" s="167"/>
      <c r="G39" s="169"/>
      <c r="H39" s="169"/>
      <c r="I39" s="169"/>
      <c r="J39" s="169"/>
      <c r="L39" s="2"/>
    </row>
    <row r="40" ht="12.75" customHeight="1">
      <c r="B40" s="168"/>
      <c r="C40" s="168"/>
      <c r="D40" s="168"/>
      <c r="E40" s="168"/>
      <c r="F40" s="168"/>
      <c r="G40" s="12" t="s">
        <v>5</v>
      </c>
      <c r="H40" s="13"/>
      <c r="I40" s="13"/>
      <c r="J40" s="14"/>
    </row>
    <row r="41" ht="12.75" customHeight="1">
      <c r="B41" s="168"/>
      <c r="C41" s="170" t="s">
        <v>18</v>
      </c>
      <c r="D41" s="21" t="s">
        <v>11</v>
      </c>
      <c r="E41" s="171" t="s">
        <v>19</v>
      </c>
      <c r="F41" s="25" t="s">
        <v>20</v>
      </c>
      <c r="G41" s="172" t="s">
        <v>21</v>
      </c>
      <c r="H41" s="173" t="s">
        <v>22</v>
      </c>
      <c r="I41" s="174" t="s">
        <v>23</v>
      </c>
      <c r="J41" s="173" t="s">
        <v>24</v>
      </c>
    </row>
    <row r="42" ht="15.75" customHeight="1">
      <c r="B42" s="175" t="s">
        <v>34</v>
      </c>
      <c r="C42" s="176">
        <v>1.0</v>
      </c>
      <c r="D42" s="177" t="s">
        <v>32</v>
      </c>
      <c r="E42" s="178" t="str">
        <f t="shared" ref="E42:F42" si="38">E8</f>
        <v>0-60mph Time</v>
      </c>
      <c r="F42" s="178" t="str">
        <f t="shared" si="38"/>
        <v>Seconds</v>
      </c>
      <c r="G42" s="179">
        <f t="shared" ref="G42:J42" si="39">100*(G8-$P7)/($Q7-$P7)</f>
        <v>7.142857143</v>
      </c>
      <c r="H42" s="180">
        <f t="shared" si="39"/>
        <v>11.42857143</v>
      </c>
      <c r="I42" s="179">
        <f t="shared" si="39"/>
        <v>58.57142857</v>
      </c>
      <c r="J42" s="180">
        <f t="shared" si="39"/>
        <v>75.71428571</v>
      </c>
    </row>
    <row r="43" ht="15.75" customHeight="1">
      <c r="B43" s="70"/>
      <c r="C43" s="176">
        <f t="shared" ref="C43:C70" si="42">C42+1</f>
        <v>2</v>
      </c>
      <c r="D43" s="181"/>
      <c r="E43" s="182" t="str">
        <f t="shared" ref="E43:F43" si="40">E9</f>
        <v>Top Speed</v>
      </c>
      <c r="F43" s="182" t="str">
        <f t="shared" si="40"/>
        <v>MPH</v>
      </c>
      <c r="G43" s="183">
        <f t="shared" ref="G43:J43" si="41">100*(G9-$P8)/($Q8-$P8)</f>
        <v>73.33333333</v>
      </c>
      <c r="H43" s="184">
        <f t="shared" si="41"/>
        <v>14.66666667</v>
      </c>
      <c r="I43" s="183">
        <f t="shared" si="41"/>
        <v>20</v>
      </c>
      <c r="J43" s="184">
        <f t="shared" si="41"/>
        <v>37.33333333</v>
      </c>
    </row>
    <row r="44" ht="15.75" customHeight="1">
      <c r="B44" s="70"/>
      <c r="C44" s="176">
        <f t="shared" si="42"/>
        <v>3</v>
      </c>
      <c r="D44" s="181"/>
      <c r="E44" s="182" t="str">
        <f t="shared" ref="E44:F44" si="43">E10</f>
        <v>Towing Capacity</v>
      </c>
      <c r="F44" s="182" t="str">
        <f t="shared" si="43"/>
        <v>Pounds</v>
      </c>
      <c r="G44" s="183">
        <f t="shared" ref="G44:J44" si="44">100*(G10-$P9)/($Q9-$P9)</f>
        <v>7.142857143</v>
      </c>
      <c r="H44" s="184">
        <f t="shared" si="44"/>
        <v>7.142857143</v>
      </c>
      <c r="I44" s="183">
        <f t="shared" si="44"/>
        <v>28.57142857</v>
      </c>
      <c r="J44" s="184">
        <f t="shared" si="44"/>
        <v>45.71428571</v>
      </c>
    </row>
    <row r="45" ht="15.75" customHeight="1">
      <c r="B45" s="70"/>
      <c r="C45" s="176">
        <f t="shared" si="42"/>
        <v>4</v>
      </c>
      <c r="D45" s="181"/>
      <c r="E45" s="182" t="str">
        <f t="shared" ref="E45:F45" si="45">E11</f>
        <v>Power</v>
      </c>
      <c r="F45" s="182" t="str">
        <f t="shared" si="45"/>
        <v>Horsepower (Hp)</v>
      </c>
      <c r="G45" s="183">
        <f t="shared" ref="G45:J45" si="46">100*(G11-$P10)/($Q10-$P10)</f>
        <v>62.5</v>
      </c>
      <c r="H45" s="184">
        <f t="shared" si="46"/>
        <v>70</v>
      </c>
      <c r="I45" s="183">
        <f t="shared" si="46"/>
        <v>19</v>
      </c>
      <c r="J45" s="184">
        <f t="shared" si="46"/>
        <v>23.25</v>
      </c>
    </row>
    <row r="46" ht="15.75" customHeight="1">
      <c r="B46" s="70"/>
      <c r="C46" s="176">
        <f t="shared" si="42"/>
        <v>5</v>
      </c>
      <c r="D46" s="181"/>
      <c r="E46" s="182" t="str">
        <f t="shared" ref="E46:F46" si="47">E12</f>
        <v>Torque</v>
      </c>
      <c r="F46" s="182" t="str">
        <f t="shared" si="47"/>
        <v>pounds-foot</v>
      </c>
      <c r="G46" s="183">
        <f t="shared" ref="G46:J46" si="48">100*(G12-$P11)/($Q11-$P11)</f>
        <v>49.27272727</v>
      </c>
      <c r="H46" s="184">
        <f t="shared" si="48"/>
        <v>72.72727273</v>
      </c>
      <c r="I46" s="183">
        <f t="shared" si="48"/>
        <v>12</v>
      </c>
      <c r="J46" s="184">
        <f t="shared" si="48"/>
        <v>10.90909091</v>
      </c>
    </row>
    <row r="47" ht="15.75" customHeight="1">
      <c r="B47" s="70"/>
      <c r="C47" s="176">
        <f t="shared" si="42"/>
        <v>6</v>
      </c>
      <c r="D47" s="181"/>
      <c r="E47" s="182" t="str">
        <f t="shared" ref="E47:F47" si="49">E13</f>
        <v>Braking Distance (60-0 mph)</v>
      </c>
      <c r="F47" s="182" t="str">
        <f t="shared" si="49"/>
        <v>Feet</v>
      </c>
      <c r="G47" s="183">
        <f t="shared" ref="G47:J47" si="50">100*(G13-$P12)/($Q12-$P12)</f>
        <v>30.90909091</v>
      </c>
      <c r="H47" s="184">
        <f t="shared" si="50"/>
        <v>20</v>
      </c>
      <c r="I47" s="183">
        <f t="shared" si="50"/>
        <v>36.36363636</v>
      </c>
      <c r="J47" s="184">
        <f t="shared" si="50"/>
        <v>78.18181818</v>
      </c>
    </row>
    <row r="48" ht="15.75" customHeight="1">
      <c r="B48" s="70"/>
      <c r="C48" s="176">
        <f t="shared" si="42"/>
        <v>7</v>
      </c>
      <c r="D48" s="32"/>
      <c r="E48" s="185" t="str">
        <f t="shared" ref="E48:F48" si="51">E14</f>
        <v>Range</v>
      </c>
      <c r="F48" s="185" t="str">
        <f t="shared" si="51"/>
        <v>Miles</v>
      </c>
      <c r="G48" s="186">
        <f t="shared" ref="G48:J48" si="52">100*(G14-$P13)/($Q13-$P13)</f>
        <v>34.33333333</v>
      </c>
      <c r="H48" s="187">
        <f t="shared" si="52"/>
        <v>24</v>
      </c>
      <c r="I48" s="186">
        <f t="shared" si="52"/>
        <v>51</v>
      </c>
      <c r="J48" s="187">
        <f t="shared" si="52"/>
        <v>94.33333333</v>
      </c>
    </row>
    <row r="49" ht="15.75" customHeight="1">
      <c r="B49" s="70"/>
      <c r="C49" s="176">
        <f t="shared" si="42"/>
        <v>8</v>
      </c>
      <c r="D49" s="188" t="s">
        <v>37</v>
      </c>
      <c r="E49" s="182" t="str">
        <f t="shared" ref="E49:F49" si="53">E15</f>
        <v>Low Carbon Footprint</v>
      </c>
      <c r="F49" s="182" t="str">
        <f t="shared" si="53"/>
        <v>Tailpipe CO2 in grams/mile</v>
      </c>
      <c r="G49" s="183">
        <f t="shared" ref="G49:J49" si="54">100*(G15-$P14)/($Q14-$P14)</f>
        <v>100</v>
      </c>
      <c r="H49" s="184">
        <f t="shared" si="54"/>
        <v>100</v>
      </c>
      <c r="I49" s="183">
        <f t="shared" si="54"/>
        <v>54</v>
      </c>
      <c r="J49" s="184">
        <f t="shared" si="54"/>
        <v>46.7</v>
      </c>
    </row>
    <row r="50" ht="15.75" customHeight="1">
      <c r="B50" s="70"/>
      <c r="C50" s="176">
        <f t="shared" si="42"/>
        <v>9</v>
      </c>
      <c r="D50" s="181"/>
      <c r="E50" s="182" t="str">
        <f t="shared" ref="E50:F50" si="55">E16</f>
        <v>Petroleum Consumption</v>
      </c>
      <c r="F50" s="182" t="str">
        <f t="shared" si="55"/>
        <v>Annual Petroleum Consumption in Barrels</v>
      </c>
      <c r="G50" s="183">
        <f t="shared" ref="G50:J50" si="56">100*(G16-$P15)/($Q15-$P15)</f>
        <v>99.64</v>
      </c>
      <c r="H50" s="184">
        <f t="shared" si="56"/>
        <v>99.52</v>
      </c>
      <c r="I50" s="183">
        <f t="shared" si="56"/>
        <v>14.6115</v>
      </c>
      <c r="J50" s="184">
        <f t="shared" si="56"/>
        <v>29.7245</v>
      </c>
    </row>
    <row r="51" ht="15.75" customHeight="1">
      <c r="B51" s="70"/>
      <c r="C51" s="176">
        <f t="shared" si="42"/>
        <v>10</v>
      </c>
      <c r="D51" s="177" t="s">
        <v>41</v>
      </c>
      <c r="E51" s="178" t="str">
        <f t="shared" ref="E51:F51" si="57">E17</f>
        <v>Time to Refuel/Recharge</v>
      </c>
      <c r="F51" s="178" t="str">
        <f t="shared" si="57"/>
        <v>Hours</v>
      </c>
      <c r="G51" s="179">
        <f t="shared" ref="G51:J51" si="58">100*(G17-$P16)/($Q16-$P16)</f>
        <v>78.66666667</v>
      </c>
      <c r="H51" s="180">
        <f t="shared" si="58"/>
        <v>68.66666667</v>
      </c>
      <c r="I51" s="179">
        <f t="shared" si="58"/>
        <v>1.133333333</v>
      </c>
      <c r="J51" s="180">
        <f t="shared" si="58"/>
        <v>1.133333333</v>
      </c>
    </row>
    <row r="52" ht="15.75" customHeight="1">
      <c r="B52" s="70"/>
      <c r="C52" s="176">
        <f t="shared" si="42"/>
        <v>11</v>
      </c>
      <c r="D52" s="181"/>
      <c r="E52" s="182" t="str">
        <f t="shared" ref="E52:F52" si="59">E18</f>
        <v>Crash Safety</v>
      </c>
      <c r="F52" s="182" t="str">
        <f t="shared" si="59"/>
        <v>NHSTA Overall Rating</v>
      </c>
      <c r="G52" s="183">
        <f t="shared" ref="G52:J52" si="60">100*(G18-$P17)/($Q17-$P17)</f>
        <v>100</v>
      </c>
      <c r="H52" s="184">
        <f t="shared" si="60"/>
        <v>0</v>
      </c>
      <c r="I52" s="183">
        <f t="shared" si="60"/>
        <v>100</v>
      </c>
      <c r="J52" s="184">
        <f t="shared" si="60"/>
        <v>100</v>
      </c>
    </row>
    <row r="53" ht="15.75" customHeight="1">
      <c r="B53" s="70"/>
      <c r="C53" s="176">
        <f t="shared" si="42"/>
        <v>12</v>
      </c>
      <c r="D53" s="181"/>
      <c r="E53" s="182" t="str">
        <f t="shared" ref="E53:F53" si="61">E19</f>
        <v>Limited Warranty Coverage</v>
      </c>
      <c r="F53" s="182" t="str">
        <f t="shared" si="61"/>
        <v>Miles</v>
      </c>
      <c r="G53" s="183">
        <f t="shared" ref="G53:J53" si="62">100*(G19-$P18)/($Q18-$P18)</f>
        <v>76.92307692</v>
      </c>
      <c r="H53" s="184">
        <f t="shared" si="62"/>
        <v>12.30769231</v>
      </c>
      <c r="I53" s="183">
        <f t="shared" si="62"/>
        <v>23.07692308</v>
      </c>
      <c r="J53" s="184">
        <f t="shared" si="62"/>
        <v>12.30769231</v>
      </c>
    </row>
    <row r="54" ht="15.75" customHeight="1">
      <c r="B54" s="70"/>
      <c r="C54" s="176">
        <f t="shared" si="42"/>
        <v>13</v>
      </c>
      <c r="D54" s="181"/>
      <c r="E54" s="182" t="str">
        <f t="shared" ref="E54:F54" si="63">E20</f>
        <v>Limited Warranty Coverage</v>
      </c>
      <c r="F54" s="182" t="str">
        <f t="shared" si="63"/>
        <v>Years</v>
      </c>
      <c r="G54" s="183">
        <f t="shared" ref="G54:J54" si="64">100*(G20-$P19)/($Q19-$P19)</f>
        <v>75</v>
      </c>
      <c r="H54" s="184">
        <f t="shared" si="64"/>
        <v>12.5</v>
      </c>
      <c r="I54" s="183">
        <f t="shared" si="64"/>
        <v>25</v>
      </c>
      <c r="J54" s="184">
        <f t="shared" si="64"/>
        <v>12.5</v>
      </c>
    </row>
    <row r="55" ht="15.75" customHeight="1">
      <c r="B55" s="70"/>
      <c r="C55" s="176">
        <f t="shared" si="42"/>
        <v>14</v>
      </c>
      <c r="D55" s="32"/>
      <c r="E55" s="185" t="str">
        <f t="shared" ref="E55:F55" si="65">E21</f>
        <v>Maintenence Schedule</v>
      </c>
      <c r="F55" s="185" t="str">
        <f t="shared" si="65"/>
        <v>Frequency (years)</v>
      </c>
      <c r="G55" s="186">
        <f t="shared" ref="G55:J55" si="66">100*(G21-$P20)/($Q20-$P20)</f>
        <v>38.7755102</v>
      </c>
      <c r="H55" s="187">
        <f t="shared" si="66"/>
        <v>38.7755102</v>
      </c>
      <c r="I55" s="186">
        <f t="shared" si="66"/>
        <v>8.163265306</v>
      </c>
      <c r="J55" s="187">
        <f t="shared" si="66"/>
        <v>8.163265306</v>
      </c>
    </row>
    <row r="56" ht="15.75" customHeight="1">
      <c r="B56" s="70"/>
      <c r="C56" s="176">
        <f t="shared" si="42"/>
        <v>15</v>
      </c>
      <c r="D56" s="188" t="s">
        <v>45</v>
      </c>
      <c r="E56" s="182" t="str">
        <f t="shared" ref="E56:F56" si="67">E22</f>
        <v>Overall Height</v>
      </c>
      <c r="F56" s="182" t="str">
        <f t="shared" si="67"/>
        <v>Inches</v>
      </c>
      <c r="G56" s="183">
        <f t="shared" ref="G56:J56" si="68">100*(G22-$P21)/($Q21-$P21)</f>
        <v>32.5</v>
      </c>
      <c r="H56" s="184">
        <f t="shared" si="68"/>
        <v>33.33333333</v>
      </c>
      <c r="I56" s="183">
        <f t="shared" si="68"/>
        <v>84.16666667</v>
      </c>
      <c r="J56" s="184">
        <f t="shared" si="68"/>
        <v>90</v>
      </c>
    </row>
    <row r="57" ht="15.75" customHeight="1">
      <c r="B57" s="70"/>
      <c r="C57" s="176">
        <f t="shared" si="42"/>
        <v>16</v>
      </c>
      <c r="D57" s="181"/>
      <c r="E57" s="182" t="str">
        <f t="shared" ref="E57:F57" si="69">E23</f>
        <v>Head room front</v>
      </c>
      <c r="F57" s="182" t="str">
        <f t="shared" si="69"/>
        <v>Inches</v>
      </c>
      <c r="G57" s="183">
        <f t="shared" ref="G57:J57" si="70">100*(G23-$P22)/($Q22-$P22)</f>
        <v>60</v>
      </c>
      <c r="H57" s="184">
        <f t="shared" si="70"/>
        <v>39</v>
      </c>
      <c r="I57" s="183">
        <f t="shared" si="70"/>
        <v>44</v>
      </c>
      <c r="J57" s="184">
        <f t="shared" si="70"/>
        <v>49</v>
      </c>
    </row>
    <row r="58" ht="15.75" customHeight="1">
      <c r="B58" s="70"/>
      <c r="C58" s="176">
        <f t="shared" si="42"/>
        <v>17</v>
      </c>
      <c r="D58" s="181"/>
      <c r="E58" s="182" t="str">
        <f t="shared" ref="E58:F58" si="71">E24</f>
        <v>Overall Length</v>
      </c>
      <c r="F58" s="182" t="str">
        <f t="shared" si="71"/>
        <v>Inches</v>
      </c>
      <c r="G58" s="183">
        <f t="shared" ref="G58:J58" si="72">100*(G24-$P23)/($Q23-$P23)</f>
        <v>34.28571429</v>
      </c>
      <c r="H58" s="184">
        <f t="shared" si="72"/>
        <v>30.28571429</v>
      </c>
      <c r="I58" s="183">
        <f t="shared" si="72"/>
        <v>73.42857143</v>
      </c>
      <c r="J58" s="184">
        <f t="shared" si="72"/>
        <v>43.08571429</v>
      </c>
      <c r="S58" s="189"/>
    </row>
    <row r="59" ht="15.75" customHeight="1">
      <c r="B59" s="70"/>
      <c r="C59" s="176">
        <f t="shared" si="42"/>
        <v>18</v>
      </c>
      <c r="D59" s="181"/>
      <c r="E59" s="182" t="str">
        <f t="shared" ref="E59:F59" si="73">E25</f>
        <v>Wheel Size</v>
      </c>
      <c r="F59" s="182" t="str">
        <f t="shared" si="73"/>
        <v>Inches in Diameter</v>
      </c>
      <c r="G59" s="183">
        <f t="shared" ref="G59:J59" si="74">100*(G25-$P24)/($Q24-$P24)</f>
        <v>75</v>
      </c>
      <c r="H59" s="184">
        <f t="shared" si="74"/>
        <v>50</v>
      </c>
      <c r="I59" s="183">
        <f t="shared" si="74"/>
        <v>75</v>
      </c>
      <c r="J59" s="184">
        <f t="shared" si="74"/>
        <v>50</v>
      </c>
    </row>
    <row r="60" ht="15.75" customHeight="1">
      <c r="B60" s="70"/>
      <c r="C60" s="176">
        <f t="shared" si="42"/>
        <v>19</v>
      </c>
      <c r="D60" s="181"/>
      <c r="E60" s="182" t="str">
        <f t="shared" ref="E60:F60" si="75">E26</f>
        <v>Overall Look</v>
      </c>
      <c r="F60" s="182" t="str">
        <f t="shared" si="75"/>
        <v>Constructed</v>
      </c>
      <c r="G60" s="183">
        <f t="shared" ref="G60:J60" si="76">VLOOKUP(G26,$AE$7:$AF$10,2,FALSE)</f>
        <v>100</v>
      </c>
      <c r="H60" s="184">
        <f t="shared" si="76"/>
        <v>50</v>
      </c>
      <c r="I60" s="183">
        <f t="shared" si="76"/>
        <v>25</v>
      </c>
      <c r="J60" s="184">
        <f t="shared" si="76"/>
        <v>75</v>
      </c>
      <c r="S60" s="189"/>
    </row>
    <row r="61" ht="15.75" customHeight="1">
      <c r="B61" s="70"/>
      <c r="C61" s="176">
        <f t="shared" si="42"/>
        <v>20</v>
      </c>
      <c r="D61" s="177" t="s">
        <v>49</v>
      </c>
      <c r="E61" s="178" t="str">
        <f t="shared" ref="E61:F61" si="77">E27</f>
        <v># of Seats</v>
      </c>
      <c r="F61" s="178" t="str">
        <f t="shared" si="77"/>
        <v>Quantity</v>
      </c>
      <c r="G61" s="179">
        <f t="shared" ref="G61:J61" si="78">100*(G27-$P26)/($Q26-$P26)</f>
        <v>100</v>
      </c>
      <c r="H61" s="180">
        <f t="shared" si="78"/>
        <v>0</v>
      </c>
      <c r="I61" s="179">
        <f t="shared" si="78"/>
        <v>100</v>
      </c>
      <c r="J61" s="180">
        <f t="shared" si="78"/>
        <v>100</v>
      </c>
      <c r="S61" s="189"/>
    </row>
    <row r="62" ht="15.75" customHeight="1">
      <c r="B62" s="70"/>
      <c r="C62" s="176">
        <f t="shared" si="42"/>
        <v>21</v>
      </c>
      <c r="D62" s="181"/>
      <c r="E62" s="190" t="str">
        <f t="shared" ref="E62:F62" si="79">E28</f>
        <v>Total Cargo</v>
      </c>
      <c r="F62" s="190" t="str">
        <f t="shared" si="79"/>
        <v>Cubic Feet</v>
      </c>
      <c r="G62" s="191">
        <f t="shared" ref="G62:J62" si="80">100*(G28-$P27)/($Q27-$P27)</f>
        <v>62.5</v>
      </c>
      <c r="H62" s="192">
        <f t="shared" si="80"/>
        <v>292.5</v>
      </c>
      <c r="I62" s="191">
        <f t="shared" si="80"/>
        <v>58.75</v>
      </c>
      <c r="J62" s="192">
        <f t="shared" si="80"/>
        <v>65</v>
      </c>
      <c r="S62" s="189"/>
    </row>
    <row r="63" ht="15.75" customHeight="1">
      <c r="B63" s="70"/>
      <c r="C63" s="176">
        <f t="shared" si="42"/>
        <v>22</v>
      </c>
      <c r="D63" s="193" t="s">
        <v>53</v>
      </c>
      <c r="E63" s="178" t="str">
        <f t="shared" ref="E63:F63" si="81">E29</f>
        <v>Power Seats - passenger</v>
      </c>
      <c r="F63" s="178" t="str">
        <f t="shared" si="81"/>
        <v>Constructed (Yes / No)</v>
      </c>
      <c r="G63" s="180">
        <f t="shared" ref="G63:J63" si="82">VLOOKUP(G29,$AE$11:$AF$12,2,FALSE)</f>
        <v>100</v>
      </c>
      <c r="H63" s="180">
        <f t="shared" si="82"/>
        <v>0</v>
      </c>
      <c r="I63" s="180">
        <f t="shared" si="82"/>
        <v>0</v>
      </c>
      <c r="J63" s="180">
        <f t="shared" si="82"/>
        <v>100</v>
      </c>
      <c r="S63" s="189"/>
    </row>
    <row r="64" ht="15.75" customHeight="1">
      <c r="B64" s="70"/>
      <c r="C64" s="176">
        <f t="shared" si="42"/>
        <v>23</v>
      </c>
      <c r="D64" s="194"/>
      <c r="E64" s="182" t="str">
        <f t="shared" ref="E64:F64" si="83">E30</f>
        <v>Leather Seats</v>
      </c>
      <c r="F64" s="182" t="str">
        <f t="shared" si="83"/>
        <v>Constructed (Yes / No)</v>
      </c>
      <c r="G64" s="184">
        <f t="shared" ref="G64:J64" si="84">VLOOKUP(G30,$AE$11:$AF$12,2,FALSE)</f>
        <v>0</v>
      </c>
      <c r="H64" s="184">
        <f t="shared" si="84"/>
        <v>0</v>
      </c>
      <c r="I64" s="184">
        <f t="shared" si="84"/>
        <v>0</v>
      </c>
      <c r="J64" s="184">
        <f t="shared" si="84"/>
        <v>100</v>
      </c>
      <c r="S64" s="189"/>
    </row>
    <row r="65" ht="15.75" customHeight="1">
      <c r="B65" s="70"/>
      <c r="C65" s="176">
        <f t="shared" si="42"/>
        <v>24</v>
      </c>
      <c r="D65" s="194"/>
      <c r="E65" s="190" t="str">
        <f t="shared" ref="E65:F65" si="85">E31</f>
        <v>Heated Seats (3rd row)</v>
      </c>
      <c r="F65" s="190" t="str">
        <f t="shared" si="85"/>
        <v>Constructed (Yes / No)</v>
      </c>
      <c r="G65" s="192">
        <f t="shared" ref="G65:J65" si="86">VLOOKUP(G31,$AE$11:$AF$12,2,FALSE)</f>
        <v>0</v>
      </c>
      <c r="H65" s="192">
        <f t="shared" si="86"/>
        <v>0</v>
      </c>
      <c r="I65" s="192">
        <f t="shared" si="86"/>
        <v>0</v>
      </c>
      <c r="J65" s="192">
        <f t="shared" si="86"/>
        <v>0</v>
      </c>
      <c r="S65" s="189"/>
    </row>
    <row r="66" ht="15.75" customHeight="1">
      <c r="B66" s="70"/>
      <c r="C66" s="176">
        <f t="shared" si="42"/>
        <v>25</v>
      </c>
      <c r="D66" s="194"/>
      <c r="E66" s="195" t="str">
        <f t="shared" ref="E66:F66" si="87">E32</f>
        <v>Child Safety Options</v>
      </c>
      <c r="F66" s="196" t="str">
        <f t="shared" si="87"/>
        <v>Constructed (Yes / No)</v>
      </c>
      <c r="G66" s="197">
        <f t="shared" ref="G66:J66" si="88">VLOOKUP(G32,$AE$11:$AF$12,2,FALSE)</f>
        <v>100</v>
      </c>
      <c r="H66" s="198">
        <f t="shared" si="88"/>
        <v>100</v>
      </c>
      <c r="I66" s="197">
        <f t="shared" si="88"/>
        <v>0</v>
      </c>
      <c r="J66" s="199">
        <f t="shared" si="88"/>
        <v>0</v>
      </c>
      <c r="S66" s="189"/>
    </row>
    <row r="67" ht="15.75" customHeight="1">
      <c r="B67" s="70"/>
      <c r="C67" s="176">
        <f t="shared" si="42"/>
        <v>26</v>
      </c>
      <c r="D67" s="200"/>
      <c r="E67" s="201" t="str">
        <f t="shared" ref="E67:F67" si="89">E33</f>
        <v>Brand Recognition</v>
      </c>
      <c r="F67" s="202" t="str">
        <f t="shared" si="89"/>
        <v>Constructed</v>
      </c>
      <c r="G67" s="203">
        <f t="shared" ref="G67:J67" si="90">VLOOKUP(G33,$AE$7:$AF$10,2,FALSE)</f>
        <v>100</v>
      </c>
      <c r="H67" s="204">
        <f t="shared" si="90"/>
        <v>50</v>
      </c>
      <c r="I67" s="203">
        <f t="shared" si="90"/>
        <v>75</v>
      </c>
      <c r="J67" s="205">
        <f t="shared" si="90"/>
        <v>25</v>
      </c>
      <c r="S67" s="189"/>
    </row>
    <row r="68" ht="15.75" customHeight="1">
      <c r="B68" s="70"/>
      <c r="C68" s="176">
        <f t="shared" si="42"/>
        <v>27</v>
      </c>
      <c r="D68" s="177" t="s">
        <v>57</v>
      </c>
      <c r="E68" s="206" t="str">
        <f t="shared" ref="E68:F68" si="91">E34</f>
        <v>Driver Profiles</v>
      </c>
      <c r="F68" s="206" t="str">
        <f t="shared" si="91"/>
        <v>Constructed (Yes / No)</v>
      </c>
      <c r="G68" s="207">
        <f t="shared" ref="G68:J68" si="92">VLOOKUP(G34,$AE$11:$AF$12,2,FALSE)</f>
        <v>100</v>
      </c>
      <c r="H68" s="208">
        <f t="shared" si="92"/>
        <v>100</v>
      </c>
      <c r="I68" s="207">
        <f t="shared" si="92"/>
        <v>100</v>
      </c>
      <c r="J68" s="208">
        <f t="shared" si="92"/>
        <v>0</v>
      </c>
      <c r="S68" s="189"/>
    </row>
    <row r="69" ht="15.75" customHeight="1">
      <c r="B69" s="70"/>
      <c r="C69" s="176">
        <f t="shared" si="42"/>
        <v>28</v>
      </c>
      <c r="D69" s="181"/>
      <c r="E69" s="182" t="str">
        <f t="shared" ref="E69:F69" si="93">E35</f>
        <v>Trip Information Storage</v>
      </c>
      <c r="F69" s="182" t="str">
        <f t="shared" si="93"/>
        <v>Constructed (Yes / No)</v>
      </c>
      <c r="G69" s="183">
        <f t="shared" ref="G69:J69" si="94">VLOOKUP(G35,$AE$11:$AF$12,2,FALSE)</f>
        <v>100</v>
      </c>
      <c r="H69" s="184">
        <f t="shared" si="94"/>
        <v>100</v>
      </c>
      <c r="I69" s="183">
        <f t="shared" si="94"/>
        <v>0</v>
      </c>
      <c r="J69" s="184">
        <f t="shared" si="94"/>
        <v>0</v>
      </c>
      <c r="S69" s="189"/>
    </row>
    <row r="70" ht="15.75" customHeight="1">
      <c r="B70" s="70"/>
      <c r="C70" s="176">
        <f t="shared" si="42"/>
        <v>29</v>
      </c>
      <c r="D70" s="32"/>
      <c r="E70" s="185" t="str">
        <f t="shared" ref="E70:F70" si="95">E36</f>
        <v>Auto Pilot</v>
      </c>
      <c r="F70" s="185" t="str">
        <f t="shared" si="95"/>
        <v>Constructed (Yes / No)</v>
      </c>
      <c r="G70" s="186">
        <f t="shared" ref="G70:J70" si="96">VLOOKUP(G36,$AE$11:$AF$12,2,FALSE)</f>
        <v>100</v>
      </c>
      <c r="H70" s="187">
        <f t="shared" si="96"/>
        <v>100</v>
      </c>
      <c r="I70" s="186">
        <f t="shared" si="96"/>
        <v>0</v>
      </c>
      <c r="J70" s="187">
        <f t="shared" si="96"/>
        <v>0</v>
      </c>
      <c r="S70" s="189"/>
    </row>
    <row r="71" ht="15.75" customHeight="1">
      <c r="B71" s="168"/>
      <c r="C71" s="176"/>
      <c r="D71" s="209"/>
      <c r="E71" s="168"/>
      <c r="F71" s="168"/>
      <c r="G71" s="210"/>
      <c r="H71" s="210"/>
      <c r="I71" s="210"/>
      <c r="J71" s="210"/>
      <c r="S71" s="189"/>
    </row>
    <row r="72" ht="15.75" customHeight="1"/>
    <row r="73" ht="18.75" customHeight="1">
      <c r="F73" s="211" t="s">
        <v>94</v>
      </c>
      <c r="G73" s="23" t="s">
        <v>21</v>
      </c>
      <c r="H73" s="212" t="s">
        <v>22</v>
      </c>
      <c r="I73" s="23" t="s">
        <v>23</v>
      </c>
      <c r="J73" s="213" t="s">
        <v>24</v>
      </c>
    </row>
    <row r="74" ht="18.75" customHeight="1">
      <c r="F74" s="214" t="s">
        <v>95</v>
      </c>
      <c r="G74" s="215">
        <f t="shared" ref="G74:J74" si="97">AVERAGE(G42:G70)</f>
        <v>65.44569542</v>
      </c>
      <c r="H74" s="216">
        <f t="shared" si="97"/>
        <v>51.61566499</v>
      </c>
      <c r="I74" s="217">
        <f t="shared" si="97"/>
        <v>37.47712942</v>
      </c>
      <c r="J74" s="216">
        <f t="shared" si="97"/>
        <v>43.89829836</v>
      </c>
    </row>
    <row r="75" ht="18.75" customHeight="1">
      <c r="F75" s="214" t="s">
        <v>96</v>
      </c>
      <c r="G75" s="218">
        <f t="shared" ref="G75:J75" si="98">SUMPRODUCT(G42:G70,$U$7:$U$35)</f>
        <v>70.0230752</v>
      </c>
      <c r="H75" s="219">
        <f t="shared" si="98"/>
        <v>62.21866289</v>
      </c>
      <c r="I75" s="220">
        <f t="shared" si="98"/>
        <v>40.54989402</v>
      </c>
      <c r="J75" s="219">
        <f t="shared" si="98"/>
        <v>51.26414067</v>
      </c>
    </row>
    <row r="76" ht="6.75" customHeight="1"/>
    <row r="77">
      <c r="F77" s="211" t="s">
        <v>97</v>
      </c>
      <c r="G77" s="23" t="s">
        <v>21</v>
      </c>
      <c r="H77" s="212" t="s">
        <v>22</v>
      </c>
      <c r="I77" s="23" t="s">
        <v>23</v>
      </c>
      <c r="J77" s="213" t="s">
        <v>24</v>
      </c>
    </row>
    <row r="78" ht="12.75" customHeight="1">
      <c r="F78" s="221" t="s">
        <v>98</v>
      </c>
      <c r="G78" s="222">
        <f t="shared" ref="G78:J78" si="99">G7</f>
        <v>57581</v>
      </c>
      <c r="H78" s="223">
        <f t="shared" si="99"/>
        <v>55316</v>
      </c>
      <c r="I78" s="222">
        <f t="shared" si="99"/>
        <v>58594</v>
      </c>
      <c r="J78" s="224">
        <f t="shared" si="99"/>
        <v>70049</v>
      </c>
    </row>
    <row r="79" ht="12.75" customHeight="1">
      <c r="F79" s="221" t="s">
        <v>96</v>
      </c>
      <c r="G79" s="225">
        <f t="shared" ref="G79:J79" si="100">G75</f>
        <v>70.0230752</v>
      </c>
      <c r="H79" s="226">
        <f t="shared" si="100"/>
        <v>62.21866289</v>
      </c>
      <c r="I79" s="225">
        <f t="shared" si="100"/>
        <v>40.54989402</v>
      </c>
      <c r="J79" s="227">
        <f t="shared" si="100"/>
        <v>51.26414067</v>
      </c>
    </row>
    <row r="80" ht="12.75" customHeight="1">
      <c r="F80" s="221" t="s">
        <v>99</v>
      </c>
      <c r="G80" s="228">
        <f t="shared" ref="G80:J80" si="101">(G78-MAX($G$78:$J$78))/(MIN($G$78:$J$78)-MAX($G$78:$J$78))</f>
        <v>0.8462634901</v>
      </c>
      <c r="H80" s="229">
        <f t="shared" si="101"/>
        <v>1</v>
      </c>
      <c r="I80" s="228">
        <f t="shared" si="101"/>
        <v>0.7775062784</v>
      </c>
      <c r="J80" s="230">
        <f t="shared" si="101"/>
        <v>0</v>
      </c>
    </row>
    <row r="82">
      <c r="F82" s="231" t="s">
        <v>100</v>
      </c>
      <c r="G82" s="23" t="s">
        <v>21</v>
      </c>
      <c r="H82" s="212" t="s">
        <v>22</v>
      </c>
      <c r="I82" s="23" t="s">
        <v>23</v>
      </c>
      <c r="J82" s="213" t="s">
        <v>24</v>
      </c>
    </row>
    <row r="83" ht="12.75" customHeight="1">
      <c r="F83" s="232">
        <v>0.0</v>
      </c>
      <c r="G83" s="233">
        <f t="shared" ref="G83:J83" si="102">G79</f>
        <v>70.0230752</v>
      </c>
      <c r="H83" s="234">
        <f t="shared" si="102"/>
        <v>62.21866289</v>
      </c>
      <c r="I83" s="233">
        <f t="shared" si="102"/>
        <v>40.54989402</v>
      </c>
      <c r="J83" s="235">
        <f t="shared" si="102"/>
        <v>51.26414067</v>
      </c>
    </row>
    <row r="84" ht="12.75" customHeight="1">
      <c r="F84" s="232">
        <v>0.25</v>
      </c>
      <c r="G84" s="236">
        <f t="shared" ref="G84:J84" si="103">(1-$F84)*G$83+($F84)*G$87</f>
        <v>73.67389365</v>
      </c>
      <c r="H84" s="237">
        <f t="shared" si="103"/>
        <v>71.66399717</v>
      </c>
      <c r="I84" s="236">
        <f t="shared" si="103"/>
        <v>49.85007748</v>
      </c>
      <c r="J84" s="238">
        <f t="shared" si="103"/>
        <v>38.4481055</v>
      </c>
    </row>
    <row r="85" ht="12.75" customHeight="1">
      <c r="F85" s="232">
        <v>0.5</v>
      </c>
      <c r="G85" s="236">
        <f t="shared" ref="G85:J85" si="104">(1-$F85)*G$83+($F85)*G$87</f>
        <v>77.32471211</v>
      </c>
      <c r="H85" s="237">
        <f t="shared" si="104"/>
        <v>81.10933145</v>
      </c>
      <c r="I85" s="236">
        <f t="shared" si="104"/>
        <v>59.15026093</v>
      </c>
      <c r="J85" s="238">
        <f t="shared" si="104"/>
        <v>25.63207033</v>
      </c>
    </row>
    <row r="86" ht="12.75" customHeight="1">
      <c r="F86" s="232">
        <v>0.75</v>
      </c>
      <c r="G86" s="236">
        <f t="shared" ref="G86:J86" si="105">(1-$F86)*G$83+($F86)*G$87</f>
        <v>80.97553056</v>
      </c>
      <c r="H86" s="237">
        <f t="shared" si="105"/>
        <v>90.55466572</v>
      </c>
      <c r="I86" s="236">
        <f t="shared" si="105"/>
        <v>68.45044439</v>
      </c>
      <c r="J86" s="238">
        <f t="shared" si="105"/>
        <v>12.81603517</v>
      </c>
    </row>
    <row r="87" ht="12.75" customHeight="1">
      <c r="C87" s="239"/>
      <c r="F87" s="232">
        <v>1.0</v>
      </c>
      <c r="G87" s="240">
        <f t="shared" ref="G87:J87" si="106">G80*100</f>
        <v>84.62634901</v>
      </c>
      <c r="H87" s="241">
        <f t="shared" si="106"/>
        <v>100</v>
      </c>
      <c r="I87" s="240">
        <f t="shared" si="106"/>
        <v>77.75062784</v>
      </c>
      <c r="J87" s="242">
        <f t="shared" si="106"/>
        <v>0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32">
    <mergeCell ref="Z5:Z6"/>
    <mergeCell ref="AA5:AA6"/>
    <mergeCell ref="AB5:AB6"/>
    <mergeCell ref="AC5:AC6"/>
    <mergeCell ref="AE5:AE6"/>
    <mergeCell ref="AF5:AF6"/>
    <mergeCell ref="C2:J2"/>
    <mergeCell ref="AE4:AF4"/>
    <mergeCell ref="G5:J5"/>
    <mergeCell ref="P5:Q5"/>
    <mergeCell ref="R5:R6"/>
    <mergeCell ref="S5:S6"/>
    <mergeCell ref="T5:T6"/>
    <mergeCell ref="U5:U6"/>
    <mergeCell ref="Y5:Y6"/>
    <mergeCell ref="B8:B36"/>
    <mergeCell ref="D8:D14"/>
    <mergeCell ref="D15:D16"/>
    <mergeCell ref="D17:D21"/>
    <mergeCell ref="D22:D26"/>
    <mergeCell ref="D34:D36"/>
    <mergeCell ref="D56:D60"/>
    <mergeCell ref="D61:D62"/>
    <mergeCell ref="D27:D28"/>
    <mergeCell ref="D29:D33"/>
    <mergeCell ref="G40:J40"/>
    <mergeCell ref="D42:D48"/>
    <mergeCell ref="D49:D50"/>
    <mergeCell ref="D51:D55"/>
    <mergeCell ref="B42:B70"/>
    <mergeCell ref="D63:D67"/>
    <mergeCell ref="D68:D70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2001-02-21T03:16:19Z</dcterms:created>
  <dc:creator>Detlof von Winterfeldt</dc:creator>
</cp:coreProperties>
</file>