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g\Desktop\Fall 2023\ECEN 5833 Low Power Embedded Design Techniques\"/>
    </mc:Choice>
  </mc:AlternateContent>
  <xr:revisionPtr revIDLastSave="0" documentId="13_ncr:1_{23895323-BB51-42F6-94EE-9E2FACDF1522}" xr6:coauthVersionLast="47" xr6:coauthVersionMax="47" xr10:uidLastSave="{00000000-0000-0000-0000-000000000000}"/>
  <bookViews>
    <workbookView xWindow="-120" yWindow="-120" windowWidth="20730" windowHeight="11160" xr2:uid="{B4C216B4-1EFD-40A3-8A45-1CBE25922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T8" i="1"/>
  <c r="C124" i="1"/>
  <c r="C119" i="1"/>
  <c r="H118" i="1"/>
  <c r="J109" i="1"/>
  <c r="C109" i="1"/>
  <c r="J106" i="1"/>
  <c r="J112" i="1" s="1"/>
  <c r="C106" i="1"/>
  <c r="C112" i="1" s="1"/>
  <c r="J103" i="1"/>
  <c r="C103" i="1"/>
  <c r="C92" i="1"/>
  <c r="C87" i="1"/>
  <c r="H86" i="1"/>
  <c r="J77" i="1"/>
  <c r="C77" i="1"/>
  <c r="J74" i="1"/>
  <c r="J80" i="1" s="1"/>
  <c r="C74" i="1"/>
  <c r="C80" i="1" s="1"/>
  <c r="J71" i="1"/>
  <c r="C71" i="1"/>
  <c r="P10" i="1"/>
  <c r="M8" i="1"/>
  <c r="O14" i="1" s="1"/>
  <c r="O10" i="1"/>
  <c r="O11" i="1"/>
  <c r="P11" i="1" s="1"/>
  <c r="O12" i="1"/>
  <c r="P12" i="1" s="1"/>
  <c r="O9" i="1"/>
  <c r="P9" i="1" s="1"/>
  <c r="M13" i="1"/>
  <c r="H41" i="1"/>
  <c r="O8" i="1" l="1"/>
  <c r="P8" i="1" s="1"/>
  <c r="O15" i="1"/>
  <c r="T9" i="1"/>
  <c r="O16" i="1"/>
  <c r="T11" i="1"/>
  <c r="C113" i="1"/>
  <c r="C114" i="1"/>
  <c r="J113" i="1"/>
  <c r="J114" i="1"/>
  <c r="C82" i="1"/>
  <c r="C81" i="1"/>
  <c r="J82" i="1"/>
  <c r="J81" i="1"/>
  <c r="C47" i="1"/>
  <c r="P35" i="1"/>
  <c r="C42" i="1"/>
  <c r="J29" i="1"/>
  <c r="J26" i="1"/>
  <c r="C32" i="1"/>
  <c r="C26" i="1"/>
  <c r="C29" i="1"/>
  <c r="C35" i="1" s="1"/>
  <c r="C37" i="1" s="1"/>
  <c r="J32" i="1"/>
  <c r="O17" i="1" l="1"/>
  <c r="P36" i="1"/>
  <c r="J35" i="1"/>
  <c r="C36" i="1"/>
  <c r="J36" i="1" l="1"/>
  <c r="J37" i="1"/>
</calcChain>
</file>

<file path=xl/sharedStrings.xml><?xml version="1.0" encoding="utf-8"?>
<sst xmlns="http://schemas.openxmlformats.org/spreadsheetml/2006/main" count="309" uniqueCount="100">
  <si>
    <t>Wh</t>
  </si>
  <si>
    <t>J</t>
  </si>
  <si>
    <r>
      <t>For any voltage, </t>
    </r>
    <r>
      <rPr>
        <b/>
        <sz val="10"/>
        <color rgb="FF202124"/>
        <rFont val="Roboto"/>
      </rPr>
      <t>mAh X voltage x 3.6 = Joules of energy</t>
    </r>
    <r>
      <rPr>
        <sz val="10"/>
        <color rgb="FF202124"/>
        <rFont val="Roboto"/>
      </rPr>
      <t>.</t>
    </r>
  </si>
  <si>
    <t>Use case:</t>
  </si>
  <si>
    <t>V</t>
  </si>
  <si>
    <t>A</t>
  </si>
  <si>
    <t>mA</t>
  </si>
  <si>
    <t>Ohms</t>
  </si>
  <si>
    <t>Calculate Power (Watt):</t>
  </si>
  <si>
    <t>Power:</t>
  </si>
  <si>
    <t>Watt</t>
  </si>
  <si>
    <t>Calculate Load Resistance:</t>
  </si>
  <si>
    <t>Charge</t>
  </si>
  <si>
    <t>Ah</t>
  </si>
  <si>
    <t>Voltage (V)</t>
  </si>
  <si>
    <t>Current (I)</t>
  </si>
  <si>
    <t>Duration (t)</t>
  </si>
  <si>
    <t>Units</t>
  </si>
  <si>
    <t>=V/I</t>
  </si>
  <si>
    <t>=V*I</t>
  </si>
  <si>
    <t>Equation</t>
  </si>
  <si>
    <t>=P*t</t>
  </si>
  <si>
    <t>Energy (Joule)</t>
  </si>
  <si>
    <t>Energy (Calorie)</t>
  </si>
  <si>
    <t>Energy (WattHour)</t>
  </si>
  <si>
    <t>=Wh*3600</t>
  </si>
  <si>
    <t>=Wh*860.42065</t>
  </si>
  <si>
    <t>cal</t>
  </si>
  <si>
    <t>mWatt</t>
  </si>
  <si>
    <t>mAh</t>
  </si>
  <si>
    <t>mWh</t>
  </si>
  <si>
    <t>=mWh*3.6</t>
  </si>
  <si>
    <t>Rules:</t>
  </si>
  <si>
    <t>Therfore:</t>
  </si>
  <si>
    <t>1 WattSecond = 1 Joule</t>
  </si>
  <si>
    <t>1 WattHour = 3600 Joules</t>
  </si>
  <si>
    <t>1 mWh = 3.6 J</t>
  </si>
  <si>
    <t xml:space="preserve">Since 1 mWh = 1 mAh *1V:  </t>
  </si>
  <si>
    <t>1 mAh *1V =3.6 J</t>
  </si>
  <si>
    <t>Calculate Charge (Ah)</t>
  </si>
  <si>
    <t>Value</t>
  </si>
  <si>
    <t xml:space="preserve">Voltage </t>
  </si>
  <si>
    <t>If you know you need X Joules, what size battery is required in mAH?</t>
  </si>
  <si>
    <t>Prof Graham's use case:</t>
  </si>
  <si>
    <t>h</t>
  </si>
  <si>
    <t>s</t>
  </si>
  <si>
    <t xml:space="preserve">Power and Energy Calcualtor </t>
  </si>
  <si>
    <t>Joule:   A Unit of work or energy in the International System of Units (SI); it is equal to the work done by a force of one newton acting through one metre.</t>
  </si>
  <si>
    <t>Watts are defined as 1 Watt = 1 Joule per second (1W = 1 J/s).</t>
  </si>
  <si>
    <t>V=J/C</t>
  </si>
  <si>
    <t>I=Q/t</t>
  </si>
  <si>
    <t>Q=1C</t>
  </si>
  <si>
    <t>1 Joule of energy is also the energy expended by 1 Amp of current at 1 Volt, moving in 1 second.</t>
  </si>
  <si>
    <t>P=VI = J/C*Q/t=J/C*C/t= J/t</t>
  </si>
  <si>
    <t>1 Watt = 1 Joule/Second</t>
  </si>
  <si>
    <t>1 Watt = 3600 Joule/Hour</t>
  </si>
  <si>
    <t>1 mW = 3.6 J/h</t>
  </si>
  <si>
    <t>More equations…..</t>
  </si>
  <si>
    <t>Therefore:</t>
  </si>
  <si>
    <t>=mWh*0.86042065</t>
  </si>
  <si>
    <t xml:space="preserve">Resistance </t>
  </si>
  <si>
    <t>=I*t</t>
  </si>
  <si>
    <t>Calculate energy (Wh, Joule)</t>
  </si>
  <si>
    <t>Given in uW in slides.</t>
  </si>
  <si>
    <t>For a battery with known mAh and voltage, how many Joules does it have?</t>
  </si>
  <si>
    <t>You can pick and choose and carefully modify Equations:</t>
  </si>
  <si>
    <t>=q*V*3.6</t>
  </si>
  <si>
    <t>Charge (q)</t>
  </si>
  <si>
    <t>=E/V/3.6</t>
  </si>
  <si>
    <t>GPS</t>
  </si>
  <si>
    <t>HR and SPO2</t>
  </si>
  <si>
    <t>Accelorometer</t>
  </si>
  <si>
    <t>Device</t>
  </si>
  <si>
    <t>Current (mA)</t>
  </si>
  <si>
    <t>Total:</t>
  </si>
  <si>
    <t>Power (mW)</t>
  </si>
  <si>
    <t>Microcontroller (Tx)</t>
  </si>
  <si>
    <t>Deep Sleep</t>
  </si>
  <si>
    <t>Power(uW</t>
  </si>
  <si>
    <t>Device States</t>
  </si>
  <si>
    <t>GPIO Init</t>
  </si>
  <si>
    <t>GPIO Init/ Startup</t>
  </si>
  <si>
    <t>Sensor Init + Read</t>
  </si>
  <si>
    <t>Transmit</t>
  </si>
  <si>
    <t>Power</t>
  </si>
  <si>
    <t>Average Max Power:</t>
  </si>
  <si>
    <t xml:space="preserve">Average Max Current: </t>
  </si>
  <si>
    <t>These values consider the init current of 1.5 Amps</t>
  </si>
  <si>
    <t>Average Min Current:</t>
  </si>
  <si>
    <t>Average Min Power:</t>
  </si>
  <si>
    <t>USE CASE 1</t>
  </si>
  <si>
    <t>USE CASE 2</t>
  </si>
  <si>
    <t>USE CASE 3</t>
  </si>
  <si>
    <t>Refered from datasheet, 19dBm is 0.0794 Watts</t>
  </si>
  <si>
    <t>mW</t>
  </si>
  <si>
    <t>Operation</t>
  </si>
  <si>
    <t>Sleep</t>
  </si>
  <si>
    <t>Worst Case Time (sec)</t>
  </si>
  <si>
    <t>Accelerometer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</si>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</sst>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  <font>
      <b/>
      <sz val="10"/>
      <color rgb="FF202124"/>
      <name val="Roboto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3" xfId="0" applyBorder="1"/>
    <xf numFmtId="0" fontId="0" fillId="0" borderId="0" xfId="0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EDC1728-E350-413E-9989-11C5742EBC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Power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Sheet1!$T$7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Sheet1!$S$8:$S$11</c:f>
              <c:strCache>
                <c:ptCount val="4"/>
                <c:pt idx="0">
                  <c:v>GPIO Init/ Startup</c:v>
                </c:pt>
                <c:pt idx="1">
                  <c:v>Sensor Init + Read</c:v>
                </c:pt>
                <c:pt idx="2">
                  <c:v>Transmit</c:v>
                </c:pt>
                <c:pt idx="3">
                  <c:v>Deep Sleep</c:v>
                </c:pt>
              </c:strCache>
            </c:strRef>
          </c:cat>
          <c:val>
            <c:numRef>
              <c:f>Sheet1!$T$8:$T$11</c:f>
              <c:numCache>
                <c:formatCode>General</c:formatCode>
                <c:ptCount val="4"/>
                <c:pt idx="0">
                  <c:v>4.9499999999999993</c:v>
                </c:pt>
                <c:pt idx="1">
                  <c:v>225.09299999999999</c:v>
                </c:pt>
                <c:pt idx="2">
                  <c:v>80</c:v>
                </c:pt>
                <c:pt idx="3">
                  <c:v>4.2899999999999995E-3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4-4646-BCBB-D01190CC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047776"/>
        <c:axId val="1385354272"/>
      </c:barChart>
      <c:catAx>
        <c:axId val="12900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54272"/>
        <c:crosses val="autoZero"/>
        <c:auto val="1"/>
        <c:lblAlgn val="ctr"/>
        <c:lblOffset val="100"/>
        <c:noMultiLvlLbl val="0"/>
      </c:catAx>
      <c:valAx>
        <c:axId val="13853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280988</xdr:colOff>
      <xdr:row>2</xdr:row>
      <xdr:rowOff>4761</xdr:rowOff>
    </xdr:from>
    <xdr:to>
      <xdr:col>33</xdr:col>
      <xdr:colOff>583407</xdr:colOff>
      <xdr:row>16</xdr:row>
      <xdr:rowOff>80961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795555-0C73-8575-CED0-570643C58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0.11348</cdr:x>
      <cdr:y>0.70399</cdr:y>
    </cdr:from>
    <cdr:to>
      <cdr:x>0.25931</cdr:x>
      <cdr:y>0.87066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B01BFBC-3F78-24DB-13A1-4D3CF33A73FC}"/>
            </a:ext>
          </a:extLst>
        </cdr:cNvPr>
        <cdr:cNvSpPr txBox="1"/>
      </cdr:nvSpPr>
      <cdr:spPr>
        <a:xfrm xmlns:a="http://schemas.openxmlformats.org/drawingml/2006/main">
          <a:off x="516651" y="1931195"/>
          <a:ext cx="663972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4.95 mW</a:t>
          </a:r>
          <a:br>
            <a:rPr lang="en-US" sz="1100"/>
          </a:br>
          <a:r>
            <a:rPr lang="en-US" sz="1100"/>
            <a:t>EM0/EM1</a:t>
          </a:r>
        </a:p>
      </cdr:txBody>
    </cdr:sp>
  </cdr:relSizeAnchor>
  <cdr:relSizeAnchor xmlns:cdr="http://schemas.openxmlformats.org/drawingml/2006/chartDrawing">
    <cdr:from>
      <cdr:x>0.30943</cdr:x>
      <cdr:y>0.10446</cdr:y>
    </cdr:from>
    <cdr:to>
      <cdr:x>0.51621</cdr:x>
      <cdr:y>0.29774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0FB8C4D-AB4C-4AFB-3865-C9ED4CD244FC}"/>
            </a:ext>
          </a:extLst>
        </cdr:cNvPr>
        <cdr:cNvSpPr txBox="1"/>
      </cdr:nvSpPr>
      <cdr:spPr>
        <a:xfrm xmlns:a="http://schemas.openxmlformats.org/drawingml/2006/main">
          <a:off x="1408813" y="286544"/>
          <a:ext cx="941480" cy="530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225.093 mW</a:t>
          </a:r>
          <a:br>
            <a:rPr lang="en-US" sz="1100"/>
          </a:br>
          <a:r>
            <a:rPr lang="en-US" sz="1100"/>
            <a:t>EM1</a:t>
          </a:r>
        </a:p>
      </cdr:txBody>
    </cdr:sp>
  </cdr:relSizeAnchor>
  <cdr:relSizeAnchor xmlns:cdr="http://schemas.openxmlformats.org/drawingml/2006/chartDrawing">
    <cdr:from>
      <cdr:x>0.56054</cdr:x>
      <cdr:y>0.52025</cdr:y>
    </cdr:from>
    <cdr:to>
      <cdr:x>0.70637</cdr:x>
      <cdr:y>0.62095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F4D19EC-58F1-51E2-2DE1-5A74DE42CC65}"/>
            </a:ext>
          </a:extLst>
        </cdr:cNvPr>
        <cdr:cNvSpPr txBox="1"/>
      </cdr:nvSpPr>
      <cdr:spPr>
        <a:xfrm xmlns:a="http://schemas.openxmlformats.org/drawingml/2006/main">
          <a:off x="2552092" y="1427162"/>
          <a:ext cx="66397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80</a:t>
          </a:r>
          <a:r>
            <a:rPr lang="en-US" sz="1100" baseline="0"/>
            <a:t> mW</a:t>
          </a:r>
          <a:br>
            <a:rPr lang="en-US" sz="1100" baseline="0"/>
          </a:br>
          <a:r>
            <a:rPr lang="en-US" sz="1100" baseline="0"/>
            <a:t>EM1</a:t>
          </a:r>
          <a:endParaRPr lang="en-US" sz="1100"/>
        </a:p>
      </cdr:txBody>
    </cdr:sp>
  </cdr:relSizeAnchor>
  <cdr:relSizeAnchor xmlns:cdr="http://schemas.openxmlformats.org/drawingml/2006/chartDrawing">
    <cdr:from>
      <cdr:x>0.78452</cdr:x>
      <cdr:y>0.70139</cdr:y>
    </cdr:from>
    <cdr:to>
      <cdr:x>0.93035</cdr:x>
      <cdr:y>0.87876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384C859-BD81-F5A1-43E1-92DE6B1C7757}"/>
            </a:ext>
          </a:extLst>
        </cdr:cNvPr>
        <cdr:cNvSpPr txBox="1"/>
      </cdr:nvSpPr>
      <cdr:spPr>
        <a:xfrm xmlns:a="http://schemas.openxmlformats.org/drawingml/2006/main">
          <a:off x="3571863" y="1924052"/>
          <a:ext cx="663971" cy="4865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4.29 uW</a:t>
          </a:r>
          <a:br>
            <a:rPr lang="en-US" sz="1100"/>
          </a:br>
          <a:r>
            <a:rPr lang="en-US" sz="1100"/>
            <a:t>EM3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36BC-5B4A-43E4-839B-A8A32FF62D2D}">
  <dimension ref="A1:V124"/>
  <sheetViews>
    <sheetView tabSelected="1" zoomScale="70" zoomScaleNormal="70" workbookViewId="0">
      <selection activeCell="H13" sqref="H13"/>
    </sheetView>
  </sheetViews>
  <sheetFormatPr defaultRowHeight="15" x14ac:dyDescent="0.25"/>
  <cols>
    <col min="2" max="2" width="17.28515625" bestFit="1" customWidth="1"/>
    <col min="3" max="3" width="12.5703125" bestFit="1" customWidth="1"/>
    <col min="5" max="5" width="2" bestFit="1" customWidth="1"/>
    <col min="6" max="6" width="14.7109375" customWidth="1"/>
    <col min="8" max="8" width="26" bestFit="1" customWidth="1"/>
    <col min="9" max="9" width="17.28515625" bestFit="1" customWidth="1"/>
    <col min="10" max="10" width="6.5703125" bestFit="1" customWidth="1"/>
    <col min="11" max="11" width="6.7109375" bestFit="1" customWidth="1"/>
    <col min="12" max="12" width="18.85546875" bestFit="1" customWidth="1"/>
    <col min="13" max="13" width="12.5703125" bestFit="1" customWidth="1"/>
    <col min="14" max="14" width="20.85546875" bestFit="1" customWidth="1"/>
    <col min="15" max="15" width="10" bestFit="1" customWidth="1"/>
    <col min="16" max="16" width="10.42578125" bestFit="1" customWidth="1"/>
    <col min="18" max="18" width="15.28515625" bestFit="1" customWidth="1"/>
    <col min="19" max="19" width="23.140625" bestFit="1" customWidth="1"/>
    <col min="20" max="20" width="11.5703125" customWidth="1"/>
  </cols>
  <sheetData>
    <row r="1" spans="1:22" x14ac:dyDescent="0.25">
      <c r="A1" s="8" t="s">
        <v>46</v>
      </c>
    </row>
    <row r="3" spans="1:22" x14ac:dyDescent="0.25">
      <c r="A3" t="s">
        <v>32</v>
      </c>
    </row>
    <row r="4" spans="1:22" x14ac:dyDescent="0.25">
      <c r="B4" t="s">
        <v>47</v>
      </c>
    </row>
    <row r="5" spans="1:22" x14ac:dyDescent="0.25">
      <c r="B5" t="s">
        <v>52</v>
      </c>
    </row>
    <row r="7" spans="1:22" x14ac:dyDescent="0.25">
      <c r="B7" t="s">
        <v>48</v>
      </c>
      <c r="L7" s="10" t="s">
        <v>72</v>
      </c>
      <c r="M7" s="10" t="s">
        <v>73</v>
      </c>
      <c r="N7" s="10" t="s">
        <v>14</v>
      </c>
      <c r="O7" s="10" t="s">
        <v>75</v>
      </c>
      <c r="P7" s="10" t="s">
        <v>78</v>
      </c>
      <c r="S7" s="10" t="s">
        <v>79</v>
      </c>
      <c r="T7" s="10" t="s">
        <v>84</v>
      </c>
    </row>
    <row r="8" spans="1:22" x14ac:dyDescent="0.25">
      <c r="L8" s="12" t="s">
        <v>77</v>
      </c>
      <c r="M8" s="12">
        <f>0.0013</f>
        <v>1.2999999999999999E-3</v>
      </c>
      <c r="N8" s="12">
        <v>3.3</v>
      </c>
      <c r="O8" s="12">
        <f>N8*M8</f>
        <v>4.2899999999999995E-3</v>
      </c>
      <c r="P8" s="9">
        <f>O8*1000</f>
        <v>4.2899999999999991</v>
      </c>
      <c r="S8" s="9" t="s">
        <v>81</v>
      </c>
      <c r="T8" s="9">
        <f>1.5*3.3</f>
        <v>4.9499999999999993</v>
      </c>
      <c r="U8" t="s">
        <v>94</v>
      </c>
    </row>
    <row r="9" spans="1:22" x14ac:dyDescent="0.25">
      <c r="B9" t="s">
        <v>33</v>
      </c>
      <c r="L9" s="9" t="s">
        <v>76</v>
      </c>
      <c r="M9" s="9">
        <v>8.5</v>
      </c>
      <c r="N9" s="9">
        <v>3.3</v>
      </c>
      <c r="O9" s="9">
        <f>N9*M9</f>
        <v>28.049999999999997</v>
      </c>
      <c r="P9" s="9">
        <f t="shared" ref="P9:P12" si="0">O9*1000</f>
        <v>28049.999999999996</v>
      </c>
      <c r="S9" s="9" t="s">
        <v>82</v>
      </c>
      <c r="T9" s="9">
        <f>O10+O11+O12</f>
        <v>225.09299999999999</v>
      </c>
      <c r="U9" t="s">
        <v>94</v>
      </c>
    </row>
    <row r="10" spans="1:22" x14ac:dyDescent="0.25">
      <c r="C10" t="s">
        <v>34</v>
      </c>
      <c r="G10" t="s">
        <v>54</v>
      </c>
      <c r="L10" s="9" t="s">
        <v>69</v>
      </c>
      <c r="M10" s="9">
        <v>67</v>
      </c>
      <c r="N10" s="9">
        <v>3.3</v>
      </c>
      <c r="O10" s="9">
        <f t="shared" ref="O10:O12" si="1">N10*M10</f>
        <v>221.1</v>
      </c>
      <c r="P10" s="9">
        <f t="shared" si="0"/>
        <v>221100</v>
      </c>
      <c r="S10" s="9" t="s">
        <v>83</v>
      </c>
      <c r="T10" s="9">
        <v>80</v>
      </c>
      <c r="U10" t="s">
        <v>94</v>
      </c>
      <c r="V10" t="s">
        <v>93</v>
      </c>
    </row>
    <row r="11" spans="1:22" x14ac:dyDescent="0.25">
      <c r="C11" t="s">
        <v>35</v>
      </c>
      <c r="G11" t="s">
        <v>55</v>
      </c>
      <c r="L11" s="9" t="s">
        <v>70</v>
      </c>
      <c r="M11" s="9">
        <v>1.2</v>
      </c>
      <c r="N11" s="13">
        <v>3.3</v>
      </c>
      <c r="O11" s="9">
        <f t="shared" si="1"/>
        <v>3.9599999999999995</v>
      </c>
      <c r="P11" s="9">
        <f t="shared" si="0"/>
        <v>3959.9999999999995</v>
      </c>
      <c r="S11" s="9" t="s">
        <v>77</v>
      </c>
      <c r="T11" s="9">
        <f>O8</f>
        <v>4.2899999999999995E-3</v>
      </c>
      <c r="U11" t="s">
        <v>94</v>
      </c>
    </row>
    <row r="12" spans="1:22" x14ac:dyDescent="0.25">
      <c r="C12" t="s">
        <v>36</v>
      </c>
      <c r="G12" t="s">
        <v>56</v>
      </c>
      <c r="L12" s="9" t="s">
        <v>71</v>
      </c>
      <c r="M12" s="17">
        <v>0.01</v>
      </c>
      <c r="N12" s="9">
        <v>3.3</v>
      </c>
      <c r="O12" s="16">
        <f t="shared" si="1"/>
        <v>3.3000000000000002E-2</v>
      </c>
      <c r="P12" s="9">
        <f t="shared" si="0"/>
        <v>33</v>
      </c>
    </row>
    <row r="13" spans="1:22" x14ac:dyDescent="0.25">
      <c r="B13" t="s">
        <v>37</v>
      </c>
      <c r="L13" s="15" t="s">
        <v>74</v>
      </c>
      <c r="M13" s="11">
        <f>SUM(M9:M12)</f>
        <v>76.710000000000008</v>
      </c>
      <c r="N13" s="14"/>
    </row>
    <row r="14" spans="1:22" x14ac:dyDescent="0.25">
      <c r="C14" t="s">
        <v>38</v>
      </c>
      <c r="N14" s="9" t="s">
        <v>88</v>
      </c>
      <c r="O14" s="11">
        <f>(M11+1+M9+(7*M8))/10</f>
        <v>1.07091</v>
      </c>
    </row>
    <row r="15" spans="1:22" ht="15" customHeight="1" x14ac:dyDescent="0.25">
      <c r="B15" s="2" t="s">
        <v>2</v>
      </c>
      <c r="N15" s="9" t="s">
        <v>86</v>
      </c>
      <c r="O15" s="11">
        <f>((2*M10)+M11+M12+1.5+M9+(4*M8))/10</f>
        <v>14.521519999999999</v>
      </c>
      <c r="Q15" s="20" t="s">
        <v>87</v>
      </c>
      <c r="R15" s="20"/>
      <c r="S15" s="20"/>
      <c r="T15" s="20"/>
      <c r="U15" s="20"/>
    </row>
    <row r="16" spans="1:22" ht="15" customHeight="1" x14ac:dyDescent="0.25">
      <c r="B16" s="2"/>
      <c r="N16" s="9" t="s">
        <v>89</v>
      </c>
      <c r="O16" s="11">
        <f>(O11+1+O9+(7*O8))/10</f>
        <v>3.3040029999999994</v>
      </c>
      <c r="Q16" s="19"/>
      <c r="R16" s="19"/>
      <c r="S16" s="19"/>
      <c r="T16" s="19"/>
      <c r="U16" s="19"/>
    </row>
    <row r="17" spans="1:19" x14ac:dyDescent="0.25">
      <c r="B17" s="2"/>
      <c r="N17" s="9" t="s">
        <v>85</v>
      </c>
      <c r="O17" s="11">
        <f>((2*O10)+O11+O12+(1.5*3.3)+O9+(4*O8))/10</f>
        <v>47.921015999999995</v>
      </c>
      <c r="Q17" s="18"/>
      <c r="R17" s="18"/>
    </row>
    <row r="18" spans="1:19" x14ac:dyDescent="0.25">
      <c r="A18" s="21" t="s">
        <v>90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9" x14ac:dyDescent="0.25">
      <c r="A19" t="s">
        <v>3</v>
      </c>
      <c r="C19" t="s">
        <v>40</v>
      </c>
      <c r="D19" t="s">
        <v>17</v>
      </c>
      <c r="F19" t="s">
        <v>20</v>
      </c>
      <c r="H19" t="s">
        <v>3</v>
      </c>
      <c r="J19" t="s">
        <v>40</v>
      </c>
      <c r="K19" t="s">
        <v>17</v>
      </c>
      <c r="L19" t="s">
        <v>20</v>
      </c>
      <c r="R19" s="10" t="s">
        <v>95</v>
      </c>
      <c r="S19" s="10" t="s">
        <v>97</v>
      </c>
    </row>
    <row r="20" spans="1:19" x14ac:dyDescent="0.25">
      <c r="B20" t="s">
        <v>14</v>
      </c>
      <c r="C20" s="4">
        <v>3.3</v>
      </c>
      <c r="D20" t="s">
        <v>4</v>
      </c>
      <c r="I20" t="s">
        <v>14</v>
      </c>
      <c r="J20" s="4">
        <v>3.3</v>
      </c>
      <c r="K20" t="s">
        <v>4</v>
      </c>
      <c r="R20" s="9" t="s">
        <v>80</v>
      </c>
      <c r="S20" s="22">
        <v>1</v>
      </c>
    </row>
    <row r="21" spans="1:19" x14ac:dyDescent="0.25">
      <c r="B21" t="s">
        <v>15</v>
      </c>
      <c r="C21" s="4">
        <v>7.5999999999999998E-2</v>
      </c>
      <c r="D21" t="s">
        <v>5</v>
      </c>
      <c r="I21" t="s">
        <v>15</v>
      </c>
      <c r="J21" s="4">
        <v>76.709999999999994</v>
      </c>
      <c r="K21" t="s">
        <v>6</v>
      </c>
      <c r="R21" s="9" t="s">
        <v>69</v>
      </c>
      <c r="S21" s="22">
        <v>2</v>
      </c>
    </row>
    <row r="22" spans="1:19" x14ac:dyDescent="0.25">
      <c r="C22" s="4"/>
      <c r="J22" s="4"/>
      <c r="R22" s="9" t="s">
        <v>98</v>
      </c>
      <c r="S22" s="22">
        <v>1</v>
      </c>
    </row>
    <row r="23" spans="1:19" x14ac:dyDescent="0.25">
      <c r="B23" t="s">
        <v>16</v>
      </c>
      <c r="C23" s="4">
        <v>5</v>
      </c>
      <c r="D23" t="s">
        <v>44</v>
      </c>
      <c r="I23" t="s">
        <v>16</v>
      </c>
      <c r="J23" s="4">
        <v>18000</v>
      </c>
      <c r="K23" t="s">
        <v>45</v>
      </c>
      <c r="R23" s="9" t="s">
        <v>70</v>
      </c>
      <c r="S23" s="22">
        <v>1</v>
      </c>
    </row>
    <row r="24" spans="1:19" x14ac:dyDescent="0.25">
      <c r="R24" s="9" t="s">
        <v>83</v>
      </c>
      <c r="S24" s="22">
        <v>1</v>
      </c>
    </row>
    <row r="25" spans="1:19" x14ac:dyDescent="0.25">
      <c r="A25" t="s">
        <v>11</v>
      </c>
      <c r="H25" t="s">
        <v>11</v>
      </c>
      <c r="R25" s="9" t="s">
        <v>96</v>
      </c>
      <c r="S25" s="22">
        <v>4</v>
      </c>
    </row>
    <row r="26" spans="1:19" x14ac:dyDescent="0.25">
      <c r="B26" t="s">
        <v>60</v>
      </c>
      <c r="C26" s="3">
        <f>+C20/C21</f>
        <v>43.421052631578945</v>
      </c>
      <c r="D26" t="s">
        <v>7</v>
      </c>
      <c r="F26" s="1" t="s">
        <v>18</v>
      </c>
      <c r="I26" t="s">
        <v>60</v>
      </c>
      <c r="J26" s="3">
        <f>+J20/J21*1000</f>
        <v>43.019163081736409</v>
      </c>
      <c r="K26" t="s">
        <v>7</v>
      </c>
      <c r="L26" s="1" t="s">
        <v>18</v>
      </c>
      <c r="R26" s="11" t="s">
        <v>99</v>
      </c>
      <c r="S26" s="11">
        <f>SUM(S20:S25)</f>
        <v>10</v>
      </c>
    </row>
    <row r="28" spans="1:19" x14ac:dyDescent="0.25">
      <c r="A28" t="s">
        <v>8</v>
      </c>
      <c r="H28" t="s">
        <v>8</v>
      </c>
    </row>
    <row r="29" spans="1:19" x14ac:dyDescent="0.25">
      <c r="B29" t="s">
        <v>9</v>
      </c>
      <c r="C29" s="3">
        <f>+C20*C21</f>
        <v>0.25079999999999997</v>
      </c>
      <c r="D29" t="s">
        <v>10</v>
      </c>
      <c r="F29" s="1" t="s">
        <v>19</v>
      </c>
      <c r="I29" t="s">
        <v>9</v>
      </c>
      <c r="J29" s="3">
        <f>+J20*J21</f>
        <v>253.14299999999997</v>
      </c>
      <c r="K29" t="s">
        <v>28</v>
      </c>
      <c r="L29" s="1" t="s">
        <v>19</v>
      </c>
      <c r="P29" t="s">
        <v>65</v>
      </c>
    </row>
    <row r="30" spans="1:19" x14ac:dyDescent="0.25">
      <c r="P30" t="s">
        <v>43</v>
      </c>
    </row>
    <row r="31" spans="1:19" x14ac:dyDescent="0.25">
      <c r="A31" t="s">
        <v>39</v>
      </c>
      <c r="H31" t="s">
        <v>39</v>
      </c>
    </row>
    <row r="32" spans="1:19" x14ac:dyDescent="0.25">
      <c r="B32" t="s">
        <v>12</v>
      </c>
      <c r="C32" s="3">
        <f>+C21*C23</f>
        <v>0.38</v>
      </c>
      <c r="D32" t="s">
        <v>13</v>
      </c>
      <c r="F32" s="1" t="s">
        <v>61</v>
      </c>
      <c r="I32" t="s">
        <v>12</v>
      </c>
      <c r="J32" s="3">
        <f>+J21*J23/3600</f>
        <v>383.55</v>
      </c>
      <c r="K32" t="s">
        <v>29</v>
      </c>
      <c r="L32" s="1" t="s">
        <v>61</v>
      </c>
      <c r="P32" s="3">
        <v>0.19500000000000001</v>
      </c>
      <c r="Q32" t="s">
        <v>28</v>
      </c>
      <c r="R32" s="1" t="s">
        <v>63</v>
      </c>
    </row>
    <row r="33" spans="1:18" x14ac:dyDescent="0.25">
      <c r="P33" s="4">
        <v>8</v>
      </c>
      <c r="Q33" t="s">
        <v>44</v>
      </c>
    </row>
    <row r="34" spans="1:18" x14ac:dyDescent="0.25">
      <c r="A34" t="s">
        <v>62</v>
      </c>
      <c r="H34" t="s">
        <v>62</v>
      </c>
    </row>
    <row r="35" spans="1:18" x14ac:dyDescent="0.25">
      <c r="B35" t="s">
        <v>24</v>
      </c>
      <c r="C35" s="3">
        <f>+C29*C23</f>
        <v>1.2539999999999998</v>
      </c>
      <c r="D35" t="s">
        <v>0</v>
      </c>
      <c r="F35" s="1" t="s">
        <v>21</v>
      </c>
      <c r="I35" t="s">
        <v>24</v>
      </c>
      <c r="J35" s="3">
        <f>+J29*J23/3600</f>
        <v>1265.7149999999997</v>
      </c>
      <c r="K35" t="s">
        <v>30</v>
      </c>
      <c r="L35" s="1" t="s">
        <v>21</v>
      </c>
      <c r="P35" s="3">
        <f>+P32*P33</f>
        <v>1.56</v>
      </c>
      <c r="Q35" t="s">
        <v>30</v>
      </c>
      <c r="R35" s="1" t="s">
        <v>21</v>
      </c>
    </row>
    <row r="36" spans="1:18" x14ac:dyDescent="0.25">
      <c r="B36" t="s">
        <v>22</v>
      </c>
      <c r="C36" s="5">
        <f>+C35*3600</f>
        <v>4514.3999999999996</v>
      </c>
      <c r="D36" t="s">
        <v>1</v>
      </c>
      <c r="F36" s="1" t="s">
        <v>25</v>
      </c>
      <c r="I36" t="s">
        <v>22</v>
      </c>
      <c r="J36" s="5">
        <f>+J35*3.6</f>
        <v>4556.5739999999987</v>
      </c>
      <c r="K36" t="s">
        <v>1</v>
      </c>
      <c r="L36" s="1" t="s">
        <v>31</v>
      </c>
      <c r="P36" s="7">
        <f>+P35*3.6</f>
        <v>5.6160000000000005</v>
      </c>
      <c r="Q36" t="s">
        <v>1</v>
      </c>
      <c r="R36" s="1" t="s">
        <v>31</v>
      </c>
    </row>
    <row r="37" spans="1:18" x14ac:dyDescent="0.25">
      <c r="B37" t="s">
        <v>23</v>
      </c>
      <c r="C37" s="6">
        <f>+C35*860.42065</f>
        <v>1078.9674951</v>
      </c>
      <c r="D37" t="s">
        <v>27</v>
      </c>
      <c r="F37" s="1" t="s">
        <v>26</v>
      </c>
      <c r="I37" t="s">
        <v>23</v>
      </c>
      <c r="J37" s="6">
        <f>+J35*0.86042065</f>
        <v>1089.0473230147497</v>
      </c>
      <c r="K37" t="s">
        <v>27</v>
      </c>
      <c r="L37" s="1" t="s">
        <v>59</v>
      </c>
    </row>
    <row r="39" spans="1:18" x14ac:dyDescent="0.25">
      <c r="A39" t="s">
        <v>64</v>
      </c>
    </row>
    <row r="40" spans="1:18" x14ac:dyDescent="0.25">
      <c r="B40" t="s">
        <v>67</v>
      </c>
      <c r="C40" s="4">
        <v>120</v>
      </c>
      <c r="D40" t="s">
        <v>29</v>
      </c>
    </row>
    <row r="41" spans="1:18" x14ac:dyDescent="0.25">
      <c r="B41" t="s">
        <v>41</v>
      </c>
      <c r="C41" s="4">
        <v>3</v>
      </c>
      <c r="D41" t="s">
        <v>4</v>
      </c>
      <c r="H41">
        <f>6*57</f>
        <v>342</v>
      </c>
    </row>
    <row r="42" spans="1:18" x14ac:dyDescent="0.25">
      <c r="B42" t="s">
        <v>22</v>
      </c>
      <c r="C42" s="5">
        <f>+C40*C41*3.6</f>
        <v>1296</v>
      </c>
      <c r="D42" t="s">
        <v>1</v>
      </c>
      <c r="F42" s="1" t="s">
        <v>66</v>
      </c>
    </row>
    <row r="44" spans="1:18" x14ac:dyDescent="0.25">
      <c r="A44" t="s">
        <v>42</v>
      </c>
    </row>
    <row r="45" spans="1:18" x14ac:dyDescent="0.25">
      <c r="B45" t="s">
        <v>22</v>
      </c>
      <c r="C45" s="4">
        <v>4500</v>
      </c>
      <c r="D45" t="s">
        <v>1</v>
      </c>
    </row>
    <row r="46" spans="1:18" x14ac:dyDescent="0.25">
      <c r="B46" t="s">
        <v>41</v>
      </c>
      <c r="C46" s="4">
        <v>4.2</v>
      </c>
      <c r="D46" t="s">
        <v>4</v>
      </c>
    </row>
    <row r="47" spans="1:18" x14ac:dyDescent="0.25">
      <c r="B47" t="s">
        <v>12</v>
      </c>
      <c r="C47" s="6">
        <f>+C45/C46/3.6</f>
        <v>297.61904761904759</v>
      </c>
      <c r="D47" t="s">
        <v>29</v>
      </c>
      <c r="F47" s="1" t="s">
        <v>68</v>
      </c>
    </row>
    <row r="52" spans="1:12" x14ac:dyDescent="0.25">
      <c r="A52" t="s">
        <v>57</v>
      </c>
    </row>
    <row r="53" spans="1:12" x14ac:dyDescent="0.25">
      <c r="B53" t="s">
        <v>49</v>
      </c>
    </row>
    <row r="54" spans="1:12" x14ac:dyDescent="0.25">
      <c r="B54" t="s">
        <v>50</v>
      </c>
    </row>
    <row r="55" spans="1:12" x14ac:dyDescent="0.25">
      <c r="B55" t="s">
        <v>51</v>
      </c>
    </row>
    <row r="56" spans="1:12" x14ac:dyDescent="0.25">
      <c r="A56" t="s">
        <v>58</v>
      </c>
    </row>
    <row r="57" spans="1:12" x14ac:dyDescent="0.25">
      <c r="B57" t="s">
        <v>53</v>
      </c>
    </row>
    <row r="64" spans="1:12" x14ac:dyDescent="0.25">
      <c r="A64" s="21" t="s">
        <v>91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2" x14ac:dyDescent="0.25">
      <c r="A65" t="s">
        <v>3</v>
      </c>
      <c r="C65" t="s">
        <v>40</v>
      </c>
      <c r="D65" t="s">
        <v>17</v>
      </c>
      <c r="F65" t="s">
        <v>20</v>
      </c>
      <c r="H65" t="s">
        <v>3</v>
      </c>
      <c r="J65" t="s">
        <v>40</v>
      </c>
      <c r="K65" t="s">
        <v>17</v>
      </c>
      <c r="L65" t="s">
        <v>20</v>
      </c>
    </row>
    <row r="66" spans="1:12" x14ac:dyDescent="0.25">
      <c r="B66" t="s">
        <v>14</v>
      </c>
      <c r="C66" s="4">
        <v>3.3</v>
      </c>
      <c r="D66" t="s">
        <v>4</v>
      </c>
      <c r="I66" t="s">
        <v>14</v>
      </c>
      <c r="J66" s="4">
        <v>3.3</v>
      </c>
      <c r="K66" t="s">
        <v>4</v>
      </c>
    </row>
    <row r="67" spans="1:12" x14ac:dyDescent="0.25">
      <c r="B67" t="s">
        <v>15</v>
      </c>
      <c r="C67" s="4">
        <v>1E-3</v>
      </c>
      <c r="D67" t="s">
        <v>5</v>
      </c>
      <c r="I67" t="s">
        <v>15</v>
      </c>
      <c r="J67" s="4">
        <v>76.709999999999994</v>
      </c>
      <c r="K67" t="s">
        <v>6</v>
      </c>
    </row>
    <row r="68" spans="1:12" x14ac:dyDescent="0.25">
      <c r="B68" t="s">
        <v>16</v>
      </c>
      <c r="C68" s="4">
        <v>5</v>
      </c>
      <c r="D68" t="s">
        <v>44</v>
      </c>
      <c r="I68" t="s">
        <v>16</v>
      </c>
      <c r="J68" s="4">
        <v>18000</v>
      </c>
      <c r="K68" t="s">
        <v>45</v>
      </c>
    </row>
    <row r="70" spans="1:12" x14ac:dyDescent="0.25">
      <c r="A70" t="s">
        <v>11</v>
      </c>
      <c r="H70" t="s">
        <v>11</v>
      </c>
    </row>
    <row r="71" spans="1:12" x14ac:dyDescent="0.25">
      <c r="B71" t="s">
        <v>60</v>
      </c>
      <c r="C71" s="3">
        <f>+C66/C67</f>
        <v>3299.9999999999995</v>
      </c>
      <c r="D71" t="s">
        <v>7</v>
      </c>
      <c r="F71" s="1" t="s">
        <v>18</v>
      </c>
      <c r="I71" t="s">
        <v>60</v>
      </c>
      <c r="J71" s="3">
        <f>+J66/J67*1000</f>
        <v>43.019163081736409</v>
      </c>
      <c r="K71" t="s">
        <v>7</v>
      </c>
      <c r="L71" s="1" t="s">
        <v>18</v>
      </c>
    </row>
    <row r="73" spans="1:12" x14ac:dyDescent="0.25">
      <c r="A73" t="s">
        <v>8</v>
      </c>
      <c r="H73" t="s">
        <v>8</v>
      </c>
    </row>
    <row r="74" spans="1:12" x14ac:dyDescent="0.25">
      <c r="B74" t="s">
        <v>9</v>
      </c>
      <c r="C74" s="3">
        <f>+C66*C67</f>
        <v>3.3E-3</v>
      </c>
      <c r="D74" t="s">
        <v>10</v>
      </c>
      <c r="F74" s="1" t="s">
        <v>19</v>
      </c>
      <c r="I74" t="s">
        <v>9</v>
      </c>
      <c r="J74" s="3">
        <f>+J66*J67</f>
        <v>253.14299999999997</v>
      </c>
      <c r="K74" t="s">
        <v>28</v>
      </c>
      <c r="L74" s="1" t="s">
        <v>19</v>
      </c>
    </row>
    <row r="76" spans="1:12" x14ac:dyDescent="0.25">
      <c r="A76" t="s">
        <v>39</v>
      </c>
      <c r="H76" t="s">
        <v>39</v>
      </c>
    </row>
    <row r="77" spans="1:12" x14ac:dyDescent="0.25">
      <c r="B77" t="s">
        <v>12</v>
      </c>
      <c r="C77" s="3">
        <f>+C67*C68</f>
        <v>5.0000000000000001E-3</v>
      </c>
      <c r="D77" t="s">
        <v>13</v>
      </c>
      <c r="F77" s="1" t="s">
        <v>61</v>
      </c>
      <c r="I77" t="s">
        <v>12</v>
      </c>
      <c r="J77" s="3">
        <f>+J67*J68/3600</f>
        <v>383.55</v>
      </c>
      <c r="K77" t="s">
        <v>29</v>
      </c>
      <c r="L77" s="1" t="s">
        <v>61</v>
      </c>
    </row>
    <row r="79" spans="1:12" x14ac:dyDescent="0.25">
      <c r="A79" t="s">
        <v>62</v>
      </c>
      <c r="H79" t="s">
        <v>62</v>
      </c>
    </row>
    <row r="80" spans="1:12" x14ac:dyDescent="0.25">
      <c r="B80" t="s">
        <v>24</v>
      </c>
      <c r="C80" s="3">
        <f>+C74*C68</f>
        <v>1.6500000000000001E-2</v>
      </c>
      <c r="D80" t="s">
        <v>0</v>
      </c>
      <c r="F80" s="1" t="s">
        <v>21</v>
      </c>
      <c r="I80" t="s">
        <v>24</v>
      </c>
      <c r="J80" s="3">
        <f>+J74*J68/3600</f>
        <v>1265.7149999999997</v>
      </c>
      <c r="K80" t="s">
        <v>30</v>
      </c>
      <c r="L80" s="1" t="s">
        <v>21</v>
      </c>
    </row>
    <row r="81" spans="1:12" x14ac:dyDescent="0.25">
      <c r="B81" t="s">
        <v>22</v>
      </c>
      <c r="C81" s="5">
        <f>+C80*3600</f>
        <v>59.400000000000006</v>
      </c>
      <c r="D81" t="s">
        <v>1</v>
      </c>
      <c r="F81" s="1" t="s">
        <v>25</v>
      </c>
      <c r="I81" t="s">
        <v>22</v>
      </c>
      <c r="J81" s="5">
        <f>+J80*3.6</f>
        <v>4556.5739999999987</v>
      </c>
      <c r="K81" t="s">
        <v>1</v>
      </c>
      <c r="L81" s="1" t="s">
        <v>31</v>
      </c>
    </row>
    <row r="82" spans="1:12" x14ac:dyDescent="0.25">
      <c r="B82" t="s">
        <v>23</v>
      </c>
      <c r="C82" s="6">
        <f>+C80*860.42065</f>
        <v>14.196940725000001</v>
      </c>
      <c r="D82" t="s">
        <v>27</v>
      </c>
      <c r="F82" s="1" t="s">
        <v>26</v>
      </c>
      <c r="I82" t="s">
        <v>23</v>
      </c>
      <c r="J82" s="6">
        <f>+J80*0.86042065</f>
        <v>1089.0473230147497</v>
      </c>
      <c r="K82" t="s">
        <v>27</v>
      </c>
      <c r="L82" s="1" t="s">
        <v>59</v>
      </c>
    </row>
    <row r="84" spans="1:12" x14ac:dyDescent="0.25">
      <c r="A84" t="s">
        <v>64</v>
      </c>
    </row>
    <row r="85" spans="1:12" x14ac:dyDescent="0.25">
      <c r="B85" t="s">
        <v>67</v>
      </c>
      <c r="C85" s="4">
        <v>120</v>
      </c>
      <c r="D85" t="s">
        <v>29</v>
      </c>
    </row>
    <row r="86" spans="1:12" x14ac:dyDescent="0.25">
      <c r="B86" t="s">
        <v>41</v>
      </c>
      <c r="C86" s="4">
        <v>3</v>
      </c>
      <c r="D86" t="s">
        <v>4</v>
      </c>
      <c r="H86">
        <f>6*57</f>
        <v>342</v>
      </c>
    </row>
    <row r="87" spans="1:12" x14ac:dyDescent="0.25">
      <c r="B87" t="s">
        <v>22</v>
      </c>
      <c r="C87" s="5">
        <f>+C85*C86*3.6</f>
        <v>1296</v>
      </c>
      <c r="D87" t="s">
        <v>1</v>
      </c>
      <c r="F87" s="1" t="s">
        <v>66</v>
      </c>
    </row>
    <row r="89" spans="1:12" x14ac:dyDescent="0.25">
      <c r="A89" t="s">
        <v>42</v>
      </c>
    </row>
    <row r="90" spans="1:12" x14ac:dyDescent="0.25">
      <c r="B90" t="s">
        <v>22</v>
      </c>
      <c r="C90" s="4">
        <v>100</v>
      </c>
      <c r="D90" t="s">
        <v>1</v>
      </c>
    </row>
    <row r="91" spans="1:12" x14ac:dyDescent="0.25">
      <c r="B91" t="s">
        <v>41</v>
      </c>
      <c r="C91" s="4">
        <v>4.2</v>
      </c>
      <c r="D91" t="s">
        <v>4</v>
      </c>
    </row>
    <row r="92" spans="1:12" x14ac:dyDescent="0.25">
      <c r="B92" t="s">
        <v>12</v>
      </c>
      <c r="C92" s="6">
        <f>+C90/C91/3.6</f>
        <v>6.6137566137566139</v>
      </c>
      <c r="D92" t="s">
        <v>29</v>
      </c>
      <c r="F92" s="1" t="s">
        <v>68</v>
      </c>
    </row>
    <row r="96" spans="1:12" x14ac:dyDescent="0.25">
      <c r="A96" s="21" t="s">
        <v>92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 x14ac:dyDescent="0.25">
      <c r="A97" t="s">
        <v>3</v>
      </c>
      <c r="C97" t="s">
        <v>40</v>
      </c>
      <c r="D97" t="s">
        <v>17</v>
      </c>
      <c r="F97" t="s">
        <v>20</v>
      </c>
      <c r="H97" t="s">
        <v>3</v>
      </c>
      <c r="J97" t="s">
        <v>40</v>
      </c>
      <c r="K97" t="s">
        <v>17</v>
      </c>
      <c r="L97" t="s">
        <v>20</v>
      </c>
    </row>
    <row r="98" spans="1:12" x14ac:dyDescent="0.25">
      <c r="B98" t="s">
        <v>14</v>
      </c>
      <c r="C98" s="4">
        <v>3.3</v>
      </c>
      <c r="D98" t="s">
        <v>4</v>
      </c>
      <c r="I98" t="s">
        <v>14</v>
      </c>
      <c r="J98" s="4">
        <v>3.3</v>
      </c>
      <c r="K98" t="s">
        <v>4</v>
      </c>
    </row>
    <row r="99" spans="1:12" x14ac:dyDescent="0.25">
      <c r="B99" t="s">
        <v>15</v>
      </c>
      <c r="C99" s="4">
        <v>1.4E-2</v>
      </c>
      <c r="D99" t="s">
        <v>5</v>
      </c>
      <c r="I99" t="s">
        <v>15</v>
      </c>
      <c r="J99" s="4">
        <v>76.709999999999994</v>
      </c>
      <c r="K99" t="s">
        <v>6</v>
      </c>
    </row>
    <row r="100" spans="1:12" x14ac:dyDescent="0.25">
      <c r="B100" t="s">
        <v>16</v>
      </c>
      <c r="C100" s="4">
        <v>5</v>
      </c>
      <c r="D100" t="s">
        <v>44</v>
      </c>
      <c r="I100" t="s">
        <v>16</v>
      </c>
      <c r="J100" s="4">
        <v>18000</v>
      </c>
      <c r="K100" t="s">
        <v>45</v>
      </c>
    </row>
    <row r="102" spans="1:12" x14ac:dyDescent="0.25">
      <c r="A102" t="s">
        <v>11</v>
      </c>
      <c r="H102" t="s">
        <v>11</v>
      </c>
    </row>
    <row r="103" spans="1:12" x14ac:dyDescent="0.25">
      <c r="B103" t="s">
        <v>60</v>
      </c>
      <c r="C103" s="3">
        <f>+C98/C99</f>
        <v>235.71428571428569</v>
      </c>
      <c r="D103" t="s">
        <v>7</v>
      </c>
      <c r="F103" s="1" t="s">
        <v>18</v>
      </c>
      <c r="I103" t="s">
        <v>60</v>
      </c>
      <c r="J103" s="3">
        <f>+J98/J99*1000</f>
        <v>43.019163081736409</v>
      </c>
      <c r="K103" t="s">
        <v>7</v>
      </c>
      <c r="L103" s="1" t="s">
        <v>18</v>
      </c>
    </row>
    <row r="105" spans="1:12" x14ac:dyDescent="0.25">
      <c r="A105" t="s">
        <v>8</v>
      </c>
      <c r="H105" t="s">
        <v>8</v>
      </c>
    </row>
    <row r="106" spans="1:12" x14ac:dyDescent="0.25">
      <c r="B106" t="s">
        <v>9</v>
      </c>
      <c r="C106" s="3">
        <f>+C98*C99</f>
        <v>4.6199999999999998E-2</v>
      </c>
      <c r="D106" t="s">
        <v>10</v>
      </c>
      <c r="F106" s="1" t="s">
        <v>19</v>
      </c>
      <c r="I106" t="s">
        <v>9</v>
      </c>
      <c r="J106" s="3">
        <f>+J98*J99</f>
        <v>253.14299999999997</v>
      </c>
      <c r="K106" t="s">
        <v>28</v>
      </c>
      <c r="L106" s="1" t="s">
        <v>19</v>
      </c>
    </row>
    <row r="108" spans="1:12" x14ac:dyDescent="0.25">
      <c r="A108" t="s">
        <v>39</v>
      </c>
      <c r="H108" t="s">
        <v>39</v>
      </c>
    </row>
    <row r="109" spans="1:12" x14ac:dyDescent="0.25">
      <c r="B109" t="s">
        <v>12</v>
      </c>
      <c r="C109" s="3">
        <f>+C99*C100</f>
        <v>7.0000000000000007E-2</v>
      </c>
      <c r="D109" t="s">
        <v>13</v>
      </c>
      <c r="F109" s="1" t="s">
        <v>61</v>
      </c>
      <c r="I109" t="s">
        <v>12</v>
      </c>
      <c r="J109" s="3">
        <f>+J99*J100/3600</f>
        <v>383.55</v>
      </c>
      <c r="K109" t="s">
        <v>29</v>
      </c>
      <c r="L109" s="1" t="s">
        <v>61</v>
      </c>
    </row>
    <row r="111" spans="1:12" x14ac:dyDescent="0.25">
      <c r="A111" t="s">
        <v>62</v>
      </c>
      <c r="H111" t="s">
        <v>62</v>
      </c>
    </row>
    <row r="112" spans="1:12" x14ac:dyDescent="0.25">
      <c r="B112" t="s">
        <v>24</v>
      </c>
      <c r="C112" s="3">
        <f>+C106*C100</f>
        <v>0.23099999999999998</v>
      </c>
      <c r="D112" t="s">
        <v>0</v>
      </c>
      <c r="F112" s="1" t="s">
        <v>21</v>
      </c>
      <c r="I112" t="s">
        <v>24</v>
      </c>
      <c r="J112" s="3">
        <f>+J106*J100/3600</f>
        <v>1265.7149999999997</v>
      </c>
      <c r="K112" t="s">
        <v>30</v>
      </c>
      <c r="L112" s="1" t="s">
        <v>21</v>
      </c>
    </row>
    <row r="113" spans="1:12" x14ac:dyDescent="0.25">
      <c r="B113" t="s">
        <v>22</v>
      </c>
      <c r="C113" s="5">
        <f>+C112*3600</f>
        <v>831.59999999999991</v>
      </c>
      <c r="D113" t="s">
        <v>1</v>
      </c>
      <c r="F113" s="1" t="s">
        <v>25</v>
      </c>
      <c r="I113" t="s">
        <v>22</v>
      </c>
      <c r="J113" s="5">
        <f>+J112*3.6</f>
        <v>4556.5739999999987</v>
      </c>
      <c r="K113" t="s">
        <v>1</v>
      </c>
      <c r="L113" s="1" t="s">
        <v>31</v>
      </c>
    </row>
    <row r="114" spans="1:12" x14ac:dyDescent="0.25">
      <c r="B114" t="s">
        <v>23</v>
      </c>
      <c r="C114" s="6">
        <f>+C112*860.42065</f>
        <v>198.75717014999998</v>
      </c>
      <c r="D114" t="s">
        <v>27</v>
      </c>
      <c r="F114" s="1" t="s">
        <v>26</v>
      </c>
      <c r="I114" t="s">
        <v>23</v>
      </c>
      <c r="J114" s="6">
        <f>+J112*0.86042065</f>
        <v>1089.0473230147497</v>
      </c>
      <c r="K114" t="s">
        <v>27</v>
      </c>
      <c r="L114" s="1" t="s">
        <v>59</v>
      </c>
    </row>
    <row r="116" spans="1:12" x14ac:dyDescent="0.25">
      <c r="A116" t="s">
        <v>64</v>
      </c>
    </row>
    <row r="117" spans="1:12" x14ac:dyDescent="0.25">
      <c r="B117" t="s">
        <v>67</v>
      </c>
      <c r="C117" s="4">
        <v>120</v>
      </c>
      <c r="D117" t="s">
        <v>29</v>
      </c>
    </row>
    <row r="118" spans="1:12" x14ac:dyDescent="0.25">
      <c r="B118" t="s">
        <v>41</v>
      </c>
      <c r="C118" s="4">
        <v>3</v>
      </c>
      <c r="D118" t="s">
        <v>4</v>
      </c>
      <c r="H118">
        <f>6*57</f>
        <v>342</v>
      </c>
    </row>
    <row r="119" spans="1:12" x14ac:dyDescent="0.25">
      <c r="B119" t="s">
        <v>22</v>
      </c>
      <c r="C119" s="5">
        <f>+C117*C118*3.6</f>
        <v>1296</v>
      </c>
      <c r="D119" t="s">
        <v>1</v>
      </c>
      <c r="F119" s="1" t="s">
        <v>66</v>
      </c>
    </row>
    <row r="121" spans="1:12" x14ac:dyDescent="0.25">
      <c r="A121" t="s">
        <v>42</v>
      </c>
    </row>
    <row r="122" spans="1:12" x14ac:dyDescent="0.25">
      <c r="B122" t="s">
        <v>22</v>
      </c>
      <c r="C122" s="4">
        <v>1000</v>
      </c>
      <c r="D122" t="s">
        <v>1</v>
      </c>
    </row>
    <row r="123" spans="1:12" x14ac:dyDescent="0.25">
      <c r="B123" t="s">
        <v>41</v>
      </c>
      <c r="C123" s="4">
        <v>4.2</v>
      </c>
      <c r="D123" t="s">
        <v>4</v>
      </c>
    </row>
    <row r="124" spans="1:12" x14ac:dyDescent="0.25">
      <c r="B124" t="s">
        <v>12</v>
      </c>
      <c r="C124" s="6">
        <f>+C122/C123/3.6</f>
        <v>66.137566137566125</v>
      </c>
      <c r="D124" t="s">
        <v>29</v>
      </c>
      <c r="F124" s="1" t="s">
        <v>68</v>
      </c>
    </row>
  </sheetData>
  <mergeCells count="4">
    <mergeCell ref="Q15:U15"/>
    <mergeCell ref="A18:L18"/>
    <mergeCell ref="A64:L64"/>
    <mergeCell ref="A96:L96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Spalding</dc:creator>
  <cp:lastModifiedBy>Devang Boradhara</cp:lastModifiedBy>
  <dcterms:created xsi:type="dcterms:W3CDTF">2021-09-20T00:12:21Z</dcterms:created>
  <dcterms:modified xsi:type="dcterms:W3CDTF">2023-09-24T05:08:31Z</dcterms:modified>
</cp:coreProperties>
</file>