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rian.meipariani\Downloads\"/>
    </mc:Choice>
  </mc:AlternateContent>
  <bookViews>
    <workbookView xWindow="0" yWindow="0" windowWidth="23040" windowHeight="9195"/>
  </bookViews>
  <sheets>
    <sheet name="Model" sheetId="1" r:id="rId1"/>
    <sheet name="Balance Sheet" sheetId="2" r:id="rId2"/>
    <sheet name="Income Statement" sheetId="3" r:id="rId3"/>
    <sheet name="Cash Flow Statement" sheetId="4" r:id="rId4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  <c r="F38" i="4" l="1"/>
  <c r="F39" i="4" s="1"/>
  <c r="F41" i="4" s="1"/>
  <c r="E38" i="4"/>
  <c r="E39" i="4" s="1"/>
  <c r="E41" i="4" s="1"/>
  <c r="F29" i="4"/>
  <c r="E29" i="4"/>
  <c r="F19" i="4"/>
  <c r="E19" i="4"/>
  <c r="G11" i="1" s="1"/>
  <c r="F23" i="3"/>
  <c r="D7" i="1" s="1"/>
  <c r="E23" i="3"/>
  <c r="C7" i="1" s="1"/>
  <c r="F20" i="3"/>
  <c r="E20" i="3"/>
  <c r="F15" i="3"/>
  <c r="E15" i="3"/>
  <c r="F11" i="3"/>
  <c r="H8" i="1" s="1"/>
  <c r="E11" i="3"/>
  <c r="G8" i="1" s="1"/>
  <c r="I38" i="2"/>
  <c r="H38" i="2"/>
  <c r="G38" i="2"/>
  <c r="I24" i="2"/>
  <c r="I30" i="2" s="1"/>
  <c r="I39" i="2" s="1"/>
  <c r="H24" i="2"/>
  <c r="H30" i="2" s="1"/>
  <c r="H39" i="2" s="1"/>
  <c r="G24" i="2"/>
  <c r="G30" i="2" s="1"/>
  <c r="I9" i="2"/>
  <c r="I18" i="2" s="1"/>
  <c r="H9" i="2"/>
  <c r="D11" i="1" s="1"/>
  <c r="G9" i="2"/>
  <c r="G18" i="2" s="1"/>
  <c r="H26" i="1"/>
  <c r="G26" i="1"/>
  <c r="H24" i="1"/>
  <c r="G24" i="1"/>
  <c r="D19" i="1"/>
  <c r="C19" i="1"/>
  <c r="D14" i="1"/>
  <c r="H12" i="1"/>
  <c r="G12" i="1"/>
  <c r="H10" i="1"/>
  <c r="G10" i="1"/>
  <c r="H7" i="1"/>
  <c r="H25" i="1" s="1"/>
  <c r="G7" i="1"/>
  <c r="G25" i="1" s="1"/>
  <c r="G18" i="1" s="1"/>
  <c r="H6" i="1"/>
  <c r="G6" i="1"/>
  <c r="H5" i="1"/>
  <c r="G5" i="1"/>
  <c r="D5" i="1"/>
  <c r="C5" i="1"/>
  <c r="H4" i="1"/>
  <c r="G4" i="1"/>
  <c r="D3" i="1"/>
  <c r="C3" i="1"/>
  <c r="G39" i="2" l="1"/>
  <c r="D22" i="1"/>
  <c r="C6" i="1"/>
  <c r="C18" i="1"/>
  <c r="E16" i="3"/>
  <c r="D10" i="1"/>
  <c r="H18" i="2"/>
  <c r="H11" i="1"/>
  <c r="C22" i="1"/>
  <c r="D23" i="1"/>
  <c r="C11" i="1"/>
  <c r="H18" i="1"/>
  <c r="C23" i="1"/>
  <c r="C14" i="1"/>
  <c r="C10" i="1"/>
  <c r="F16" i="3"/>
  <c r="C15" i="1" l="1"/>
  <c r="G16" i="1"/>
  <c r="G15" i="1"/>
  <c r="C4" i="1"/>
  <c r="G9" i="1"/>
  <c r="D15" i="1"/>
  <c r="H15" i="1"/>
  <c r="D4" i="1"/>
  <c r="H16" i="1"/>
  <c r="H17" i="1" s="1"/>
  <c r="H9" i="1"/>
  <c r="D6" i="1"/>
  <c r="D18" i="1"/>
  <c r="G17" i="1" l="1"/>
</calcChain>
</file>

<file path=xl/sharedStrings.xml><?xml version="1.0" encoding="utf-8"?>
<sst xmlns="http://schemas.openxmlformats.org/spreadsheetml/2006/main" count="221" uniqueCount="135">
  <si>
    <t>FINANCIAL SUMMARY</t>
  </si>
  <si>
    <t>Profitability Ratios:</t>
  </si>
  <si>
    <t>Key Metrics</t>
  </si>
  <si>
    <t>YoY Change</t>
  </si>
  <si>
    <t>Gross Profit Margin</t>
  </si>
  <si>
    <t>Stock Price</t>
  </si>
  <si>
    <t>Operating Margin</t>
  </si>
  <si>
    <t>Market Cap</t>
  </si>
  <si>
    <t>Net Profit Margin</t>
  </si>
  <si>
    <t>Total Revenue</t>
  </si>
  <si>
    <t>Return on Assets (ROA)</t>
  </si>
  <si>
    <t>COGS</t>
  </si>
  <si>
    <t>Return on Equity (ROE)</t>
  </si>
  <si>
    <t>Total Debt (D)</t>
  </si>
  <si>
    <t>Gross Profit</t>
  </si>
  <si>
    <t>Liquidity Ratios:</t>
  </si>
  <si>
    <t>Operating Income</t>
  </si>
  <si>
    <t>Current Ratio</t>
  </si>
  <si>
    <t>Net Income</t>
  </si>
  <si>
    <t>Quick Ratio</t>
  </si>
  <si>
    <t>Operating Cash Flow</t>
  </si>
  <si>
    <t>Capital Expenditures</t>
  </si>
  <si>
    <t>Leverage (Solvency) Ratios:</t>
  </si>
  <si>
    <t>Debt-to-Equity Ratio</t>
  </si>
  <si>
    <t>Advanced Metrics</t>
  </si>
  <si>
    <t>Interest Coverage Ratio</t>
  </si>
  <si>
    <t>DOL</t>
  </si>
  <si>
    <t>DFL</t>
  </si>
  <si>
    <t>Efficiency Ratios:</t>
  </si>
  <si>
    <t>DTL</t>
  </si>
  <si>
    <t>Asset Turnover Ratio</t>
  </si>
  <si>
    <t>WACC</t>
  </si>
  <si>
    <t>Inventory Turnover Ratio</t>
  </si>
  <si>
    <t>WACC Parameters</t>
  </si>
  <si>
    <t>Cash Flow Ratios:</t>
  </si>
  <si>
    <t xml:space="preserve">Beta </t>
  </si>
  <si>
    <t>Operating Cash Flow / Liabilities</t>
  </si>
  <si>
    <t>Risk-Free Rate</t>
  </si>
  <si>
    <t>Free Cash Flow (FCF)</t>
  </si>
  <si>
    <t>Market Return</t>
  </si>
  <si>
    <t>Cost of Equity</t>
  </si>
  <si>
    <t>Cost of Debt</t>
  </si>
  <si>
    <t>Tax Rate</t>
  </si>
  <si>
    <t>Balance Sheet</t>
  </si>
  <si>
    <t>September 28, 2024</t>
  </si>
  <si>
    <t>September 30, 2023</t>
  </si>
  <si>
    <t>Current assets:</t>
  </si>
  <si>
    <t>Cash and cash equivalents</t>
  </si>
  <si>
    <t>$</t>
  </si>
  <si>
    <t>Marketable securities</t>
  </si>
  <si>
    <t>Accounts receivable, net</t>
  </si>
  <si>
    <t>Inventories</t>
  </si>
  <si>
    <t>Prepaid expenses and other current assets</t>
  </si>
  <si>
    <t>Total current assets</t>
  </si>
  <si>
    <t>Non-current assets:</t>
  </si>
  <si>
    <t>Property, plant and equipment, net</t>
  </si>
  <si>
    <t xml:space="preserve">Operating lease assets </t>
  </si>
  <si>
    <t xml:space="preserve">Goodwill </t>
  </si>
  <si>
    <t>Intangible assets net</t>
  </si>
  <si>
    <t>Deferred income tax assets</t>
  </si>
  <si>
    <t>Other assets</t>
  </si>
  <si>
    <t>Total assets</t>
  </si>
  <si>
    <t>Current liabilities:</t>
  </si>
  <si>
    <t>Accounts payable</t>
  </si>
  <si>
    <t>Accrued and other current liabilities</t>
  </si>
  <si>
    <t>Short-term debt</t>
  </si>
  <si>
    <t>Total current liabilities</t>
  </si>
  <si>
    <t>Non-current liabilities:</t>
  </si>
  <si>
    <t>Long-term debt</t>
  </si>
  <si>
    <t>Long-term operating lease liabilities</t>
  </si>
  <si>
    <t>Other long-term liabilities</t>
  </si>
  <si>
    <t>Total liabilities</t>
  </si>
  <si>
    <t>Shareholders’ equity:</t>
  </si>
  <si>
    <t>Preferred stock</t>
  </si>
  <si>
    <t>Common stock</t>
  </si>
  <si>
    <t>Additional paid-in capital</t>
  </si>
  <si>
    <t>Accumulated other comprehensive loss</t>
  </si>
  <si>
    <t>Accumulated other comprehensive income</t>
  </si>
  <si>
    <t>Total shareholders’ equity</t>
  </si>
  <si>
    <t>Total liabilities and shareholders’ equity</t>
  </si>
  <si>
    <t>Income Statement</t>
  </si>
  <si>
    <t>Revenue</t>
  </si>
  <si>
    <t xml:space="preserve">       Cost of revenue</t>
  </si>
  <si>
    <t>Gross profit</t>
  </si>
  <si>
    <t>Operating expenses</t>
  </si>
  <si>
    <t xml:space="preserve">       Research and development</t>
  </si>
  <si>
    <t xml:space="preserve">       Sales, general and administrative</t>
  </si>
  <si>
    <t>Total operating expenses</t>
  </si>
  <si>
    <t>Operating income</t>
  </si>
  <si>
    <t xml:space="preserve">      Interest income</t>
  </si>
  <si>
    <t xml:space="preserve">      Interest expense</t>
  </si>
  <si>
    <t xml:space="preserve">      Other, net</t>
  </si>
  <si>
    <t>Other income (expense), net</t>
  </si>
  <si>
    <t>Income before income tax</t>
  </si>
  <si>
    <t>Income tax expense</t>
  </si>
  <si>
    <t>Net income</t>
  </si>
  <si>
    <t>Net income per share:</t>
  </si>
  <si>
    <t>Basic</t>
  </si>
  <si>
    <t>Diluted</t>
  </si>
  <si>
    <t>Weighted average shares used in per share computation:</t>
  </si>
  <si>
    <t>STATEMENTS OF CASH FLOWS</t>
  </si>
  <si>
    <t>Cash flows from operating activities:</t>
  </si>
  <si>
    <t>Adjustments to reconcile net income to net cash provided by operating activities:</t>
  </si>
  <si>
    <t>Stock-based compensation expense</t>
  </si>
  <si>
    <t>Depreciation and amortization</t>
  </si>
  <si>
    <t>(Gains) losses on investments in non-affiliated entities and publicly-held equity securities, net</t>
  </si>
  <si>
    <t>Deferred income taxes</t>
  </si>
  <si>
    <t>Other</t>
  </si>
  <si>
    <t>Changes in operating assets and liabilities, net of 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</si>
  <si>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</si>
  <si>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</si>
  <si>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</si>
  <si>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</si>
  <si>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</si>
  <si>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</si>
  <si>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—</t>
  </si>
  <si>
    <t>Proceeds from sales of investments in non-affiliated entities</t>
  </si>
  <si>
    <t>Purchases of marketable securities</t>
  </si>
  <si>
    <t>Purchases related to property and equipment and intangible assets</t>
  </si>
  <si>
    <t>Purchases of investments in non-affiliated entities</t>
  </si>
  <si>
    <t>Acquisitions, net of cash acquired</t>
  </si>
  <si>
    <t>Net cash used in investing activities</t>
  </si>
  <si>
    <t>Cash flows from financing activities:</t>
  </si>
  <si>
    <t>Proceeds related to employee stock plans</t>
  </si>
  <si>
    <t>Payments related to repurchases of common stock</t>
  </si>
  <si>
    <t>Payments related to tax on restricted stock units</t>
  </si>
  <si>
    <t>Repayment of debt</t>
  </si>
  <si>
    <t>Dividends paid</t>
  </si>
  <si>
    <t>Principal payments on property and equipment and intangible assets</t>
  </si>
  <si>
    <t>Net cash used in financing activities</t>
  </si>
  <si>
    <t>Change in cash, cash equivalents, and restricted cash</t>
  </si>
  <si>
    <t>Cash, cash equivalents, and restricted cash at beginning of period</t>
  </si>
  <si>
    <t>Cash, cash equivalents, and restricted cash at end of period</t>
  </si>
  <si>
    <t>Supplemental disclosure of cash flow information:</t>
  </si>
  <si>
    <t>Cash paid for income taxes,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</si>
</sst>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"/>
    <numFmt numFmtId="165" formatCode="#,##0.00;\(#,##0.00\)"/>
    <numFmt numFmtId="166" formatCode="#,##0;\(#,##0\)"/>
    <numFmt numFmtId="167" formatCode="mmmm\ d\,\ yyyy"/>
    <numFmt numFmtId="168" formatCode="mmm\ d\,\ yyyy"/>
    <numFmt numFmtId="169" formatCode="&quot;$&quot;#,##0.00"/>
  </numFmts>
  <fonts count="11">
    <font>
      <sz val="10"/>
      <color rgb="FF000000"/>
      <name val="Arial"/>
      <scheme val="minor"/>
    </font>
    <font>
      <sz val="11"/>
      <color theme="1"/>
      <name val="Calibri"/>
    </font>
    <font>
      <sz val="36"/>
      <color rgb="FFFFFFFF"/>
      <name val="Calibri"/>
    </font>
    <font>
      <b/>
      <sz val="16"/>
      <color theme="1"/>
      <name val="Calibri"/>
    </font>
    <font>
      <sz val="16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3"/>
      <color theme="1"/>
      <name val="Calibri"/>
    </font>
    <font>
      <b/>
      <sz val="11"/>
      <color theme="1"/>
      <name val="Calibri"/>
    </font>
    <font>
      <b/>
      <sz val="13"/>
      <color rgb="FF222222"/>
      <name val="Google Sans"/>
    </font>
    <font>
      <b/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0" fontId="3" fillId="3" borderId="1" xfId="0" applyFont="1" applyFill="1" applyBorder="1" applyAlignment="1"/>
    <xf numFmtId="0" fontId="3" fillId="4" borderId="3" xfId="0" applyFont="1" applyFill="1" applyBorder="1" applyAlignment="1">
      <alignment horizontal="center"/>
    </xf>
    <xf numFmtId="0" fontId="4" fillId="5" borderId="4" xfId="0" applyFont="1" applyFill="1" applyBorder="1" applyAlignment="1"/>
    <xf numFmtId="10" fontId="4" fillId="5" borderId="0" xfId="0" applyNumberFormat="1" applyFont="1" applyFill="1" applyAlignment="1">
      <alignment horizontal="right"/>
    </xf>
    <xf numFmtId="10" fontId="4" fillId="5" borderId="5" xfId="0" applyNumberFormat="1" applyFont="1" applyFill="1" applyBorder="1" applyAlignment="1">
      <alignment horizontal="right"/>
    </xf>
    <xf numFmtId="0" fontId="4" fillId="5" borderId="3" xfId="0" applyFont="1" applyFill="1" applyBorder="1" applyAlignment="1"/>
    <xf numFmtId="164" fontId="4" fillId="5" borderId="3" xfId="0" applyNumberFormat="1" applyFont="1" applyFill="1" applyBorder="1" applyAlignment="1">
      <alignment horizontal="right"/>
    </xf>
    <xf numFmtId="164" fontId="4" fillId="5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0" fontId="4" fillId="3" borderId="4" xfId="0" applyFont="1" applyFill="1" applyBorder="1" applyAlignment="1"/>
    <xf numFmtId="10" fontId="4" fillId="3" borderId="0" xfId="0" applyNumberFormat="1" applyFont="1" applyFill="1" applyAlignment="1">
      <alignment horizontal="right"/>
    </xf>
    <xf numFmtId="10" fontId="4" fillId="3" borderId="5" xfId="0" applyNumberFormat="1" applyFont="1" applyFill="1" applyBorder="1" applyAlignment="1">
      <alignment horizontal="right"/>
    </xf>
    <xf numFmtId="0" fontId="4" fillId="5" borderId="3" xfId="0" applyFont="1" applyFill="1" applyBorder="1" applyAlignment="1"/>
    <xf numFmtId="164" fontId="4" fillId="5" borderId="3" xfId="0" applyNumberFormat="1" applyFont="1" applyFill="1" applyBorder="1" applyAlignment="1">
      <alignment horizontal="right"/>
    </xf>
    <xf numFmtId="0" fontId="4" fillId="5" borderId="4" xfId="0" applyFont="1" applyFill="1" applyBorder="1" applyAlignment="1"/>
    <xf numFmtId="0" fontId="4" fillId="5" borderId="3" xfId="0" applyFont="1" applyFill="1" applyBorder="1" applyAlignment="1"/>
    <xf numFmtId="0" fontId="1" fillId="0" borderId="0" xfId="0" applyFont="1" applyAlignment="1"/>
    <xf numFmtId="0" fontId="5" fillId="0" borderId="0" xfId="0" applyFont="1" applyAlignment="1">
      <alignment horizontal="center"/>
    </xf>
    <xf numFmtId="0" fontId="4" fillId="3" borderId="0" xfId="0" applyFont="1" applyFill="1" applyAlignment="1"/>
    <xf numFmtId="0" fontId="4" fillId="3" borderId="5" xfId="0" applyFont="1" applyFill="1" applyBorder="1" applyAlignment="1"/>
    <xf numFmtId="0" fontId="3" fillId="5" borderId="4" xfId="0" applyFont="1" applyFill="1" applyBorder="1" applyAlignment="1"/>
    <xf numFmtId="0" fontId="4" fillId="5" borderId="0" xfId="0" applyFont="1" applyFill="1" applyAlignment="1"/>
    <xf numFmtId="0" fontId="4" fillId="5" borderId="5" xfId="0" applyFont="1" applyFill="1" applyBorder="1" applyAlignment="1"/>
    <xf numFmtId="165" fontId="4" fillId="3" borderId="0" xfId="0" applyNumberFormat="1" applyFont="1" applyFill="1" applyAlignment="1">
      <alignment horizontal="right"/>
    </xf>
    <xf numFmtId="165" fontId="4" fillId="3" borderId="5" xfId="0" applyNumberFormat="1" applyFont="1" applyFill="1" applyBorder="1" applyAlignment="1">
      <alignment horizontal="right"/>
    </xf>
    <xf numFmtId="165" fontId="4" fillId="5" borderId="0" xfId="0" applyNumberFormat="1" applyFont="1" applyFill="1" applyAlignment="1">
      <alignment horizontal="right"/>
    </xf>
    <xf numFmtId="165" fontId="4" fillId="5" borderId="5" xfId="0" applyNumberFormat="1" applyFont="1" applyFill="1" applyBorder="1" applyAlignment="1">
      <alignment horizontal="right"/>
    </xf>
    <xf numFmtId="164" fontId="4" fillId="5" borderId="3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10" fontId="6" fillId="0" borderId="0" xfId="0" applyNumberFormat="1" applyFont="1"/>
    <xf numFmtId="165" fontId="4" fillId="5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0" fontId="4" fillId="5" borderId="6" xfId="0" applyFont="1" applyFill="1" applyBorder="1" applyAlignment="1"/>
    <xf numFmtId="166" fontId="4" fillId="5" borderId="7" xfId="0" applyNumberFormat="1" applyFont="1" applyFill="1" applyBorder="1" applyAlignment="1">
      <alignment horizontal="right"/>
    </xf>
    <xf numFmtId="166" fontId="4" fillId="5" borderId="8" xfId="0" applyNumberFormat="1" applyFont="1" applyFill="1" applyBorder="1" applyAlignment="1">
      <alignment horizontal="right"/>
    </xf>
    <xf numFmtId="0" fontId="1" fillId="5" borderId="0" xfId="0" applyFont="1" applyFill="1" applyAlignment="1"/>
    <xf numFmtId="0" fontId="7" fillId="0" borderId="7" xfId="0" applyFont="1" applyBorder="1" applyAlignment="1">
      <alignment horizontal="center" vertical="top"/>
    </xf>
    <xf numFmtId="0" fontId="1" fillId="0" borderId="7" xfId="0" applyFont="1" applyBorder="1" applyAlignment="1"/>
    <xf numFmtId="0" fontId="1" fillId="0" borderId="7" xfId="0" applyFont="1" applyBorder="1" applyAlignment="1">
      <alignment vertical="top"/>
    </xf>
    <xf numFmtId="0" fontId="8" fillId="0" borderId="7" xfId="0" applyFont="1" applyBorder="1" applyAlignment="1">
      <alignment horizontal="center" vertical="top"/>
    </xf>
    <xf numFmtId="167" fontId="8" fillId="0" borderId="7" xfId="0" applyNumberFormat="1" applyFont="1" applyBorder="1" applyAlignment="1">
      <alignment horizontal="center" vertical="top"/>
    </xf>
    <xf numFmtId="0" fontId="8" fillId="0" borderId="0" xfId="0" applyFont="1" applyAlignment="1">
      <alignment vertical="top"/>
    </xf>
    <xf numFmtId="166" fontId="1" fillId="0" borderId="0" xfId="0" applyNumberFormat="1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6" fillId="0" borderId="0" xfId="0" applyNumberFormat="1" applyFont="1" applyAlignment="1"/>
    <xf numFmtId="0" fontId="1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/>
    <xf numFmtId="166" fontId="6" fillId="0" borderId="9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0" fontId="8" fillId="0" borderId="0" xfId="0" applyFont="1" applyAlignment="1"/>
    <xf numFmtId="0" fontId="6" fillId="0" borderId="0" xfId="0" applyFont="1" applyAlignment="1">
      <alignment horizontal="center"/>
    </xf>
    <xf numFmtId="166" fontId="1" fillId="0" borderId="0" xfId="0" applyNumberFormat="1" applyFont="1" applyAlignment="1">
      <alignment horizontal="right"/>
    </xf>
    <xf numFmtId="0" fontId="6" fillId="0" borderId="0" xfId="0" applyFont="1" applyAlignment="1"/>
    <xf numFmtId="49" fontId="1" fillId="0" borderId="7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0" fontId="6" fillId="0" borderId="9" xfId="0" applyFont="1" applyBorder="1" applyAlignment="1"/>
    <xf numFmtId="0" fontId="1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right"/>
    </xf>
    <xf numFmtId="0" fontId="9" fillId="5" borderId="7" xfId="0" applyFont="1" applyFill="1" applyBorder="1" applyAlignment="1"/>
    <xf numFmtId="168" fontId="6" fillId="0" borderId="7" xfId="0" applyNumberFormat="1" applyFont="1" applyBorder="1" applyAlignment="1"/>
    <xf numFmtId="168" fontId="5" fillId="0" borderId="7" xfId="0" applyNumberFormat="1" applyFont="1" applyBorder="1" applyAlignment="1"/>
    <xf numFmtId="164" fontId="6" fillId="0" borderId="0" xfId="0" applyNumberFormat="1" applyFont="1" applyAlignment="1"/>
    <xf numFmtId="0" fontId="6" fillId="0" borderId="9" xfId="0" applyFont="1" applyBorder="1" applyAlignment="1">
      <alignment horizontal="left"/>
    </xf>
    <xf numFmtId="3" fontId="6" fillId="0" borderId="9" xfId="0" applyNumberFormat="1" applyFont="1" applyBorder="1" applyAlignment="1"/>
    <xf numFmtId="3" fontId="6" fillId="0" borderId="0" xfId="0" applyNumberFormat="1" applyFont="1" applyAlignment="1"/>
    <xf numFmtId="166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9" xfId="0" applyFont="1" applyBorder="1"/>
    <xf numFmtId="0" fontId="6" fillId="0" borderId="7" xfId="0" applyFont="1" applyBorder="1" applyAlignment="1"/>
    <xf numFmtId="164" fontId="6" fillId="0" borderId="7" xfId="0" applyNumberFormat="1" applyFont="1" applyBorder="1" applyAlignment="1"/>
    <xf numFmtId="166" fontId="5" fillId="0" borderId="7" xfId="0" applyNumberFormat="1" applyFont="1" applyBorder="1" applyAlignment="1"/>
    <xf numFmtId="0" fontId="6" fillId="0" borderId="12" xfId="0" applyFont="1" applyBorder="1" applyAlignment="1">
      <alignment horizontal="center"/>
    </xf>
    <xf numFmtId="169" fontId="6" fillId="0" borderId="12" xfId="0" applyNumberFormat="1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 applyAlignment="1"/>
    <xf numFmtId="0" fontId="7" fillId="0" borderId="7" xfId="0" applyFont="1" applyBorder="1" applyAlignment="1"/>
    <xf numFmtId="168" fontId="10" fillId="0" borderId="7" xfId="0" applyNumberFormat="1" applyFont="1" applyBorder="1" applyAlignment="1"/>
    <xf numFmtId="0" fontId="5" fillId="0" borderId="0" xfId="0" applyFont="1" applyAlignment="1"/>
    <xf numFmtId="166" fontId="6" fillId="0" borderId="7" xfId="0" applyNumberFormat="1" applyFont="1" applyBorder="1" applyAlignment="1"/>
    <xf numFmtId="0" fontId="3" fillId="3" borderId="13" xfId="0" applyFont="1" applyFill="1" applyBorder="1" applyAlignment="1"/>
    <xf numFmtId="0" fontId="3" fillId="3" borderId="2" xfId="0" applyFont="1" applyFill="1" applyBorder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Model-style" pivot="0" count="3">
      <tableStyleElement type="headerRow" dxfId="5"/>
      <tableStyleElement type="firstRowStripe" dxfId="4"/>
      <tableStyleElement type="secondRowStripe" dxfId="3"/>
    </tableStyle>
    <tableStyle name="Model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B2:D23" headerRowCount="0">
  <tableColumns count="3">
    <tableColumn id="1" name="Column1"/>
    <tableColumn id="2" name="Column2"/>
    <tableColumn id="3" name="Column3"/>
  </tableColumns>
  <tableStyleInfo name="Mode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F3:I12" headerRowCount="0">
  <tableColumns count="4">
    <tableColumn id="1" name="Column1"/>
    <tableColumn id="2" name="Column2"/>
    <tableColumn id="3" name="Column3"/>
    <tableColumn id="4" name="Column4">
      <calculatedColumnFormula>(G3-H3)/H3</calculatedColumnFormula>
    </tableColumn>
  </tableColumns>
  <tableStyleInfo name="Model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tabSelected="1" workbookViewId="0">
      <selection activeCell="G5" sqref="G5"/>
    </sheetView>
  </sheetViews>
  <sheetFormatPr defaultColWidth="12.5703125" defaultRowHeight="12.75"/>
  <cols>
    <col min="1" max="1" width="8.85546875" customWidth="1"/>
    <col min="2" max="2" width="53.42578125" customWidth="1"/>
    <col min="5" max="5" width="3.140625" customWidth="1"/>
    <col min="6" max="6" width="27" bestFit="1" customWidth="1"/>
    <col min="7" max="8" width="15.42578125" bestFit="1" customWidth="1"/>
    <col min="9" max="9" width="16" bestFit="1" customWidth="1"/>
    <col min="12" max="12" width="24.140625" customWidth="1"/>
    <col min="13" max="13" width="9.7109375" customWidth="1"/>
  </cols>
  <sheetData>
    <row r="1" spans="1:26" ht="70.5" customHeight="1" thickBo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thickTop="1" thickBot="1">
      <c r="A2" s="3"/>
      <c r="B2" s="4" t="s">
        <v>1</v>
      </c>
      <c r="C2" s="91">
        <v>2024</v>
      </c>
      <c r="D2" s="92">
        <v>2023</v>
      </c>
      <c r="F2" s="5" t="s">
        <v>2</v>
      </c>
      <c r="G2" s="5">
        <v>2024</v>
      </c>
      <c r="H2" s="5">
        <v>2023</v>
      </c>
      <c r="I2" s="5" t="s">
        <v>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2.5" thickTop="1" thickBot="1">
      <c r="A3" s="3"/>
      <c r="B3" s="6" t="s">
        <v>4</v>
      </c>
      <c r="C3" s="7">
        <f>('Income Statement'!E9-'Income Statement'!E10)/'Income Statement'!E9</f>
        <v>0.75834192571792114</v>
      </c>
      <c r="D3" s="8">
        <f>('Income Statement'!F9-'Income Statement'!F10)/'Income Statement'!F9</f>
        <v>0.70867358767613797</v>
      </c>
      <c r="F3" s="9" t="s">
        <v>5</v>
      </c>
      <c r="G3" s="10">
        <v>123</v>
      </c>
      <c r="H3" s="11">
        <v>42</v>
      </c>
      <c r="I3" s="12">
        <f>(G3-H3)/H3</f>
        <v>1.9285714285714286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.5">
      <c r="A4" s="3"/>
      <c r="B4" s="13" t="s">
        <v>6</v>
      </c>
      <c r="C4" s="14">
        <f>'Income Statement'!E16/'Income Statement'!E9</f>
        <v>0.62982910295504901</v>
      </c>
      <c r="D4" s="15">
        <f>'Income Statement'!F16/'Income Statement'!F9</f>
        <v>0.49867333007032638</v>
      </c>
      <c r="F4" s="16" t="s">
        <v>7</v>
      </c>
      <c r="G4" s="17">
        <f>G3*'Income Statement'!E28</f>
        <v>3022971</v>
      </c>
      <c r="H4" s="17">
        <f>H3*'Income Statement'!F28</f>
        <v>1037400</v>
      </c>
      <c r="I4" s="35">
        <f t="shared" ref="I4:I12" si="0">(G4-H4)/H4</f>
        <v>1.9139878542510123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2.5">
      <c r="A5" s="3"/>
      <c r="B5" s="18" t="s">
        <v>8</v>
      </c>
      <c r="C5" s="7">
        <f>'Income Statement'!E23/'Income Statement'!E9</f>
        <v>0.55710462233727487</v>
      </c>
      <c r="D5" s="8">
        <f>'Income Statement'!F23/'Income Statement'!F9</f>
        <v>0.45016615574847368</v>
      </c>
      <c r="F5" s="19" t="s">
        <v>9</v>
      </c>
      <c r="G5" s="17">
        <f>'Income Statement'!E9</f>
        <v>91166</v>
      </c>
      <c r="H5" s="17">
        <f>'Income Statement'!F9</f>
        <v>38819</v>
      </c>
      <c r="I5" s="35">
        <f t="shared" si="0"/>
        <v>1.3484891419150415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2.5">
      <c r="A6" s="3"/>
      <c r="B6" s="13" t="s">
        <v>10</v>
      </c>
      <c r="C6" s="14">
        <f>'Income Statement'!E23/'Balance Sheet'!G18</f>
        <v>0.52898045056398613</v>
      </c>
      <c r="D6" s="15">
        <f>'Income Statement'!F23/'Balance Sheet'!H18</f>
        <v>0.26586842745861733</v>
      </c>
      <c r="F6" s="19" t="s">
        <v>11</v>
      </c>
      <c r="G6" s="17">
        <f>'Income Statement'!E10</f>
        <v>22031</v>
      </c>
      <c r="H6" s="17">
        <f>'Income Statement'!F10</f>
        <v>11309</v>
      </c>
      <c r="I6" s="35">
        <f t="shared" si="0"/>
        <v>0.94809443805818372</v>
      </c>
      <c r="J6" s="3"/>
      <c r="K6" s="3"/>
      <c r="L6" s="3"/>
      <c r="M6" s="20"/>
      <c r="N6" s="20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2.5">
      <c r="A7" s="3"/>
      <c r="B7" s="18" t="s">
        <v>12</v>
      </c>
      <c r="C7" s="7">
        <f>'Income Statement'!E23/'Balance Sheet'!G38</f>
        <v>0.77070972245405844</v>
      </c>
      <c r="D7" s="8">
        <f>'Income Statement'!F23/'Balance Sheet'!H38</f>
        <v>0.40660337847270694</v>
      </c>
      <c r="F7" s="19" t="s">
        <v>13</v>
      </c>
      <c r="G7" s="17">
        <f>'Balance Sheet'!G23+'Balance Sheet'!G27</f>
        <v>8462</v>
      </c>
      <c r="H7" s="17">
        <f>'Balance Sheet'!H23+'Balance Sheet'!H27</f>
        <v>9709</v>
      </c>
      <c r="I7" s="35">
        <f t="shared" si="0"/>
        <v>-0.12843753218663095</v>
      </c>
      <c r="J7" s="3"/>
      <c r="K7" s="3"/>
      <c r="L7" s="21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2.5">
      <c r="A8" s="3"/>
      <c r="B8" s="13"/>
      <c r="C8" s="22"/>
      <c r="D8" s="23"/>
      <c r="F8" s="16" t="s">
        <v>14</v>
      </c>
      <c r="G8" s="17">
        <f>'Income Statement'!E11</f>
        <v>69135</v>
      </c>
      <c r="H8" s="17">
        <f>'Income Statement'!F11</f>
        <v>27510</v>
      </c>
      <c r="I8" s="35">
        <f t="shared" si="0"/>
        <v>1.5130861504907307</v>
      </c>
      <c r="J8" s="3"/>
      <c r="K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2.5">
      <c r="A9" s="3"/>
      <c r="B9" s="24" t="s">
        <v>15</v>
      </c>
      <c r="C9" s="25"/>
      <c r="D9" s="26"/>
      <c r="F9" s="19" t="s">
        <v>16</v>
      </c>
      <c r="G9" s="17">
        <f>'Income Statement'!E16</f>
        <v>57419</v>
      </c>
      <c r="H9" s="17">
        <f>'Income Statement'!F16</f>
        <v>19358</v>
      </c>
      <c r="I9" s="35">
        <f t="shared" si="0"/>
        <v>1.9661638599028826</v>
      </c>
      <c r="J9" s="3"/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2.5">
      <c r="A10" s="3"/>
      <c r="B10" s="13" t="s">
        <v>17</v>
      </c>
      <c r="C10" s="27">
        <f>'Balance Sheet'!G9/'Balance Sheet'!G24</f>
        <v>4.1046179986649678</v>
      </c>
      <c r="D10" s="28">
        <f>'Balance Sheet'!H9/'Balance Sheet'!H24</f>
        <v>4.1712915059730973</v>
      </c>
      <c r="E10" s="3"/>
      <c r="F10" s="19" t="s">
        <v>18</v>
      </c>
      <c r="G10" s="17">
        <f>'Income Statement'!E23</f>
        <v>50789</v>
      </c>
      <c r="H10" s="17">
        <f>'Income Statement'!F23</f>
        <v>17475</v>
      </c>
      <c r="I10" s="35">
        <f t="shared" si="0"/>
        <v>1.9063805436337624</v>
      </c>
      <c r="J10" s="3"/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2.5">
      <c r="A11" s="3"/>
      <c r="B11" s="18" t="s">
        <v>19</v>
      </c>
      <c r="C11" s="29">
        <f>('Balance Sheet'!G9-'Balance Sheet'!G7)/'Balance Sheet'!G24</f>
        <v>3.6401480672370896</v>
      </c>
      <c r="D11" s="30">
        <f>('Balance Sheet'!H9-'Balance Sheet'!H7)/'Balance Sheet'!H24</f>
        <v>3.6744426676700215</v>
      </c>
      <c r="E11" s="3"/>
      <c r="F11" s="19" t="s">
        <v>20</v>
      </c>
      <c r="G11" s="17">
        <f>'Cash Flow Statement'!E19</f>
        <v>47460</v>
      </c>
      <c r="H11" s="17">
        <f>'Cash Flow Statement'!F19</f>
        <v>16591</v>
      </c>
      <c r="I11" s="35">
        <f t="shared" si="0"/>
        <v>1.8605870652763548</v>
      </c>
      <c r="J11" s="3"/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2.5">
      <c r="A12" s="3"/>
      <c r="B12" s="13"/>
      <c r="C12" s="22"/>
      <c r="D12" s="23"/>
      <c r="E12" s="3"/>
      <c r="F12" s="19" t="s">
        <v>21</v>
      </c>
      <c r="G12" s="31">
        <f>-'Cash Flow Statement'!E25</f>
        <v>2159</v>
      </c>
      <c r="H12" s="31">
        <f>-'Cash Flow Statement'!F25</f>
        <v>815</v>
      </c>
      <c r="I12" s="35">
        <f t="shared" si="0"/>
        <v>1.649079754601227</v>
      </c>
      <c r="J12" s="3"/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2.5">
      <c r="A13" s="3"/>
      <c r="B13" s="24" t="s">
        <v>22</v>
      </c>
      <c r="C13" s="25"/>
      <c r="D13" s="26"/>
      <c r="E13" s="3"/>
      <c r="J13" s="3"/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2.5">
      <c r="A14" s="3"/>
      <c r="B14" s="13" t="s">
        <v>23</v>
      </c>
      <c r="C14" s="27">
        <f>('Balance Sheet'!G23 + 'Balance Sheet'!G27)/'Balance Sheet'!G38</f>
        <v>0.12840862532056632</v>
      </c>
      <c r="D14" s="28">
        <f>('Balance Sheet'!H23 + 'Balance Sheet'!H27)/'Balance Sheet'!H38</f>
        <v>0.22590627763041557</v>
      </c>
      <c r="E14" s="3"/>
      <c r="F14" s="32" t="s">
        <v>24</v>
      </c>
      <c r="G14" s="5">
        <v>2024</v>
      </c>
      <c r="H14" s="5">
        <v>2023</v>
      </c>
      <c r="I14" s="33"/>
      <c r="J14" s="3"/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2.5">
      <c r="A15" s="3"/>
      <c r="B15" s="18" t="s">
        <v>25</v>
      </c>
      <c r="C15" s="29">
        <f>'Income Statement'!E16/-'Income Statement'!E18</f>
        <v>308.7043010752688</v>
      </c>
      <c r="D15" s="30">
        <f>'Income Statement'!F16/-'Income Statement'!F18</f>
        <v>99.783505154639172</v>
      </c>
      <c r="E15" s="3"/>
      <c r="F15" s="19" t="s">
        <v>26</v>
      </c>
      <c r="G15" s="34">
        <f>('Income Statement'!E9-'Income Statement'!E10)/'Income Statement'!E16</f>
        <v>1.2040439575750188</v>
      </c>
      <c r="H15" s="34">
        <f>('Income Statement'!F9-'Income Statement'!F10)/'Income Statement'!F16</f>
        <v>1.4211178840789338</v>
      </c>
      <c r="I15" s="33"/>
      <c r="J15" s="3"/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5">
      <c r="A16" s="3"/>
      <c r="B16" s="13"/>
      <c r="C16" s="22"/>
      <c r="D16" s="23"/>
      <c r="E16" s="3"/>
      <c r="F16" s="19" t="s">
        <v>27</v>
      </c>
      <c r="G16" s="34">
        <f>'Income Statement'!E9/('Income Statement'!E16+'Income Statement'!E18)</f>
        <v>1.5928922125347265</v>
      </c>
      <c r="H16" s="34">
        <f>'Income Statement'!F9/('Income Statement'!F16+'Income Statement'!F18)</f>
        <v>2.0256209559590901</v>
      </c>
      <c r="I16" s="33"/>
      <c r="J16" s="3"/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2.5">
      <c r="A17" s="3"/>
      <c r="B17" s="24" t="s">
        <v>28</v>
      </c>
      <c r="C17" s="25"/>
      <c r="D17" s="26"/>
      <c r="E17" s="3"/>
      <c r="F17" s="16" t="s">
        <v>29</v>
      </c>
      <c r="G17" s="34">
        <f t="shared" ref="G17:H17" si="1">G16*G15</f>
        <v>1.9179122435707401</v>
      </c>
      <c r="H17" s="34">
        <f t="shared" si="1"/>
        <v>2.8786461668785295</v>
      </c>
      <c r="J17" s="3"/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2.5">
      <c r="A18" s="3"/>
      <c r="B18" s="13" t="s">
        <v>30</v>
      </c>
      <c r="C18" s="27">
        <f>'Income Statement'!E9/'Balance Sheet'!G18</f>
        <v>0.94951725287200694</v>
      </c>
      <c r="D18" s="28">
        <f>'Income Statement'!F9/'Balance Sheet'!H18</f>
        <v>0.59060065725413824</v>
      </c>
      <c r="E18" s="3"/>
      <c r="F18" s="16" t="s">
        <v>31</v>
      </c>
      <c r="G18" s="35">
        <f t="shared" ref="G18:H18" si="2">(G4/(G7+G4))*G24+G7/(G7+G4)*G25*(1-G26)</f>
        <v>0.13926330751651783</v>
      </c>
      <c r="H18" s="35">
        <f t="shared" si="2"/>
        <v>0.13846984800113155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2.5">
      <c r="A19" s="3"/>
      <c r="B19" s="18" t="s">
        <v>32</v>
      </c>
      <c r="C19" s="29">
        <f>'Income Statement'!E10/(('Balance Sheet'!G7+'Balance Sheet'!H7)/2)</f>
        <v>3.4061533704390845</v>
      </c>
      <c r="D19" s="30">
        <f>'Income Statement'!F10/(('Balance Sheet'!H7+'Balance Sheet'!I7)/2)</f>
        <v>2.1662675988889952</v>
      </c>
      <c r="E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2.5">
      <c r="A20" s="3"/>
      <c r="B20" s="13"/>
      <c r="C20" s="22"/>
      <c r="D20" s="23"/>
      <c r="E20" s="3"/>
      <c r="F20" s="32" t="s">
        <v>33</v>
      </c>
      <c r="G20" s="5">
        <v>2024</v>
      </c>
      <c r="H20" s="5">
        <v>2023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2.5">
      <c r="A21" s="3"/>
      <c r="B21" s="24" t="s">
        <v>34</v>
      </c>
      <c r="C21" s="25"/>
      <c r="D21" s="26"/>
      <c r="E21" s="3"/>
      <c r="F21" s="16" t="s">
        <v>35</v>
      </c>
      <c r="G21" s="34">
        <v>1.66</v>
      </c>
      <c r="H21" s="34">
        <v>1.66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5">
      <c r="A22" s="3"/>
      <c r="B22" s="13" t="s">
        <v>36</v>
      </c>
      <c r="C22" s="27">
        <f>'Cash Flow Statement'!E19/'Balance Sheet'!G30</f>
        <v>1.5760111576011158</v>
      </c>
      <c r="D22" s="28">
        <f>'Cash Flow Statement'!F19/'Balance Sheet'!H30</f>
        <v>0.72927472527472526</v>
      </c>
      <c r="E22" s="3"/>
      <c r="F22" s="16" t="s">
        <v>37</v>
      </c>
      <c r="G22" s="35">
        <v>0.04</v>
      </c>
      <c r="H22" s="35">
        <v>0.04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>
      <c r="A23" s="3"/>
      <c r="B23" s="36" t="s">
        <v>38</v>
      </c>
      <c r="C23" s="37">
        <f>'Cash Flow Statement'!E19+'Cash Flow Statement'!E25</f>
        <v>45301</v>
      </c>
      <c r="D23" s="38">
        <f>'Cash Flow Statement'!F19+'Cash Flow Statement'!F25</f>
        <v>15776</v>
      </c>
      <c r="E23" s="39"/>
      <c r="F23" s="16" t="s">
        <v>39</v>
      </c>
      <c r="G23" s="35">
        <v>0.1</v>
      </c>
      <c r="H23" s="35">
        <v>0.1</v>
      </c>
      <c r="I23" s="3"/>
      <c r="J23" s="3"/>
      <c r="K23" s="3"/>
      <c r="L23" s="2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2.5">
      <c r="A24" s="3"/>
      <c r="B24" s="3"/>
      <c r="C24" s="3"/>
      <c r="D24" s="3"/>
      <c r="E24" s="3"/>
      <c r="F24" s="16" t="s">
        <v>40</v>
      </c>
      <c r="G24" s="35">
        <f t="shared" ref="G24:H24" si="3">G22+G21*(G23-G22)</f>
        <v>0.1396</v>
      </c>
      <c r="H24" s="35">
        <f t="shared" si="3"/>
        <v>0.1396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2.5">
      <c r="A25" s="3"/>
      <c r="B25" s="3"/>
      <c r="C25" s="3"/>
      <c r="D25" s="3"/>
      <c r="E25" s="3"/>
      <c r="F25" s="16" t="s">
        <v>41</v>
      </c>
      <c r="G25" s="35">
        <f>-'Income Statement'!E18/G7</f>
        <v>2.1980619238950602E-2</v>
      </c>
      <c r="H25" s="35">
        <f>-'Income Statement'!F18/H7</f>
        <v>1.9981460500566484E-2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2.5">
      <c r="A26" s="3"/>
      <c r="B26" s="3"/>
      <c r="C26" s="3"/>
      <c r="D26" s="3"/>
      <c r="E26" s="3"/>
      <c r="F26" s="16" t="s">
        <v>42</v>
      </c>
      <c r="G26" s="35">
        <f>'Income Statement'!E22/'Income Statement'!E21</f>
        <v>0.13637368430002211</v>
      </c>
      <c r="H26" s="35">
        <f>'Income Statement'!F22/'Income Statement'!F21</f>
        <v>0.11348417207792208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>
      <c r="A33" s="3"/>
      <c r="B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>
      <c r="A34" s="3"/>
      <c r="B34" s="3"/>
      <c r="E34" s="3"/>
      <c r="F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>
      <c r="A35" s="3"/>
      <c r="B35" s="3"/>
      <c r="E35" s="3"/>
      <c r="F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>
      <c r="A36" s="3"/>
      <c r="B36" s="3"/>
      <c r="E36" s="3"/>
      <c r="F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>
      <c r="A37" s="3"/>
      <c r="B37" s="3"/>
      <c r="E37" s="3"/>
      <c r="F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>
      <c r="A38" s="3"/>
      <c r="B38" s="3"/>
      <c r="E38" s="3"/>
      <c r="F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>
      <c r="A39" s="3"/>
      <c r="B39" s="3"/>
      <c r="E39" s="3"/>
      <c r="F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>
      <c r="A40" s="3"/>
      <c r="B40" s="3"/>
      <c r="E40" s="3"/>
      <c r="F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>
      <c r="A41" s="3"/>
      <c r="B41" s="3"/>
      <c r="E41" s="3"/>
      <c r="F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>
      <c r="A42" s="3"/>
      <c r="B42" s="3"/>
      <c r="E42" s="3"/>
      <c r="F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>
      <c r="A43" s="3"/>
      <c r="B43" s="3"/>
      <c r="E43" s="3"/>
      <c r="F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>
      <c r="A44" s="3"/>
      <c r="B44" s="3"/>
      <c r="C44" s="3"/>
      <c r="D44" s="3"/>
      <c r="E44" s="3"/>
      <c r="F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I39"/>
  <sheetViews>
    <sheetView workbookViewId="0"/>
  </sheetViews>
  <sheetFormatPr defaultColWidth="12.5703125" defaultRowHeight="15.75" customHeight="1"/>
  <cols>
    <col min="3" max="3" width="34.140625" customWidth="1"/>
    <col min="4" max="4" width="1.85546875" customWidth="1"/>
    <col min="7" max="9" width="16.28515625" customWidth="1"/>
  </cols>
  <sheetData>
    <row r="2" spans="3:9" ht="15.75" customHeight="1">
      <c r="C2" s="40" t="s">
        <v>43</v>
      </c>
      <c r="D2" s="41"/>
      <c r="E2" s="42"/>
      <c r="F2" s="42"/>
      <c r="G2" s="43" t="s">
        <v>44</v>
      </c>
      <c r="H2" s="43" t="s">
        <v>45</v>
      </c>
      <c r="I2" s="44">
        <v>44828</v>
      </c>
    </row>
    <row r="3" spans="3:9" ht="15.75" customHeight="1">
      <c r="C3" s="45" t="s">
        <v>46</v>
      </c>
      <c r="D3" s="3"/>
      <c r="E3" s="3"/>
      <c r="F3" s="3"/>
      <c r="G3" s="3"/>
      <c r="H3" s="3"/>
      <c r="I3" s="46"/>
    </row>
    <row r="4" spans="3:9" ht="15.75" customHeight="1">
      <c r="C4" s="47" t="s">
        <v>47</v>
      </c>
      <c r="D4" s="48" t="s">
        <v>48</v>
      </c>
      <c r="E4" s="3"/>
      <c r="F4" s="3"/>
      <c r="G4" s="49">
        <v>9107</v>
      </c>
      <c r="H4" s="49">
        <v>7280</v>
      </c>
      <c r="I4" s="49">
        <v>3389</v>
      </c>
    </row>
    <row r="5" spans="3:9" ht="15.75" customHeight="1">
      <c r="C5" s="50" t="s">
        <v>49</v>
      </c>
      <c r="D5" s="48" t="s">
        <v>48</v>
      </c>
      <c r="E5" s="3"/>
      <c r="F5" s="3"/>
      <c r="G5" s="49">
        <v>29380</v>
      </c>
      <c r="H5" s="49">
        <v>18704</v>
      </c>
      <c r="I5" s="49">
        <v>9907</v>
      </c>
    </row>
    <row r="6" spans="3:9" ht="15.75" customHeight="1">
      <c r="C6" s="47" t="s">
        <v>50</v>
      </c>
      <c r="D6" s="48" t="s">
        <v>48</v>
      </c>
      <c r="E6" s="3"/>
      <c r="F6" s="3"/>
      <c r="G6" s="49">
        <v>17693</v>
      </c>
      <c r="H6" s="49">
        <v>9999</v>
      </c>
      <c r="I6" s="49">
        <v>3827</v>
      </c>
    </row>
    <row r="7" spans="3:9" ht="15.75" customHeight="1">
      <c r="C7" s="47" t="s">
        <v>51</v>
      </c>
      <c r="D7" s="48" t="s">
        <v>48</v>
      </c>
      <c r="E7" s="3"/>
      <c r="F7" s="3"/>
      <c r="G7" s="49">
        <v>7654</v>
      </c>
      <c r="H7" s="49">
        <v>5282</v>
      </c>
      <c r="I7" s="49">
        <v>5159</v>
      </c>
    </row>
    <row r="8" spans="3:9" ht="15.75" customHeight="1">
      <c r="C8" s="51" t="s">
        <v>52</v>
      </c>
      <c r="D8" s="52" t="s">
        <v>48</v>
      </c>
      <c r="E8" s="53"/>
      <c r="F8" s="53"/>
      <c r="G8" s="54">
        <v>3806</v>
      </c>
      <c r="H8" s="54">
        <v>3080</v>
      </c>
      <c r="I8" s="54">
        <v>791</v>
      </c>
    </row>
    <row r="9" spans="3:9" ht="15.75" customHeight="1">
      <c r="C9" s="3" t="s">
        <v>53</v>
      </c>
      <c r="D9" s="48" t="s">
        <v>48</v>
      </c>
      <c r="E9" s="3"/>
      <c r="F9" s="3"/>
      <c r="G9" s="55">
        <f t="shared" ref="G9:I9" si="0">SUM(G4:G8)</f>
        <v>67640</v>
      </c>
      <c r="H9" s="55">
        <f t="shared" si="0"/>
        <v>44345</v>
      </c>
      <c r="I9" s="56">
        <f t="shared" si="0"/>
        <v>23073</v>
      </c>
    </row>
    <row r="10" spans="3:9" ht="15.75" customHeight="1">
      <c r="C10" s="3"/>
      <c r="D10" s="57"/>
      <c r="E10" s="3"/>
      <c r="F10" s="3"/>
      <c r="G10" s="46"/>
      <c r="H10" s="46"/>
      <c r="I10" s="46"/>
    </row>
    <row r="11" spans="3:9" ht="15.75" customHeight="1">
      <c r="C11" s="58" t="s">
        <v>54</v>
      </c>
      <c r="D11" s="57"/>
      <c r="E11" s="3"/>
      <c r="F11" s="3"/>
      <c r="G11" s="46"/>
      <c r="H11" s="46"/>
      <c r="I11" s="46"/>
    </row>
    <row r="12" spans="3:9" ht="15.75" customHeight="1">
      <c r="C12" s="47" t="s">
        <v>55</v>
      </c>
      <c r="D12" s="48" t="s">
        <v>48</v>
      </c>
      <c r="E12" s="3"/>
      <c r="F12" s="3"/>
      <c r="G12" s="49">
        <v>5343</v>
      </c>
      <c r="H12" s="49">
        <v>3914</v>
      </c>
      <c r="I12" s="49">
        <v>3807</v>
      </c>
    </row>
    <row r="13" spans="3:9" ht="15.75" customHeight="1">
      <c r="C13" s="59" t="s">
        <v>56</v>
      </c>
      <c r="D13" s="48" t="s">
        <v>48</v>
      </c>
      <c r="E13" s="3"/>
      <c r="F13" s="3"/>
      <c r="G13" s="60">
        <v>1755</v>
      </c>
      <c r="H13" s="60">
        <v>1346</v>
      </c>
      <c r="I13" s="49">
        <v>1038</v>
      </c>
    </row>
    <row r="14" spans="3:9" ht="15.75" customHeight="1">
      <c r="C14" s="59" t="s">
        <v>57</v>
      </c>
      <c r="D14" s="48" t="s">
        <v>48</v>
      </c>
      <c r="G14" s="61">
        <v>4724</v>
      </c>
      <c r="H14" s="61">
        <v>4430</v>
      </c>
      <c r="I14" s="49">
        <v>4372</v>
      </c>
    </row>
    <row r="15" spans="3:9" ht="15.75" customHeight="1">
      <c r="C15" s="59" t="s">
        <v>58</v>
      </c>
      <c r="D15" s="48" t="s">
        <v>48</v>
      </c>
      <c r="F15" s="3"/>
      <c r="G15" s="49">
        <v>838</v>
      </c>
      <c r="H15" s="49">
        <v>1112</v>
      </c>
      <c r="I15" s="49">
        <v>1676</v>
      </c>
    </row>
    <row r="16" spans="3:9" ht="15.75" customHeight="1">
      <c r="C16" s="59" t="s">
        <v>59</v>
      </c>
      <c r="D16" s="48" t="s">
        <v>48</v>
      </c>
      <c r="E16" s="3"/>
      <c r="F16" s="3"/>
      <c r="G16" s="49">
        <v>10276</v>
      </c>
      <c r="H16" s="49">
        <v>6081</v>
      </c>
      <c r="I16" s="49">
        <v>3396</v>
      </c>
    </row>
    <row r="17" spans="3:9" ht="15.75" customHeight="1">
      <c r="C17" s="51" t="s">
        <v>60</v>
      </c>
      <c r="D17" s="52" t="s">
        <v>48</v>
      </c>
      <c r="E17" s="53"/>
      <c r="F17" s="53"/>
      <c r="G17" s="49">
        <v>5437</v>
      </c>
      <c r="H17" s="49">
        <v>4500</v>
      </c>
      <c r="I17" s="49">
        <v>3820</v>
      </c>
    </row>
    <row r="18" spans="3:9" ht="15.75" customHeight="1">
      <c r="C18" s="41" t="s">
        <v>61</v>
      </c>
      <c r="D18" s="62" t="s">
        <v>48</v>
      </c>
      <c r="E18" s="41"/>
      <c r="F18" s="41"/>
      <c r="G18" s="63">
        <f t="shared" ref="G18:I18" si="1">SUM(G12:G17) +G9</f>
        <v>96013</v>
      </c>
      <c r="H18" s="63">
        <f t="shared" si="1"/>
        <v>65728</v>
      </c>
      <c r="I18" s="63">
        <f t="shared" si="1"/>
        <v>41182</v>
      </c>
    </row>
    <row r="19" spans="3:9" ht="15.75" customHeight="1">
      <c r="C19" s="3"/>
      <c r="D19" s="57"/>
      <c r="E19" s="3"/>
      <c r="F19" s="3"/>
      <c r="G19" s="46"/>
      <c r="H19" s="46"/>
      <c r="I19" s="46"/>
    </row>
    <row r="20" spans="3:9" ht="15.75" customHeight="1">
      <c r="C20" s="58" t="s">
        <v>62</v>
      </c>
      <c r="D20" s="57"/>
      <c r="E20" s="3"/>
      <c r="F20" s="3"/>
      <c r="G20" s="46"/>
      <c r="H20" s="46"/>
      <c r="I20" s="46"/>
    </row>
    <row r="21" spans="3:9" ht="15.75" customHeight="1">
      <c r="C21" s="47" t="s">
        <v>63</v>
      </c>
      <c r="D21" s="48" t="s">
        <v>48</v>
      </c>
      <c r="E21" s="3"/>
      <c r="F21" s="3"/>
      <c r="G21" s="49">
        <v>5353</v>
      </c>
      <c r="H21" s="49">
        <v>2699</v>
      </c>
      <c r="I21" s="49">
        <v>1193</v>
      </c>
    </row>
    <row r="22" spans="3:9" ht="15.75" customHeight="1">
      <c r="C22" s="50" t="s">
        <v>64</v>
      </c>
      <c r="D22" s="48" t="s">
        <v>48</v>
      </c>
      <c r="E22" s="3"/>
      <c r="F22" s="3"/>
      <c r="G22" s="49">
        <v>11126</v>
      </c>
      <c r="H22" s="49">
        <v>6682</v>
      </c>
      <c r="I22" s="49">
        <v>4120</v>
      </c>
    </row>
    <row r="23" spans="3:9" ht="15.75" customHeight="1">
      <c r="C23" s="51" t="s">
        <v>65</v>
      </c>
      <c r="D23" s="52" t="s">
        <v>48</v>
      </c>
      <c r="E23" s="53"/>
      <c r="F23" s="53"/>
      <c r="G23" s="64">
        <v>0</v>
      </c>
      <c r="H23" s="49">
        <v>1250</v>
      </c>
      <c r="I23" s="49">
        <v>1250</v>
      </c>
    </row>
    <row r="24" spans="3:9" ht="15.75" customHeight="1">
      <c r="C24" s="47" t="s">
        <v>66</v>
      </c>
      <c r="D24" s="48" t="s">
        <v>48</v>
      </c>
      <c r="E24" s="3"/>
      <c r="F24" s="3"/>
      <c r="G24" s="55">
        <f t="shared" ref="G24:I24" si="2">SUM(G21:G23)</f>
        <v>16479</v>
      </c>
      <c r="H24" s="55">
        <f t="shared" si="2"/>
        <v>10631</v>
      </c>
      <c r="I24" s="55">
        <f t="shared" si="2"/>
        <v>6563</v>
      </c>
    </row>
    <row r="25" spans="3:9" ht="15.75" customHeight="1">
      <c r="C25" s="3"/>
      <c r="D25" s="57"/>
      <c r="E25" s="3"/>
      <c r="F25" s="3"/>
      <c r="G25" s="46"/>
      <c r="H25" s="46"/>
      <c r="I25" s="46"/>
    </row>
    <row r="26" spans="3:9" ht="15.75" customHeight="1">
      <c r="C26" s="58" t="s">
        <v>67</v>
      </c>
      <c r="D26" s="57"/>
      <c r="E26" s="3"/>
      <c r="F26" s="3"/>
      <c r="G26" s="46"/>
      <c r="H26" s="46"/>
      <c r="I26" s="46"/>
    </row>
    <row r="27" spans="3:9" ht="15.75" customHeight="1">
      <c r="C27" s="61" t="s">
        <v>68</v>
      </c>
      <c r="D27" s="48" t="s">
        <v>48</v>
      </c>
      <c r="E27" s="3"/>
      <c r="F27" s="3"/>
      <c r="G27" s="49">
        <v>8462</v>
      </c>
      <c r="H27" s="49">
        <v>8459</v>
      </c>
      <c r="I27" s="49">
        <v>9703</v>
      </c>
    </row>
    <row r="28" spans="3:9" ht="15.75" customHeight="1">
      <c r="C28" s="61" t="s">
        <v>69</v>
      </c>
      <c r="D28" s="48" t="s">
        <v>48</v>
      </c>
      <c r="E28" s="3"/>
      <c r="F28" s="3"/>
      <c r="G28" s="49">
        <v>1490</v>
      </c>
      <c r="H28" s="49">
        <v>1119</v>
      </c>
      <c r="I28" s="49">
        <v>902</v>
      </c>
    </row>
    <row r="29" spans="3:9" ht="15">
      <c r="C29" s="65" t="s">
        <v>70</v>
      </c>
      <c r="D29" s="52" t="s">
        <v>48</v>
      </c>
      <c r="E29" s="53"/>
      <c r="F29" s="53"/>
      <c r="G29" s="49">
        <v>3683</v>
      </c>
      <c r="H29" s="49">
        <v>2541</v>
      </c>
      <c r="I29" s="64">
        <v>1913</v>
      </c>
    </row>
    <row r="30" spans="3:9" ht="15">
      <c r="C30" s="41" t="s">
        <v>71</v>
      </c>
      <c r="D30" s="62" t="s">
        <v>48</v>
      </c>
      <c r="E30" s="41"/>
      <c r="F30" s="41"/>
      <c r="G30" s="63">
        <f t="shared" ref="G30:I30" si="3">SUM(G27:G29) + G24</f>
        <v>30114</v>
      </c>
      <c r="H30" s="63">
        <f t="shared" si="3"/>
        <v>22750</v>
      </c>
      <c r="I30" s="63">
        <f t="shared" si="3"/>
        <v>19081</v>
      </c>
    </row>
    <row r="31" spans="3:9" ht="15">
      <c r="C31" s="3"/>
      <c r="D31" s="57"/>
      <c r="E31" s="3"/>
      <c r="F31" s="3"/>
      <c r="G31" s="46"/>
      <c r="H31" s="46"/>
      <c r="I31" s="46"/>
    </row>
    <row r="32" spans="3:9" ht="15">
      <c r="C32" s="58" t="s">
        <v>72</v>
      </c>
      <c r="D32" s="57"/>
      <c r="E32" s="3"/>
      <c r="F32" s="3"/>
      <c r="G32" s="46"/>
      <c r="H32" s="46"/>
      <c r="I32" s="46"/>
    </row>
    <row r="33" spans="3:9" ht="15">
      <c r="C33" s="59" t="s">
        <v>73</v>
      </c>
      <c r="D33" s="48"/>
      <c r="E33" s="3"/>
      <c r="F33" s="3"/>
      <c r="G33" s="60">
        <v>0</v>
      </c>
      <c r="H33" s="60">
        <v>0</v>
      </c>
      <c r="I33" s="60">
        <v>0</v>
      </c>
    </row>
    <row r="34" spans="3:9" ht="15">
      <c r="C34" s="59" t="s">
        <v>74</v>
      </c>
      <c r="D34" s="48" t="s">
        <v>48</v>
      </c>
      <c r="E34" s="3"/>
      <c r="F34" s="3"/>
      <c r="G34" s="60">
        <v>25</v>
      </c>
      <c r="H34" s="60">
        <v>25</v>
      </c>
      <c r="I34" s="60">
        <v>2</v>
      </c>
    </row>
    <row r="35" spans="3:9" ht="15">
      <c r="C35" s="59" t="s">
        <v>75</v>
      </c>
      <c r="D35" s="48" t="s">
        <v>48</v>
      </c>
      <c r="E35" s="3"/>
      <c r="F35" s="3"/>
      <c r="G35" s="49">
        <v>11821</v>
      </c>
      <c r="H35" s="49">
        <v>13109</v>
      </c>
      <c r="I35" s="49">
        <v>11971</v>
      </c>
    </row>
    <row r="36" spans="3:9" ht="15">
      <c r="C36" s="47" t="s">
        <v>76</v>
      </c>
      <c r="D36" s="48" t="s">
        <v>48</v>
      </c>
      <c r="E36" s="3"/>
      <c r="F36" s="3"/>
      <c r="G36" s="49">
        <v>103</v>
      </c>
      <c r="H36" s="49">
        <v>27</v>
      </c>
      <c r="I36" s="60">
        <v>-43</v>
      </c>
    </row>
    <row r="37" spans="3:9" ht="15">
      <c r="C37" s="59" t="s">
        <v>77</v>
      </c>
      <c r="D37" s="48" t="s">
        <v>48</v>
      </c>
      <c r="E37" s="3"/>
      <c r="F37" s="3"/>
      <c r="G37" s="49">
        <v>53950</v>
      </c>
      <c r="H37" s="49">
        <v>29817</v>
      </c>
      <c r="I37" s="49">
        <v>10171</v>
      </c>
    </row>
    <row r="38" spans="3:9" ht="15">
      <c r="C38" s="66" t="s">
        <v>78</v>
      </c>
      <c r="D38" s="52" t="s">
        <v>48</v>
      </c>
      <c r="E38" s="53"/>
      <c r="F38" s="53"/>
      <c r="G38" s="67">
        <f t="shared" ref="G38:I38" si="4">SUM(G32:G37)</f>
        <v>65899</v>
      </c>
      <c r="H38" s="67">
        <f t="shared" si="4"/>
        <v>42978</v>
      </c>
      <c r="I38" s="67">
        <f t="shared" si="4"/>
        <v>22101</v>
      </c>
    </row>
    <row r="39" spans="3:9" ht="15">
      <c r="C39" s="68" t="s">
        <v>79</v>
      </c>
      <c r="D39" s="62" t="s">
        <v>48</v>
      </c>
      <c r="E39" s="41"/>
      <c r="F39" s="41"/>
      <c r="G39" s="69">
        <f t="shared" ref="G39:I39" si="5">G38+G30</f>
        <v>96013</v>
      </c>
      <c r="H39" s="69">
        <f t="shared" si="5"/>
        <v>65728</v>
      </c>
      <c r="I39" s="69">
        <f t="shared" si="5"/>
        <v>41182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8:F29"/>
  <sheetViews>
    <sheetView workbookViewId="0"/>
  </sheetViews>
  <sheetFormatPr defaultColWidth="12.5703125" defaultRowHeight="15.75" customHeight="1"/>
  <cols>
    <col min="1" max="1" width="27.28515625" customWidth="1"/>
    <col min="2" max="2" width="33.5703125" customWidth="1"/>
    <col min="4" max="4" width="16.5703125" customWidth="1"/>
  </cols>
  <sheetData>
    <row r="8" spans="2:6" ht="16.5">
      <c r="B8" s="70" t="s">
        <v>80</v>
      </c>
      <c r="C8" s="71"/>
      <c r="D8" s="71"/>
      <c r="E8" s="72">
        <v>45592</v>
      </c>
      <c r="F8" s="72">
        <v>45228</v>
      </c>
    </row>
    <row r="9" spans="2:6" ht="15">
      <c r="B9" s="61" t="s">
        <v>81</v>
      </c>
      <c r="C9" s="48" t="s">
        <v>48</v>
      </c>
      <c r="D9" s="73"/>
      <c r="E9" s="49">
        <v>91166</v>
      </c>
      <c r="F9" s="49">
        <v>38819</v>
      </c>
    </row>
    <row r="10" spans="2:6" ht="15">
      <c r="B10" s="74" t="s">
        <v>82</v>
      </c>
      <c r="C10" s="52" t="s">
        <v>48</v>
      </c>
      <c r="D10" s="75"/>
      <c r="E10" s="54">
        <v>22031</v>
      </c>
      <c r="F10" s="54">
        <v>11309</v>
      </c>
    </row>
    <row r="11" spans="2:6" ht="15">
      <c r="B11" s="61" t="s">
        <v>83</v>
      </c>
      <c r="C11" s="48" t="s">
        <v>48</v>
      </c>
      <c r="D11" s="76"/>
      <c r="E11" s="49">
        <f t="shared" ref="E11:F11" si="0">E9-E10</f>
        <v>69135</v>
      </c>
      <c r="F11" s="49">
        <f t="shared" si="0"/>
        <v>27510</v>
      </c>
    </row>
    <row r="12" spans="2:6" ht="22.5" customHeight="1">
      <c r="B12" s="61" t="s">
        <v>84</v>
      </c>
      <c r="E12" s="77"/>
      <c r="F12" s="77"/>
    </row>
    <row r="13" spans="2:6" ht="15">
      <c r="B13" s="78" t="s">
        <v>85</v>
      </c>
      <c r="C13" s="48" t="s">
        <v>48</v>
      </c>
      <c r="D13" s="76"/>
      <c r="E13" s="49">
        <v>9200</v>
      </c>
      <c r="F13" s="49">
        <v>6210</v>
      </c>
    </row>
    <row r="14" spans="2:6" ht="15">
      <c r="B14" s="78" t="s">
        <v>86</v>
      </c>
      <c r="C14" s="48" t="s">
        <v>48</v>
      </c>
      <c r="E14" s="49">
        <v>2516</v>
      </c>
      <c r="F14" s="49">
        <v>1942</v>
      </c>
    </row>
    <row r="15" spans="2:6" ht="15">
      <c r="B15" s="51" t="s">
        <v>87</v>
      </c>
      <c r="C15" s="52" t="s">
        <v>48</v>
      </c>
      <c r="D15" s="75"/>
      <c r="E15" s="54">
        <f t="shared" ref="E15:F15" si="1">SUM(E13:E14)</f>
        <v>11716</v>
      </c>
      <c r="F15" s="54">
        <f t="shared" si="1"/>
        <v>8152</v>
      </c>
    </row>
    <row r="16" spans="2:6" ht="15">
      <c r="B16" s="74" t="s">
        <v>88</v>
      </c>
      <c r="C16" s="52" t="s">
        <v>48</v>
      </c>
      <c r="D16" s="75"/>
      <c r="E16" s="54">
        <f t="shared" ref="E16:F16" si="2">E11-E15</f>
        <v>57419</v>
      </c>
      <c r="F16" s="54">
        <f t="shared" si="2"/>
        <v>19358</v>
      </c>
    </row>
    <row r="17" spans="2:6" ht="23.25" customHeight="1">
      <c r="B17" s="78" t="s">
        <v>89</v>
      </c>
      <c r="C17" s="48" t="s">
        <v>48</v>
      </c>
      <c r="E17" s="49">
        <v>1275</v>
      </c>
      <c r="F17" s="49">
        <v>572</v>
      </c>
    </row>
    <row r="18" spans="2:6" ht="15">
      <c r="B18" s="78" t="s">
        <v>90</v>
      </c>
      <c r="C18" s="48" t="s">
        <v>48</v>
      </c>
      <c r="E18" s="49">
        <v>-186</v>
      </c>
      <c r="F18" s="49">
        <v>-194</v>
      </c>
    </row>
    <row r="19" spans="2:6" ht="15">
      <c r="B19" s="74" t="s">
        <v>91</v>
      </c>
      <c r="C19" s="52" t="s">
        <v>48</v>
      </c>
      <c r="D19" s="79"/>
      <c r="E19" s="54">
        <v>301</v>
      </c>
      <c r="F19" s="54">
        <v>-24</v>
      </c>
    </row>
    <row r="20" spans="2:6" ht="15">
      <c r="B20" s="51" t="s">
        <v>92</v>
      </c>
      <c r="C20" s="52" t="s">
        <v>48</v>
      </c>
      <c r="D20" s="79"/>
      <c r="E20" s="54">
        <f t="shared" ref="E20:F20" si="3">SUM(E17:E19)</f>
        <v>1390</v>
      </c>
      <c r="F20" s="54">
        <f t="shared" si="3"/>
        <v>354</v>
      </c>
    </row>
    <row r="21" spans="2:6" ht="25.5" customHeight="1">
      <c r="B21" s="61" t="s">
        <v>93</v>
      </c>
      <c r="C21" s="48" t="s">
        <v>48</v>
      </c>
      <c r="D21" s="76"/>
      <c r="E21" s="49">
        <v>58809</v>
      </c>
      <c r="F21" s="49">
        <v>19712</v>
      </c>
    </row>
    <row r="22" spans="2:6" ht="15">
      <c r="B22" s="65" t="s">
        <v>94</v>
      </c>
      <c r="C22" s="52" t="s">
        <v>48</v>
      </c>
      <c r="D22" s="75"/>
      <c r="E22" s="54">
        <v>8020</v>
      </c>
      <c r="F22" s="54">
        <v>2237</v>
      </c>
    </row>
    <row r="23" spans="2:6" ht="21" customHeight="1">
      <c r="B23" s="80" t="s">
        <v>95</v>
      </c>
      <c r="C23" s="62" t="s">
        <v>48</v>
      </c>
      <c r="D23" s="81"/>
      <c r="E23" s="82">
        <f t="shared" ref="E23:F23" si="4">E21-E22</f>
        <v>50789</v>
      </c>
      <c r="F23" s="82">
        <f t="shared" si="4"/>
        <v>17475</v>
      </c>
    </row>
    <row r="24" spans="2:6" ht="27.75" customHeight="1">
      <c r="B24" s="61" t="s">
        <v>96</v>
      </c>
      <c r="E24" s="77"/>
      <c r="F24" s="77"/>
    </row>
    <row r="25" spans="2:6" ht="12.75">
      <c r="B25" s="83" t="s">
        <v>97</v>
      </c>
      <c r="C25" s="84"/>
      <c r="D25" s="84"/>
      <c r="E25" s="85">
        <v>2.0699999999999998</v>
      </c>
      <c r="F25" s="85">
        <v>0.71</v>
      </c>
    </row>
    <row r="26" spans="2:6" ht="12.75">
      <c r="B26" s="83" t="s">
        <v>98</v>
      </c>
      <c r="C26" s="84"/>
      <c r="D26" s="84"/>
      <c r="E26" s="85">
        <v>2.04</v>
      </c>
      <c r="F26" s="85">
        <v>0.7</v>
      </c>
    </row>
    <row r="27" spans="2:6" ht="31.5" customHeight="1">
      <c r="B27" s="61" t="s">
        <v>99</v>
      </c>
      <c r="E27" s="77"/>
      <c r="F27" s="77"/>
    </row>
    <row r="28" spans="2:6" ht="12.75">
      <c r="B28" s="83" t="s">
        <v>97</v>
      </c>
      <c r="C28" s="84"/>
      <c r="D28" s="84"/>
      <c r="E28" s="86">
        <v>24577</v>
      </c>
      <c r="F28" s="86">
        <v>24700</v>
      </c>
    </row>
    <row r="29" spans="2:6" ht="12.75">
      <c r="B29" s="83" t="s">
        <v>98</v>
      </c>
      <c r="C29" s="84"/>
      <c r="D29" s="84"/>
      <c r="E29" s="86">
        <v>24837</v>
      </c>
      <c r="F29" s="86">
        <v>24940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F43"/>
  <sheetViews>
    <sheetView workbookViewId="0"/>
  </sheetViews>
  <sheetFormatPr defaultColWidth="12.5703125" defaultRowHeight="15.75" customHeight="1"/>
  <cols>
    <col min="2" max="2" width="69.42578125" customWidth="1"/>
    <col min="3" max="3" width="1.85546875" customWidth="1"/>
    <col min="6" max="6" width="12.28515625" customWidth="1"/>
  </cols>
  <sheetData>
    <row r="3" spans="2:6" ht="17.25">
      <c r="B3" s="87" t="s">
        <v>100</v>
      </c>
      <c r="C3" s="71"/>
      <c r="D3" s="71"/>
      <c r="E3" s="88">
        <v>45592</v>
      </c>
      <c r="F3" s="88">
        <v>45228</v>
      </c>
    </row>
    <row r="4" spans="2:6" ht="19.5" customHeight="1">
      <c r="B4" s="89" t="s">
        <v>101</v>
      </c>
      <c r="C4" s="48"/>
    </row>
    <row r="5" spans="2:6" ht="15">
      <c r="B5" s="61" t="s">
        <v>95</v>
      </c>
      <c r="C5" s="48" t="s">
        <v>48</v>
      </c>
      <c r="D5" s="73"/>
      <c r="E5" s="49">
        <v>50789</v>
      </c>
      <c r="F5" s="49">
        <v>17475</v>
      </c>
    </row>
    <row r="6" spans="2:6" ht="21" customHeight="1">
      <c r="B6" s="61" t="s">
        <v>102</v>
      </c>
      <c r="C6" s="48"/>
      <c r="E6" s="77"/>
      <c r="F6" s="77"/>
    </row>
    <row r="7" spans="2:6" ht="15">
      <c r="B7" s="61" t="s">
        <v>103</v>
      </c>
      <c r="C7" s="48" t="s">
        <v>48</v>
      </c>
      <c r="D7" s="76"/>
      <c r="E7" s="49">
        <v>3416</v>
      </c>
      <c r="F7" s="49">
        <v>2555</v>
      </c>
    </row>
    <row r="8" spans="2:6" ht="15">
      <c r="B8" s="61" t="s">
        <v>104</v>
      </c>
      <c r="C8" s="48" t="s">
        <v>48</v>
      </c>
      <c r="D8" s="76"/>
      <c r="E8" s="49">
        <v>1321</v>
      </c>
      <c r="F8" s="49">
        <v>1121</v>
      </c>
    </row>
    <row r="9" spans="2:6" ht="15">
      <c r="B9" s="61" t="s">
        <v>105</v>
      </c>
      <c r="C9" s="48" t="s">
        <v>48</v>
      </c>
      <c r="D9" s="61"/>
      <c r="E9" s="49">
        <v>-302</v>
      </c>
      <c r="F9" s="49">
        <v>24</v>
      </c>
    </row>
    <row r="10" spans="2:6" ht="15">
      <c r="B10" s="61" t="s">
        <v>106</v>
      </c>
      <c r="C10" s="48" t="s">
        <v>48</v>
      </c>
      <c r="D10" s="76"/>
      <c r="E10" s="49">
        <v>-3879</v>
      </c>
      <c r="F10" s="49">
        <v>-2411</v>
      </c>
    </row>
    <row r="11" spans="2:6" ht="15">
      <c r="B11" s="61" t="s">
        <v>107</v>
      </c>
      <c r="C11" s="48" t="s">
        <v>48</v>
      </c>
      <c r="D11" s="61"/>
      <c r="E11" s="49">
        <v>-365</v>
      </c>
      <c r="F11" s="49">
        <v>-170</v>
      </c>
    </row>
    <row r="12" spans="2:6" ht="26.25" customHeight="1">
      <c r="B12" s="89" t="s">
        <v>108</v>
      </c>
      <c r="C12" s="48"/>
      <c r="E12" s="77"/>
      <c r="F12" s="77"/>
    </row>
    <row r="13" spans="2:6" ht="15">
      <c r="B13" s="61" t="s">
        <v>109</v>
      </c>
      <c r="C13" s="48" t="s">
        <v>48</v>
      </c>
      <c r="D13" s="76"/>
      <c r="E13" s="49">
        <v>-7694</v>
      </c>
      <c r="F13" s="49">
        <v>-4482</v>
      </c>
    </row>
    <row r="14" spans="2:6" ht="15">
      <c r="B14" s="61" t="s">
        <v>51</v>
      </c>
      <c r="C14" s="48" t="s">
        <v>48</v>
      </c>
      <c r="D14" s="76"/>
      <c r="E14" s="49">
        <v>-2357</v>
      </c>
      <c r="F14" s="49">
        <v>405</v>
      </c>
    </row>
    <row r="15" spans="2:6" ht="15">
      <c r="B15" s="61" t="s">
        <v>110</v>
      </c>
      <c r="C15" s="48" t="s">
        <v>48</v>
      </c>
      <c r="D15" s="61"/>
      <c r="E15" s="49">
        <v>-726</v>
      </c>
      <c r="F15" s="49">
        <v>-337</v>
      </c>
    </row>
    <row r="16" spans="2:6" ht="15">
      <c r="B16" s="61" t="s">
        <v>63</v>
      </c>
      <c r="C16" s="48" t="s">
        <v>48</v>
      </c>
      <c r="D16" s="76"/>
      <c r="E16" s="49">
        <v>2490</v>
      </c>
      <c r="F16" s="49">
        <v>1250</v>
      </c>
    </row>
    <row r="17" spans="2:6" ht="15">
      <c r="B17" s="61" t="s">
        <v>64</v>
      </c>
      <c r="C17" s="48" t="s">
        <v>48</v>
      </c>
      <c r="D17" s="76"/>
      <c r="E17" s="49">
        <v>3918</v>
      </c>
      <c r="F17" s="49">
        <v>953</v>
      </c>
    </row>
    <row r="18" spans="2:6" ht="15">
      <c r="B18" s="65" t="s">
        <v>70</v>
      </c>
      <c r="C18" s="52" t="s">
        <v>48</v>
      </c>
      <c r="D18" s="65"/>
      <c r="E18" s="54">
        <v>849</v>
      </c>
      <c r="F18" s="54">
        <v>208</v>
      </c>
    </row>
    <row r="19" spans="2:6" ht="21" customHeight="1">
      <c r="B19" s="80" t="s">
        <v>111</v>
      </c>
      <c r="C19" s="62" t="s">
        <v>48</v>
      </c>
      <c r="D19" s="80"/>
      <c r="E19" s="90">
        <f t="shared" ref="E19:F19" si="0">SUM(E5:E18)</f>
        <v>47460</v>
      </c>
      <c r="F19" s="90">
        <f t="shared" si="0"/>
        <v>16591</v>
      </c>
    </row>
    <row r="20" spans="2:6" ht="26.25" customHeight="1">
      <c r="B20" s="89" t="s">
        <v>112</v>
      </c>
      <c r="C20" s="48"/>
      <c r="E20" s="77"/>
      <c r="F20" s="77"/>
    </row>
    <row r="21" spans="2:6" ht="15">
      <c r="B21" s="61" t="s">
        <v>113</v>
      </c>
      <c r="C21" s="48" t="s">
        <v>48</v>
      </c>
      <c r="D21" s="76"/>
      <c r="E21" s="49">
        <v>9485</v>
      </c>
      <c r="F21" s="49">
        <v>8001</v>
      </c>
    </row>
    <row r="22" spans="2:6" ht="15">
      <c r="B22" s="61" t="s">
        <v>114</v>
      </c>
      <c r="C22" s="48" t="s">
        <v>48</v>
      </c>
      <c r="D22" s="61"/>
      <c r="E22" s="49">
        <v>318</v>
      </c>
      <c r="F22" s="49" t="s">
        <v>115</v>
      </c>
    </row>
    <row r="23" spans="2:6" ht="15">
      <c r="B23" s="61" t="s">
        <v>116</v>
      </c>
      <c r="C23" s="48" t="s">
        <v>48</v>
      </c>
      <c r="D23" s="61"/>
      <c r="E23" s="49">
        <v>171</v>
      </c>
      <c r="F23" s="49" t="s">
        <v>115</v>
      </c>
    </row>
    <row r="24" spans="2:6" ht="15">
      <c r="B24" s="61" t="s">
        <v>117</v>
      </c>
      <c r="C24" s="48" t="s">
        <v>48</v>
      </c>
      <c r="D24" s="76"/>
      <c r="E24" s="49">
        <v>-19565</v>
      </c>
      <c r="F24" s="49">
        <v>-10688</v>
      </c>
    </row>
    <row r="25" spans="2:6" ht="15">
      <c r="B25" s="61" t="s">
        <v>118</v>
      </c>
      <c r="C25" s="48" t="s">
        <v>48</v>
      </c>
      <c r="D25" s="76"/>
      <c r="E25" s="49">
        <v>-2159</v>
      </c>
      <c r="F25" s="49">
        <v>-815</v>
      </c>
    </row>
    <row r="26" spans="2:6" ht="15">
      <c r="B26" s="61" t="s">
        <v>119</v>
      </c>
      <c r="C26" s="48" t="s">
        <v>48</v>
      </c>
      <c r="D26" s="76"/>
      <c r="E26" s="49">
        <v>-1008</v>
      </c>
      <c r="F26" s="49">
        <v>-897</v>
      </c>
    </row>
    <row r="27" spans="2:6" ht="15">
      <c r="B27" s="61" t="s">
        <v>120</v>
      </c>
      <c r="C27" s="48" t="s">
        <v>48</v>
      </c>
      <c r="D27" s="61"/>
      <c r="E27" s="49">
        <v>-465</v>
      </c>
      <c r="F27" s="49">
        <v>-83</v>
      </c>
    </row>
    <row r="28" spans="2:6" ht="15">
      <c r="B28" s="65" t="s">
        <v>107</v>
      </c>
      <c r="C28" s="52" t="s">
        <v>48</v>
      </c>
      <c r="D28" s="65"/>
      <c r="E28" s="54" t="s">
        <v>115</v>
      </c>
      <c r="F28" s="54">
        <v>25</v>
      </c>
    </row>
    <row r="29" spans="2:6" ht="22.5" customHeight="1">
      <c r="B29" s="80" t="s">
        <v>121</v>
      </c>
      <c r="C29" s="62" t="s">
        <v>48</v>
      </c>
      <c r="D29" s="80"/>
      <c r="E29" s="90">
        <f t="shared" ref="E29:F29" si="1">SUM(E21:E28)</f>
        <v>-13223</v>
      </c>
      <c r="F29" s="90">
        <f t="shared" si="1"/>
        <v>-4457</v>
      </c>
    </row>
    <row r="30" spans="2:6" ht="29.25" customHeight="1">
      <c r="B30" s="89" t="s">
        <v>122</v>
      </c>
      <c r="C30" s="48"/>
      <c r="E30" s="77"/>
      <c r="F30" s="77"/>
    </row>
    <row r="31" spans="2:6" ht="15">
      <c r="B31" s="61" t="s">
        <v>123</v>
      </c>
      <c r="C31" s="48" t="s">
        <v>48</v>
      </c>
      <c r="D31" s="61"/>
      <c r="E31" s="49">
        <v>489</v>
      </c>
      <c r="F31" s="49">
        <v>403</v>
      </c>
    </row>
    <row r="32" spans="2:6" ht="15">
      <c r="B32" s="61" t="s">
        <v>124</v>
      </c>
      <c r="C32" s="48" t="s">
        <v>48</v>
      </c>
      <c r="D32" s="76"/>
      <c r="E32" s="49">
        <v>-25895</v>
      </c>
      <c r="F32" s="49">
        <v>-6874</v>
      </c>
    </row>
    <row r="33" spans="2:6" ht="15">
      <c r="B33" s="61" t="s">
        <v>125</v>
      </c>
      <c r="C33" s="48" t="s">
        <v>48</v>
      </c>
      <c r="D33" s="76"/>
      <c r="E33" s="49">
        <v>-5068</v>
      </c>
      <c r="F33" s="49">
        <v>-1942</v>
      </c>
    </row>
    <row r="34" spans="2:6" ht="15">
      <c r="B34" s="61" t="s">
        <v>126</v>
      </c>
      <c r="C34" s="48" t="s">
        <v>48</v>
      </c>
      <c r="D34" s="76"/>
      <c r="E34" s="49">
        <v>-1250</v>
      </c>
      <c r="F34" s="49">
        <v>-1250</v>
      </c>
    </row>
    <row r="35" spans="2:6" ht="15">
      <c r="B35" s="61" t="s">
        <v>127</v>
      </c>
      <c r="C35" s="48" t="s">
        <v>48</v>
      </c>
      <c r="D35" s="61"/>
      <c r="E35" s="49">
        <v>-589</v>
      </c>
      <c r="F35" s="49">
        <v>-296</v>
      </c>
    </row>
    <row r="36" spans="2:6" ht="15">
      <c r="B36" s="61" t="s">
        <v>128</v>
      </c>
      <c r="C36" s="48" t="s">
        <v>48</v>
      </c>
      <c r="D36" s="61"/>
      <c r="E36" s="49">
        <v>-97</v>
      </c>
      <c r="F36" s="49">
        <v>-44</v>
      </c>
    </row>
    <row r="37" spans="2:6" ht="15">
      <c r="B37" s="65" t="s">
        <v>107</v>
      </c>
      <c r="C37" s="52" t="s">
        <v>48</v>
      </c>
      <c r="D37" s="65"/>
      <c r="E37" s="54" t="s">
        <v>115</v>
      </c>
      <c r="F37" s="54">
        <v>-1</v>
      </c>
    </row>
    <row r="38" spans="2:6" ht="22.5" customHeight="1">
      <c r="B38" s="80" t="s">
        <v>129</v>
      </c>
      <c r="C38" s="62" t="s">
        <v>48</v>
      </c>
      <c r="D38" s="62"/>
      <c r="E38" s="90">
        <f t="shared" ref="E38:F38" si="2">SUM(E31:E37)</f>
        <v>-32410</v>
      </c>
      <c r="F38" s="90">
        <f t="shared" si="2"/>
        <v>-10004</v>
      </c>
    </row>
    <row r="39" spans="2:6" ht="27" customHeight="1">
      <c r="B39" s="61" t="s">
        <v>130</v>
      </c>
      <c r="C39" s="48" t="s">
        <v>48</v>
      </c>
      <c r="D39" s="76"/>
      <c r="E39" s="49">
        <f t="shared" ref="E39:F39" si="3">E38+E29+E19</f>
        <v>1827</v>
      </c>
      <c r="F39" s="49">
        <f t="shared" si="3"/>
        <v>2130</v>
      </c>
    </row>
    <row r="40" spans="2:6" ht="15">
      <c r="B40" s="65" t="s">
        <v>131</v>
      </c>
      <c r="C40" s="52" t="s">
        <v>48</v>
      </c>
      <c r="D40" s="65"/>
      <c r="E40" s="54">
        <v>7280</v>
      </c>
      <c r="F40" s="54">
        <v>3389</v>
      </c>
    </row>
    <row r="41" spans="2:6" ht="23.25" customHeight="1">
      <c r="B41" s="80" t="s">
        <v>132</v>
      </c>
      <c r="C41" s="62" t="s">
        <v>48</v>
      </c>
      <c r="D41" s="80"/>
      <c r="E41" s="82">
        <f t="shared" ref="E41:F41" si="4">SUM(E39:E40)</f>
        <v>9107</v>
      </c>
      <c r="F41" s="82">
        <f t="shared" si="4"/>
        <v>5519</v>
      </c>
    </row>
    <row r="42" spans="2:6" ht="47.25" customHeight="1">
      <c r="B42" s="89" t="s">
        <v>133</v>
      </c>
      <c r="C42" s="48"/>
      <c r="E42" s="77"/>
      <c r="F42" s="77"/>
    </row>
    <row r="43" spans="2:6" ht="15">
      <c r="B43" s="61" t="s">
        <v>134</v>
      </c>
      <c r="C43" s="48" t="s">
        <v>48</v>
      </c>
      <c r="D43" s="73"/>
      <c r="E43" s="49">
        <v>10989</v>
      </c>
      <c r="F43" s="49">
        <v>4676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Balance Sheet</vt:lpstr>
      <vt:lpstr>Income Statement</vt:lpstr>
      <vt:lpstr>Cash Flow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Valerian Meipariani</cp:lastModifiedBy>
  <dcterms:modified xsi:type="dcterms:W3CDTF">2025-02-10T07:21:24Z</dcterms:modified>
</cp:coreProperties>
</file>