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Balance Sheet" sheetId="2" r:id="rId5"/>
    <sheet state="visible" name="Income Statement" sheetId="3" r:id="rId6"/>
    <sheet state="visible" name="Cash Flow Statement" sheetId="4" r:id="rId7"/>
  </sheets>
  <definedNames/>
  <calcPr/>
</workbook>
</file>

<file path=xl/sharedStrings.xml><?xml version="1.0" encoding="utf-8"?>
<sst xmlns="http://schemas.openxmlformats.org/spreadsheetml/2006/main" count="221" uniqueCount="135">
  <si>
    <t>FINANCIAL SUMMARY</t>
  </si>
  <si>
    <t>Profitability Ratios:</t>
  </si>
  <si>
    <t>Key Metrics</t>
  </si>
  <si>
    <t>YoY Change</t>
  </si>
  <si>
    <t>Gross Profit Margin</t>
  </si>
  <si>
    <t>Stock Price</t>
  </si>
  <si>
    <t>Operating Margin</t>
  </si>
  <si>
    <t>Market Cap</t>
  </si>
  <si>
    <t>Net Profit Margin</t>
  </si>
  <si>
    <t>Total Revenue</t>
  </si>
  <si>
    <t>Return on Assets (ROA)</t>
  </si>
  <si>
    <t>COGS</t>
  </si>
  <si>
    <t>Return on Equity (ROE)</t>
  </si>
  <si>
    <t>Total Debt (D)</t>
  </si>
  <si>
    <t>Gross Profit</t>
  </si>
  <si>
    <t>Liquidity Ratios:</t>
  </si>
  <si>
    <t>Operating Income</t>
  </si>
  <si>
    <t>Current Ratio</t>
  </si>
  <si>
    <t>Net Income</t>
  </si>
  <si>
    <t>Quick Ratio</t>
  </si>
  <si>
    <t>Operating Cash Flow</t>
  </si>
  <si>
    <t>Capital Expenditures</t>
  </si>
  <si>
    <t>Leverage (Solvency) Ratios:</t>
  </si>
  <si>
    <t>Debt-to-Equity Ratio</t>
  </si>
  <si>
    <t>Advanced Metrics</t>
  </si>
  <si>
    <t>Interest Coverage Ratio</t>
  </si>
  <si>
    <t>DOL</t>
  </si>
  <si>
    <t>DFL</t>
  </si>
  <si>
    <t>Efficiency Ratios:</t>
  </si>
  <si>
    <t>DTL</t>
  </si>
  <si>
    <t>Asset Turnover Ratio</t>
  </si>
  <si>
    <t>WACC</t>
  </si>
  <si>
    <t>Inventory Turnover Ratio</t>
  </si>
  <si>
    <t>WACC Parameters</t>
  </si>
  <si>
    <t>Cash Flow Ratios:</t>
  </si>
  <si>
    <t xml:space="preserve">Beta </t>
  </si>
  <si>
    <t>Operating Cash Flow / Liabilities</t>
  </si>
  <si>
    <t>Risk-Free Rate</t>
  </si>
  <si>
    <t>Free Cash Flow (FCF)</t>
  </si>
  <si>
    <t>Market Return</t>
  </si>
  <si>
    <t>Cost of Equity</t>
  </si>
  <si>
    <t>Cost of Debt</t>
  </si>
  <si>
    <t>Tax Rate</t>
  </si>
  <si>
    <t>Balance Sheet</t>
  </si>
  <si>
    <t>September 28, 2024</t>
  </si>
  <si>
    <t>September 30, 2023</t>
  </si>
  <si>
    <t>Current assets:</t>
  </si>
  <si>
    <t>Cash and cash equivalents</t>
  </si>
  <si>
    <t>$</t>
  </si>
  <si>
    <t>Marketable securities</t>
  </si>
  <si>
    <t>Accounts receivable, net</t>
  </si>
  <si>
    <t>Inventories</t>
  </si>
  <si>
    <t>Prepaid expenses and other current assets</t>
  </si>
  <si>
    <t>Total current assets</t>
  </si>
  <si>
    <t>Non-current assets:</t>
  </si>
  <si>
    <t>Property, plant and equipment, net</t>
  </si>
  <si>
    <t xml:space="preserve">Operating lease assets </t>
  </si>
  <si>
    <t xml:space="preserve">Goodwill </t>
  </si>
  <si>
    <t>Intangible assets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</si>
  <si>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</si>
  <si>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</si>
  <si>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</si>
  <si>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</si>
  <si>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</si>
  <si>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</si>
  <si>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</si>
  <si>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</si>
  <si>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Non-current liabilities:</t>
  </si>
  <si>
    <t>Long-term debt</t>
  </si>
  <si>
    <t>Long-term operating lease liabilities</t>
  </si>
  <si>
    <t>Other long-term liabilities</t>
  </si>
  <si>
    <t>Total liabilities</t>
  </si>
  <si>
    <t>Shareholders’ equity:</t>
  </si>
  <si>
    <t>Preferred stock</t>
  </si>
  <si>
    <t>Common stock</t>
  </si>
  <si>
    <t>Additional paid-in capital</t>
  </si>
  <si>
    <t>Accumulated other comprehensive loss</t>
  </si>
  <si>
    <t>Accumulated other comprehensive income</t>
  </si>
  <si>
    <t>Total shareholders’ equity</t>
  </si>
  <si>
    <t>Total liabilities and shareholders’ equity</t>
  </si>
  <si>
    <t>Income Statement</t>
  </si>
  <si>
    <t>Revenue</t>
  </si>
  <si>
    <t xml:space="preserve">       Cost of revenue</t>
  </si>
  <si>
    <t>Gross profit</t>
  </si>
  <si>
    <t>Operating expenses</t>
  </si>
  <si>
    <t xml:space="preserve">       Research and development</t>
  </si>
  <si>
    <t xml:space="preserve">       Sales, general and administrative</t>
  </si>
  <si>
    <t>Total operating expenses</t>
  </si>
  <si>
    <t>Operating income</t>
  </si>
  <si>
    <t xml:space="preserve">      Interest income</t>
  </si>
  <si>
    <t xml:space="preserve">      Interest expense</t>
  </si>
  <si>
    <t xml:space="preserve">      Other, net</t>
  </si>
  <si>
    <t>Other income (expense), net</t>
  </si>
  <si>
    <t>Income before income tax</t>
  </si>
  <si>
    <t>Income tax expense</t>
  </si>
  <si>
    <t>Net income</t>
  </si>
  <si>
    <t>Net income per share:</t>
  </si>
  <si>
    <t>Basic</t>
  </si>
  <si>
    <t>Diluted</t>
  </si>
  <si>
    <t>Weighted average shares used in per share computation:</t>
  </si>
  <si>
    <t>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</si>
  <si>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</si>
  <si>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</si>
  <si>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</si>
  <si>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</si>
  <si>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(Gains) losses on investments in non-affiliated entities and publicly-held equity securities, net</t>
  </si>
  <si>
    <t>Deferred income taxes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</si>
  <si>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</si>
  <si>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</si>
  <si>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</si>
  <si>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</si>
  <si>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</si>
  <si>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</si>
  <si>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</si>
  <si>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</si>
  <si>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—</t>
  </si>
  <si>
    <t>Proceeds from sales of investments in non-affiliated entities</t>
  </si>
  <si>
    <t>Purchases of marketable securities</t>
  </si>
  <si>
    <t>Purchases related to property and equipment and intangible assets</t>
  </si>
  <si>
    <t>Purchases of investments in non-affiliated entities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</si>
  <si>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</si>
  <si>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</si>
  <si>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</si>
  <si>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</si>
  <si>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</si>
  <si>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</si>
  <si>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</si>
  <si>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</si>
  <si>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</si>
  <si>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Net cash used in financing activities</t>
  </si>
  <si>
    <t>Change in cash, cash equivalents, and restricted cash</t>
  </si>
  <si>
    <t>Cash, cash equivalents, and restricted cash at beginning of period</t>
  </si>
  <si>
    <t>Cash, cash equivalents, and restricted cash at end of period</t>
  </si>
  <si>
    <t>Supplemental disclosure of cash flow information:</t>
  </si>
  <si>
    <t>Cash paid for income taxes, 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</si>
</sst>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#,##0.00;(#,##0.00)"/>
    <numFmt numFmtId="166" formatCode="#,##0;(#,##0)"/>
    <numFmt numFmtId="167" formatCode="mmmm d, yyyy"/>
    <numFmt numFmtId="168" formatCode="mmm d, yyyy"/>
    <numFmt numFmtId="169" formatCode="&quot;$&quot;#,##0.00"/>
  </numFmts>
  <fonts count="12">
    <font>
      <sz val="10.0"/>
      <color rgb="FF000000"/>
      <name val="Arial"/>
      <scheme val="minor"/>
    </font>
    <font>
      <sz val="11.0"/>
      <color theme="1"/>
      <name val="Calibri"/>
    </font>
    <font>
      <sz val="36.0"/>
      <color rgb="FFFFFFFF"/>
      <name val="Calibri"/>
    </font>
    <font>
      <b/>
      <sz val="16.0"/>
      <color theme="1"/>
      <name val="Calibri"/>
    </font>
    <font>
      <b/>
      <sz val="16.0"/>
      <color rgb="FF000000"/>
      <name val="Calibri"/>
    </font>
    <font>
      <sz val="16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Calibri"/>
    </font>
    <font>
      <b/>
      <sz val="11.0"/>
      <color theme="1"/>
      <name val="Calibri"/>
    </font>
    <font>
      <b/>
      <sz val="13.0"/>
      <color rgb="FF222222"/>
      <name val="Google Sans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BEDEC"/>
        <bgColor rgb="FFFBEDEC"/>
      </patternFill>
    </fill>
  </fills>
  <borders count="1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2" fillId="4" fontId="4" numFmtId="0" xfId="0" applyAlignment="1" applyBorder="1" applyFill="1" applyFont="1">
      <alignment horizontal="right" vertical="bottom"/>
    </xf>
    <xf borderId="3" fillId="4" fontId="4" numFmtId="0" xfId="0" applyAlignment="1" applyBorder="1" applyFont="1">
      <alignment horizontal="right" vertical="bottom"/>
    </xf>
    <xf borderId="4" fillId="5" fontId="3" numFmtId="0" xfId="0" applyAlignment="1" applyBorder="1" applyFill="1" applyFont="1">
      <alignment horizontal="center" vertical="bottom"/>
    </xf>
    <xf borderId="5" fillId="6" fontId="5" numFmtId="0" xfId="0" applyAlignment="1" applyBorder="1" applyFill="1" applyFont="1">
      <alignment readingOrder="0" vertical="bottom"/>
    </xf>
    <xf borderId="0" fillId="6" fontId="5" numFmtId="10" xfId="0" applyAlignment="1" applyFont="1" applyNumberFormat="1">
      <alignment horizontal="right" vertical="bottom"/>
    </xf>
    <xf borderId="6" fillId="6" fontId="5" numFmtId="10" xfId="0" applyAlignment="1" applyBorder="1" applyFont="1" applyNumberFormat="1">
      <alignment horizontal="right" vertical="bottom"/>
    </xf>
    <xf borderId="4" fillId="6" fontId="5" numFmtId="0" xfId="0" applyAlignment="1" applyBorder="1" applyFont="1">
      <alignment vertical="bottom"/>
    </xf>
    <xf borderId="4" fillId="6" fontId="5" numFmtId="164" xfId="0" applyAlignment="1" applyBorder="1" applyFont="1" applyNumberFormat="1">
      <alignment horizontal="right" vertical="bottom"/>
    </xf>
    <xf borderId="4" fillId="6" fontId="5" numFmtId="164" xfId="0" applyAlignment="1" applyBorder="1" applyFont="1" applyNumberFormat="1">
      <alignment horizontal="right" readingOrder="0" vertical="bottom"/>
    </xf>
    <xf borderId="4" fillId="6" fontId="5" numFmtId="10" xfId="0" applyAlignment="1" applyBorder="1" applyFont="1" applyNumberFormat="1">
      <alignment horizontal="right" vertical="bottom"/>
    </xf>
    <xf borderId="5" fillId="3" fontId="5" numFmtId="0" xfId="0" applyAlignment="1" applyBorder="1" applyFont="1">
      <alignment vertical="bottom"/>
    </xf>
    <xf borderId="0" fillId="3" fontId="5" numFmtId="10" xfId="0" applyAlignment="1" applyFont="1" applyNumberFormat="1">
      <alignment horizontal="right" vertical="bottom"/>
    </xf>
    <xf borderId="6" fillId="3" fontId="5" numFmtId="10" xfId="0" applyAlignment="1" applyBorder="1" applyFont="1" applyNumberFormat="1">
      <alignment horizontal="right" vertical="bottom"/>
    </xf>
    <xf borderId="4" fillId="6" fontId="5" numFmtId="0" xfId="0" applyAlignment="1" applyBorder="1" applyFont="1">
      <alignment readingOrder="0" vertical="bottom"/>
    </xf>
    <xf borderId="4" fillId="6" fontId="5" numFmtId="164" xfId="0" applyAlignment="1" applyBorder="1" applyFont="1" applyNumberFormat="1">
      <alignment horizontal="right" vertical="bottom"/>
    </xf>
    <xf borderId="4" fillId="7" fontId="5" numFmtId="10" xfId="0" applyAlignment="1" applyBorder="1" applyFill="1" applyFont="1" applyNumberFormat="1">
      <alignment horizontal="right" vertical="bottom"/>
    </xf>
    <xf borderId="5" fillId="6" fontId="5" numFmtId="0" xfId="0" applyAlignment="1" applyBorder="1" applyFont="1">
      <alignment vertical="bottom"/>
    </xf>
    <xf borderId="4" fillId="6" fontId="5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horizontal="center" readingOrder="0"/>
    </xf>
    <xf borderId="0" fillId="3" fontId="5" numFmtId="0" xfId="0" applyAlignment="1" applyFont="1">
      <alignment vertical="bottom"/>
    </xf>
    <xf borderId="6" fillId="3" fontId="5" numFmtId="0" xfId="0" applyAlignment="1" applyBorder="1" applyFont="1">
      <alignment vertical="bottom"/>
    </xf>
    <xf borderId="5" fillId="6" fontId="3" numFmtId="0" xfId="0" applyAlignment="1" applyBorder="1" applyFont="1">
      <alignment vertical="bottom"/>
    </xf>
    <xf borderId="0" fillId="6" fontId="5" numFmtId="0" xfId="0" applyAlignment="1" applyFont="1">
      <alignment vertical="bottom"/>
    </xf>
    <xf borderId="6" fillId="6" fontId="5" numFmtId="0" xfId="0" applyAlignment="1" applyBorder="1" applyFont="1">
      <alignment vertical="bottom"/>
    </xf>
    <xf borderId="0" fillId="3" fontId="5" numFmtId="165" xfId="0" applyAlignment="1" applyFont="1" applyNumberFormat="1">
      <alignment horizontal="right" vertical="bottom"/>
    </xf>
    <xf borderId="6" fillId="3" fontId="5" numFmtId="165" xfId="0" applyAlignment="1" applyBorder="1" applyFont="1" applyNumberFormat="1">
      <alignment horizontal="right" vertical="bottom"/>
    </xf>
    <xf borderId="0" fillId="6" fontId="5" numFmtId="165" xfId="0" applyAlignment="1" applyFont="1" applyNumberFormat="1">
      <alignment horizontal="right" vertical="bottom"/>
    </xf>
    <xf borderId="6" fillId="6" fontId="5" numFmtId="165" xfId="0" applyAlignment="1" applyBorder="1" applyFont="1" applyNumberFormat="1">
      <alignment horizontal="right" vertical="bottom"/>
    </xf>
    <xf borderId="4" fillId="6" fontId="5" numFmtId="164" xfId="0" applyAlignment="1" applyBorder="1" applyFont="1" applyNumberFormat="1">
      <alignment horizontal="right" readingOrder="0" vertical="bottom"/>
    </xf>
    <xf borderId="4" fillId="5" fontId="3" numFmtId="0" xfId="0" applyAlignment="1" applyBorder="1" applyFont="1">
      <alignment horizontal="center" readingOrder="0" vertical="bottom"/>
    </xf>
    <xf borderId="0" fillId="0" fontId="7" numFmtId="10" xfId="0" applyFont="1" applyNumberFormat="1"/>
    <xf borderId="4" fillId="6" fontId="5" numFmtId="165" xfId="0" applyAlignment="1" applyBorder="1" applyFont="1" applyNumberFormat="1">
      <alignment horizontal="right" vertical="bottom"/>
    </xf>
    <xf borderId="4" fillId="6" fontId="5" numFmtId="10" xfId="0" applyAlignment="1" applyBorder="1" applyFont="1" applyNumberFormat="1">
      <alignment horizontal="right" vertical="bottom"/>
    </xf>
    <xf borderId="7" fillId="6" fontId="5" numFmtId="0" xfId="0" applyAlignment="1" applyBorder="1" applyFont="1">
      <alignment vertical="bottom"/>
    </xf>
    <xf borderId="8" fillId="6" fontId="5" numFmtId="166" xfId="0" applyAlignment="1" applyBorder="1" applyFont="1" applyNumberFormat="1">
      <alignment horizontal="right" vertical="bottom"/>
    </xf>
    <xf borderId="9" fillId="6" fontId="5" numFmtId="166" xfId="0" applyAlignment="1" applyBorder="1" applyFont="1" applyNumberFormat="1">
      <alignment horizontal="right" vertical="bottom"/>
    </xf>
    <xf borderId="0" fillId="6" fontId="1" numFmtId="0" xfId="0" applyAlignment="1" applyFont="1">
      <alignment vertical="bottom"/>
    </xf>
    <xf borderId="8" fillId="0" fontId="8" numFmtId="0" xfId="0" applyAlignment="1" applyBorder="1" applyFont="1">
      <alignment horizontal="center" vertical="top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top"/>
    </xf>
    <xf borderId="8" fillId="0" fontId="9" numFmtId="0" xfId="0" applyAlignment="1" applyBorder="1" applyFont="1">
      <alignment horizontal="center" vertical="top"/>
    </xf>
    <xf borderId="8" fillId="0" fontId="9" numFmtId="167" xfId="0" applyAlignment="1" applyBorder="1" applyFont="1" applyNumberFormat="1">
      <alignment horizontal="center" vertical="top"/>
    </xf>
    <xf borderId="0" fillId="0" fontId="9" numFmtId="0" xfId="0" applyAlignment="1" applyFont="1">
      <alignment vertical="top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7" numFmtId="166" xfId="0" applyAlignment="1" applyFont="1" applyNumberFormat="1">
      <alignment readingOrder="0"/>
    </xf>
    <xf borderId="0" fillId="0" fontId="1" numFmtId="0" xfId="0" applyAlignment="1" applyFont="1">
      <alignment horizontal="center" readingOrder="0" vertical="bottom"/>
    </xf>
    <xf borderId="10" fillId="0" fontId="7" numFmtId="0" xfId="0" applyAlignment="1" applyBorder="1" applyFont="1">
      <alignment horizontal="center" readingOrder="0"/>
    </xf>
    <xf borderId="10" fillId="0" fontId="1" numFmtId="49" xfId="0" applyAlignment="1" applyBorder="1" applyFont="1" applyNumberFormat="1">
      <alignment horizontal="center" vertical="bottom"/>
    </xf>
    <xf borderId="10" fillId="0" fontId="1" numFmtId="0" xfId="0" applyAlignment="1" applyBorder="1" applyFont="1">
      <alignment vertical="bottom"/>
    </xf>
    <xf borderId="10" fillId="0" fontId="7" numFmtId="166" xfId="0" applyAlignment="1" applyBorder="1" applyFont="1" applyNumberFormat="1">
      <alignment readingOrder="0"/>
    </xf>
    <xf borderId="11" fillId="0" fontId="1" numFmtId="166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1" numFmtId="166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8" fillId="0" fontId="1" numFmtId="49" xfId="0" applyAlignment="1" applyBorder="1" applyFont="1" applyNumberFormat="1">
      <alignment horizontal="center" vertical="bottom"/>
    </xf>
    <xf borderId="12" fillId="0" fontId="1" numFmtId="166" xfId="0" applyAlignment="1" applyBorder="1" applyFont="1" applyNumberFormat="1">
      <alignment horizontal="right" vertical="bottom"/>
    </xf>
    <xf borderId="10" fillId="0" fontId="1" numFmtId="166" xfId="0" applyAlignment="1" applyBorder="1" applyFont="1" applyNumberFormat="1">
      <alignment horizontal="right" readingOrder="0" vertical="bottom"/>
    </xf>
    <xf borderId="10" fillId="0" fontId="7" numFmtId="0" xfId="0" applyAlignment="1" applyBorder="1" applyFont="1">
      <alignment readingOrder="0"/>
    </xf>
    <xf borderId="10" fillId="0" fontId="1" numFmtId="0" xfId="0" applyAlignment="1" applyBorder="1" applyFont="1">
      <alignment horizontal="center" vertical="bottom"/>
    </xf>
    <xf borderId="10" fillId="0" fontId="1" numFmtId="166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center" vertical="bottom"/>
    </xf>
    <xf borderId="8" fillId="0" fontId="1" numFmtId="166" xfId="0" applyAlignment="1" applyBorder="1" applyFont="1" applyNumberFormat="1">
      <alignment horizontal="right" vertical="bottom"/>
    </xf>
    <xf borderId="8" fillId="6" fontId="10" numFmtId="0" xfId="0" applyAlignment="1" applyBorder="1" applyFont="1">
      <alignment vertical="bottom"/>
    </xf>
    <xf borderId="8" fillId="0" fontId="7" numFmtId="168" xfId="0" applyAlignment="1" applyBorder="1" applyFont="1" applyNumberFormat="1">
      <alignment readingOrder="0"/>
    </xf>
    <xf borderId="8" fillId="0" fontId="6" numFmtId="168" xfId="0" applyAlignment="1" applyBorder="1" applyFont="1" applyNumberFormat="1">
      <alignment readingOrder="0"/>
    </xf>
    <xf borderId="0" fillId="0" fontId="7" numFmtId="164" xfId="0" applyAlignment="1" applyFont="1" applyNumberFormat="1">
      <alignment readingOrder="0"/>
    </xf>
    <xf borderId="10" fillId="0" fontId="7" numFmtId="0" xfId="0" applyAlignment="1" applyBorder="1" applyFont="1">
      <alignment horizontal="left" readingOrder="0"/>
    </xf>
    <xf borderId="10" fillId="0" fontId="7" numFmtId="3" xfId="0" applyAlignment="1" applyBorder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7" numFmtId="166" xfId="0" applyFont="1" applyNumberFormat="1"/>
    <xf borderId="0" fillId="0" fontId="7" numFmtId="0" xfId="0" applyAlignment="1" applyFont="1">
      <alignment horizontal="left" readingOrder="0"/>
    </xf>
    <xf borderId="10" fillId="0" fontId="7" numFmtId="0" xfId="0" applyBorder="1" applyFont="1"/>
    <xf borderId="8" fillId="0" fontId="7" numFmtId="0" xfId="0" applyAlignment="1" applyBorder="1" applyFont="1">
      <alignment readingOrder="0"/>
    </xf>
    <xf borderId="8" fillId="0" fontId="7" numFmtId="164" xfId="0" applyAlignment="1" applyBorder="1" applyFont="1" applyNumberFormat="1">
      <alignment readingOrder="0"/>
    </xf>
    <xf borderId="8" fillId="0" fontId="6" numFmtId="166" xfId="0" applyAlignment="1" applyBorder="1" applyFont="1" applyNumberFormat="1">
      <alignment readingOrder="0"/>
    </xf>
    <xf borderId="13" fillId="0" fontId="7" numFmtId="0" xfId="0" applyAlignment="1" applyBorder="1" applyFont="1">
      <alignment horizontal="center" readingOrder="0"/>
    </xf>
    <xf borderId="13" fillId="0" fontId="7" numFmtId="169" xfId="0" applyAlignment="1" applyBorder="1" applyFont="1" applyNumberFormat="1">
      <alignment readingOrder="0"/>
    </xf>
    <xf borderId="13" fillId="0" fontId="7" numFmtId="165" xfId="0" applyAlignment="1" applyBorder="1" applyFont="1" applyNumberFormat="1">
      <alignment readingOrder="0"/>
    </xf>
    <xf borderId="13" fillId="0" fontId="7" numFmtId="166" xfId="0" applyAlignment="1" applyBorder="1" applyFont="1" applyNumberFormat="1">
      <alignment readingOrder="0"/>
    </xf>
    <xf borderId="8" fillId="0" fontId="8" numFmtId="0" xfId="0" applyAlignment="1" applyBorder="1" applyFont="1">
      <alignment vertical="bottom"/>
    </xf>
    <xf borderId="8" fillId="0" fontId="11" numFmtId="168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8" fillId="0" fontId="7" numFmtId="166" xfId="0" applyAlignment="1" applyBorder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odel-style">
      <tableStyleElement dxfId="1" type="headerRow"/>
      <tableStyleElement dxfId="2" type="firstRowStripe"/>
      <tableStyleElement dxfId="3" type="secondRowStripe"/>
    </tableStyle>
    <tableStyle count="3" pivot="0" name="Model-style 2">
      <tableStyleElement dxfId="4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D23" displayName="Table_1" name="Table_1" id="1">
  <tableColumns count="3">
    <tableColumn name="Column1" id="1"/>
    <tableColumn name="Column2" id="2"/>
    <tableColumn name="Column3" id="3"/>
  </tableColumns>
  <tableStyleInfo name="Mode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3:I12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Mode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53.5"/>
    <col customWidth="1" min="5" max="5" width="3.13"/>
    <col customWidth="1" min="6" max="6" width="25.13"/>
    <col customWidth="1" min="7" max="7" width="13.75"/>
    <col customWidth="1" min="8" max="8" width="14.38"/>
    <col customWidth="1" min="9" max="9" width="13.75"/>
    <col customWidth="1" min="12" max="12" width="24.13"/>
    <col customWidth="1" min="13" max="13" width="9.7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1</v>
      </c>
      <c r="C2" s="5">
        <v>2024.0</v>
      </c>
      <c r="D2" s="6">
        <v>2023.0</v>
      </c>
      <c r="F2" s="7" t="s">
        <v>2</v>
      </c>
      <c r="G2" s="7">
        <v>2024.0</v>
      </c>
      <c r="H2" s="7">
        <v>2023.0</v>
      </c>
      <c r="I2" s="7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8" t="s">
        <v>4</v>
      </c>
      <c r="C3" s="9">
        <f>('Income Statement'!E9-'Income Statement'!E10)/'Income Statement'!E9</f>
        <v>0.7583419257</v>
      </c>
      <c r="D3" s="10">
        <f>('Income Statement'!F9-'Income Statement'!F10)/'Income Statement'!F9</f>
        <v>0.7086735877</v>
      </c>
      <c r="F3" s="11" t="s">
        <v>5</v>
      </c>
      <c r="G3" s="12">
        <v>123.0</v>
      </c>
      <c r="H3" s="13">
        <v>42.0</v>
      </c>
      <c r="I3" s="14">
        <f t="shared" ref="I3:I12" si="1">(G3-H3)/G3</f>
        <v>0.6585365854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15" t="s">
        <v>6</v>
      </c>
      <c r="C4" s="16">
        <f>'Income Statement'!E16/'Income Statement'!E9</f>
        <v>0.629829103</v>
      </c>
      <c r="D4" s="17">
        <f>'Income Statement'!F16/'Income Statement'!F9</f>
        <v>0.4986733301</v>
      </c>
      <c r="F4" s="18" t="s">
        <v>7</v>
      </c>
      <c r="G4" s="19">
        <f>G3*'Income Statement'!E28</f>
        <v>3022971</v>
      </c>
      <c r="H4" s="19">
        <f>H3*'Income Statement'!F28</f>
        <v>1037400</v>
      </c>
      <c r="I4" s="20">
        <f t="shared" si="1"/>
        <v>0.6568276705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21" t="s">
        <v>8</v>
      </c>
      <c r="C5" s="9">
        <f>'Income Statement'!E23/'Income Statement'!E9</f>
        <v>0.5571046223</v>
      </c>
      <c r="D5" s="10">
        <f>'Income Statement'!F23/'Income Statement'!F9</f>
        <v>0.4501661557</v>
      </c>
      <c r="F5" s="22" t="s">
        <v>9</v>
      </c>
      <c r="G5" s="19">
        <f>'Income Statement'!E9</f>
        <v>91166</v>
      </c>
      <c r="H5" s="19">
        <f>'Income Statement'!F9</f>
        <v>38819</v>
      </c>
      <c r="I5" s="20">
        <f t="shared" si="1"/>
        <v>0.5741943268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5" t="s">
        <v>10</v>
      </c>
      <c r="C6" s="16">
        <f>'Income Statement'!E23/'Balance Sheet'!G18</f>
        <v>0.5289804506</v>
      </c>
      <c r="D6" s="17">
        <f>'Income Statement'!F23/'Balance Sheet'!H18</f>
        <v>0.2658684275</v>
      </c>
      <c r="F6" s="22" t="s">
        <v>11</v>
      </c>
      <c r="G6" s="19">
        <f>'Income Statement'!E10</f>
        <v>22031</v>
      </c>
      <c r="H6" s="19">
        <f>'Income Statement'!F10</f>
        <v>11309</v>
      </c>
      <c r="I6" s="20">
        <f t="shared" si="1"/>
        <v>0.486677863</v>
      </c>
      <c r="J6" s="3"/>
      <c r="K6" s="3"/>
      <c r="L6" s="3"/>
      <c r="M6" s="23"/>
      <c r="N6" s="2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21" t="s">
        <v>12</v>
      </c>
      <c r="C7" s="9">
        <f>'Income Statement'!E23/'Balance Sheet'!G38</f>
        <v>0.7707097225</v>
      </c>
      <c r="D7" s="10">
        <f>'Income Statement'!F23/'Balance Sheet'!H38</f>
        <v>0.4066033785</v>
      </c>
      <c r="F7" s="22" t="s">
        <v>13</v>
      </c>
      <c r="G7" s="19">
        <f>'Balance Sheet'!G23+'Balance Sheet'!G27</f>
        <v>8462</v>
      </c>
      <c r="H7" s="19">
        <f>'Balance Sheet'!H23+'Balance Sheet'!H27</f>
        <v>9709</v>
      </c>
      <c r="I7" s="20">
        <f t="shared" si="1"/>
        <v>-0.1473646892</v>
      </c>
      <c r="J7" s="3"/>
      <c r="K7" s="3"/>
      <c r="L7" s="2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5"/>
      <c r="C8" s="25"/>
      <c r="D8" s="26"/>
      <c r="F8" s="18" t="s">
        <v>14</v>
      </c>
      <c r="G8" s="19">
        <f>'Income Statement'!E11</f>
        <v>69135</v>
      </c>
      <c r="H8" s="19">
        <f>'Income Statement'!F11</f>
        <v>27510</v>
      </c>
      <c r="I8" s="20">
        <f t="shared" si="1"/>
        <v>0.6020828813</v>
      </c>
      <c r="J8" s="3"/>
      <c r="K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7" t="s">
        <v>15</v>
      </c>
      <c r="C9" s="28"/>
      <c r="D9" s="29"/>
      <c r="F9" s="22" t="s">
        <v>16</v>
      </c>
      <c r="G9" s="19">
        <f>'Income Statement'!E16</f>
        <v>57419</v>
      </c>
      <c r="H9" s="19">
        <f>'Income Statement'!F16</f>
        <v>19358</v>
      </c>
      <c r="I9" s="20">
        <f t="shared" si="1"/>
        <v>0.6628642087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5" t="s">
        <v>17</v>
      </c>
      <c r="C10" s="30">
        <f>'Balance Sheet'!G9/'Balance Sheet'!G24</f>
        <v>4.104617999</v>
      </c>
      <c r="D10" s="31">
        <f>'Balance Sheet'!H9/'Balance Sheet'!H24</f>
        <v>4.171291506</v>
      </c>
      <c r="E10" s="3"/>
      <c r="F10" s="22" t="s">
        <v>18</v>
      </c>
      <c r="G10" s="19">
        <f>'Income Statement'!E23</f>
        <v>50789</v>
      </c>
      <c r="H10" s="19">
        <f>'Income Statement'!F23</f>
        <v>17475</v>
      </c>
      <c r="I10" s="20">
        <f t="shared" si="1"/>
        <v>0.6559294335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1" t="s">
        <v>19</v>
      </c>
      <c r="C11" s="32">
        <f>('Balance Sheet'!G9-'Balance Sheet'!G7)/'Balance Sheet'!G24</f>
        <v>3.640148067</v>
      </c>
      <c r="D11" s="33">
        <f>('Balance Sheet'!H9-'Balance Sheet'!H7)/'Balance Sheet'!H24</f>
        <v>3.674442668</v>
      </c>
      <c r="E11" s="3"/>
      <c r="F11" s="22" t="s">
        <v>20</v>
      </c>
      <c r="G11" s="19">
        <f>'Cash Flow Statement'!E19</f>
        <v>47460</v>
      </c>
      <c r="H11" s="19">
        <f>'Cash Flow Statement'!F19</f>
        <v>16591</v>
      </c>
      <c r="I11" s="20">
        <f t="shared" si="1"/>
        <v>0.6504214075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5"/>
      <c r="C12" s="25"/>
      <c r="D12" s="26"/>
      <c r="E12" s="3"/>
      <c r="F12" s="22" t="s">
        <v>21</v>
      </c>
      <c r="G12" s="34">
        <f>-'Cash Flow Statement'!E25</f>
        <v>2159</v>
      </c>
      <c r="H12" s="34">
        <f>-'Cash Flow Statement'!F25</f>
        <v>815</v>
      </c>
      <c r="I12" s="20">
        <f t="shared" si="1"/>
        <v>0.6225104215</v>
      </c>
      <c r="J12" s="3"/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7" t="s">
        <v>22</v>
      </c>
      <c r="C13" s="28"/>
      <c r="D13" s="29"/>
      <c r="E13" s="3"/>
      <c r="J13" s="3"/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5" t="s">
        <v>23</v>
      </c>
      <c r="C14" s="30">
        <f>('Balance Sheet'!G23 + 'Balance Sheet'!G27)/'Balance Sheet'!G38</f>
        <v>0.1284086253</v>
      </c>
      <c r="D14" s="31">
        <f>('Balance Sheet'!H23 + 'Balance Sheet'!H27)/'Balance Sheet'!H38</f>
        <v>0.2259062776</v>
      </c>
      <c r="E14" s="3"/>
      <c r="F14" s="35" t="s">
        <v>24</v>
      </c>
      <c r="G14" s="7">
        <v>2024.0</v>
      </c>
      <c r="H14" s="7">
        <v>2023.0</v>
      </c>
      <c r="I14" s="36"/>
      <c r="J14" s="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1" t="s">
        <v>25</v>
      </c>
      <c r="C15" s="32">
        <f>'Income Statement'!E16/-'Income Statement'!E18</f>
        <v>308.7043011</v>
      </c>
      <c r="D15" s="33">
        <f>'Income Statement'!F16/-'Income Statement'!F18</f>
        <v>99.78350515</v>
      </c>
      <c r="E15" s="3"/>
      <c r="F15" s="22" t="s">
        <v>26</v>
      </c>
      <c r="G15" s="37">
        <f>('Income Statement'!E9-'Income Statement'!E10)/'Income Statement'!E16</f>
        <v>1.204043958</v>
      </c>
      <c r="H15" s="37">
        <f>('Income Statement'!F9-'Income Statement'!F10)/'Income Statement'!F16</f>
        <v>1.421117884</v>
      </c>
      <c r="I15" s="36"/>
      <c r="J15" s="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5"/>
      <c r="C16" s="25"/>
      <c r="D16" s="26"/>
      <c r="E16" s="3"/>
      <c r="F16" s="22" t="s">
        <v>27</v>
      </c>
      <c r="G16" s="37">
        <f>'Income Statement'!E9/('Income Statement'!E16+'Income Statement'!E18)</f>
        <v>1.592892213</v>
      </c>
      <c r="H16" s="37">
        <f>'Income Statement'!F9/('Income Statement'!F16+'Income Statement'!F18)</f>
        <v>2.025620956</v>
      </c>
      <c r="I16" s="36"/>
      <c r="J16" s="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7" t="s">
        <v>28</v>
      </c>
      <c r="C17" s="28"/>
      <c r="D17" s="29"/>
      <c r="E17" s="3"/>
      <c r="F17" s="18" t="s">
        <v>29</v>
      </c>
      <c r="G17" s="37">
        <f t="shared" ref="G17:H17" si="2">G16*G15</f>
        <v>1.917912244</v>
      </c>
      <c r="H17" s="37">
        <f t="shared" si="2"/>
        <v>2.878646167</v>
      </c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5" t="s">
        <v>30</v>
      </c>
      <c r="C18" s="30">
        <f>'Income Statement'!E9/'Balance Sheet'!G18</f>
        <v>0.9495172529</v>
      </c>
      <c r="D18" s="31">
        <f>'Income Statement'!F9/'Balance Sheet'!H18</f>
        <v>0.5906006573</v>
      </c>
      <c r="E18" s="3"/>
      <c r="F18" s="18" t="s">
        <v>31</v>
      </c>
      <c r="G18" s="38">
        <f t="shared" ref="G18:H18" si="3">(G4/(G7+G4))*G24+G7/(G7+G4)*G25*(1-G26)</f>
        <v>0.1392633075</v>
      </c>
      <c r="H18" s="38">
        <f t="shared" si="3"/>
        <v>0.138469848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1" t="s">
        <v>32</v>
      </c>
      <c r="C19" s="32">
        <f>'Income Statement'!E10/(('Balance Sheet'!G7+'Balance Sheet'!H7)/2)</f>
        <v>3.40615337</v>
      </c>
      <c r="D19" s="33">
        <f>'Income Statement'!F10/(('Balance Sheet'!H7+'Balance Sheet'!I7)/2)</f>
        <v>2.166267599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5"/>
      <c r="C20" s="25"/>
      <c r="D20" s="26"/>
      <c r="E20" s="3"/>
      <c r="F20" s="35" t="s">
        <v>33</v>
      </c>
      <c r="G20" s="7">
        <v>2024.0</v>
      </c>
      <c r="H20" s="7">
        <v>2023.0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27" t="s">
        <v>34</v>
      </c>
      <c r="C21" s="28"/>
      <c r="D21" s="29"/>
      <c r="E21" s="3"/>
      <c r="F21" s="18" t="s">
        <v>35</v>
      </c>
      <c r="G21" s="37">
        <v>1.66</v>
      </c>
      <c r="H21" s="37">
        <v>1.66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15" t="s">
        <v>36</v>
      </c>
      <c r="C22" s="30">
        <f>'Cash Flow Statement'!E19/'Balance Sheet'!G30</f>
        <v>1.576011158</v>
      </c>
      <c r="D22" s="31">
        <f>'Cash Flow Statement'!F19/'Balance Sheet'!H30</f>
        <v>0.7292747253</v>
      </c>
      <c r="E22" s="3"/>
      <c r="F22" s="18" t="s">
        <v>37</v>
      </c>
      <c r="G22" s="38">
        <v>0.04</v>
      </c>
      <c r="H22" s="38">
        <v>0.04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9" t="s">
        <v>38</v>
      </c>
      <c r="C23" s="40">
        <f>'Cash Flow Statement'!E19+'Cash Flow Statement'!E25</f>
        <v>45301</v>
      </c>
      <c r="D23" s="41">
        <f>'Cash Flow Statement'!F19+'Cash Flow Statement'!F25</f>
        <v>15776</v>
      </c>
      <c r="E23" s="42"/>
      <c r="F23" s="18" t="s">
        <v>39</v>
      </c>
      <c r="G23" s="38">
        <v>0.1</v>
      </c>
      <c r="H23" s="38">
        <v>0.1</v>
      </c>
      <c r="I23" s="3"/>
      <c r="J23" s="3"/>
      <c r="K23" s="3"/>
      <c r="L23" s="2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18" t="s">
        <v>40</v>
      </c>
      <c r="G24" s="38">
        <f t="shared" ref="G24:H24" si="4">G22+G21*(G23-G22)</f>
        <v>0.1396</v>
      </c>
      <c r="H24" s="38">
        <f t="shared" si="4"/>
        <v>0.1396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18" t="s">
        <v>41</v>
      </c>
      <c r="G25" s="38">
        <f>-'Income Statement'!E18/G7</f>
        <v>0.02198061924</v>
      </c>
      <c r="H25" s="38">
        <f>-'Income Statement'!F18/H7</f>
        <v>0.0199814605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18" t="s">
        <v>42</v>
      </c>
      <c r="G26" s="38">
        <f>'Income Statement'!E22/'Income Statement'!E21</f>
        <v>0.1363736843</v>
      </c>
      <c r="H26" s="38">
        <f>'Income Statement'!F22/'Income Statement'!F21</f>
        <v>0.1134841721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13"/>
    <col customWidth="1" min="4" max="4" width="1.88"/>
    <col customWidth="1" min="7" max="9" width="16.25"/>
  </cols>
  <sheetData>
    <row r="2">
      <c r="C2" s="43" t="s">
        <v>43</v>
      </c>
      <c r="D2" s="44"/>
      <c r="E2" s="45"/>
      <c r="F2" s="45"/>
      <c r="G2" s="46" t="s">
        <v>44</v>
      </c>
      <c r="H2" s="46" t="s">
        <v>45</v>
      </c>
      <c r="I2" s="47">
        <v>44828.0</v>
      </c>
    </row>
    <row r="3">
      <c r="C3" s="48" t="s">
        <v>46</v>
      </c>
      <c r="D3" s="3"/>
      <c r="E3" s="3"/>
      <c r="F3" s="3"/>
      <c r="G3" s="3"/>
      <c r="H3" s="3"/>
      <c r="I3" s="49"/>
    </row>
    <row r="4">
      <c r="C4" s="50" t="s">
        <v>47</v>
      </c>
      <c r="D4" s="51" t="s">
        <v>48</v>
      </c>
      <c r="E4" s="3"/>
      <c r="F4" s="3"/>
      <c r="G4" s="52">
        <v>9107.0</v>
      </c>
      <c r="H4" s="52">
        <v>7280.0</v>
      </c>
      <c r="I4" s="52">
        <v>3389.0</v>
      </c>
    </row>
    <row r="5">
      <c r="C5" s="53" t="s">
        <v>49</v>
      </c>
      <c r="D5" s="51" t="s">
        <v>48</v>
      </c>
      <c r="E5" s="3"/>
      <c r="F5" s="3"/>
      <c r="G5" s="52">
        <v>29380.0</v>
      </c>
      <c r="H5" s="52">
        <v>18704.0</v>
      </c>
      <c r="I5" s="52">
        <v>9907.0</v>
      </c>
    </row>
    <row r="6">
      <c r="C6" s="50" t="s">
        <v>50</v>
      </c>
      <c r="D6" s="51" t="s">
        <v>48</v>
      </c>
      <c r="E6" s="3"/>
      <c r="F6" s="3"/>
      <c r="G6" s="52">
        <v>17693.0</v>
      </c>
      <c r="H6" s="52">
        <v>9999.0</v>
      </c>
      <c r="I6" s="52">
        <v>3827.0</v>
      </c>
    </row>
    <row r="7">
      <c r="C7" s="50" t="s">
        <v>51</v>
      </c>
      <c r="D7" s="51" t="s">
        <v>48</v>
      </c>
      <c r="E7" s="3"/>
      <c r="F7" s="3"/>
      <c r="G7" s="52">
        <v>7654.0</v>
      </c>
      <c r="H7" s="52">
        <v>5282.0</v>
      </c>
      <c r="I7" s="52">
        <v>5159.0</v>
      </c>
    </row>
    <row r="8">
      <c r="C8" s="54" t="s">
        <v>52</v>
      </c>
      <c r="D8" s="55" t="s">
        <v>48</v>
      </c>
      <c r="E8" s="56"/>
      <c r="F8" s="56"/>
      <c r="G8" s="57">
        <v>3806.0</v>
      </c>
      <c r="H8" s="57">
        <v>3080.0</v>
      </c>
      <c r="I8" s="57">
        <v>791.0</v>
      </c>
    </row>
    <row r="9">
      <c r="C9" s="3" t="s">
        <v>53</v>
      </c>
      <c r="D9" s="51" t="s">
        <v>48</v>
      </c>
      <c r="E9" s="3"/>
      <c r="F9" s="3"/>
      <c r="G9" s="58">
        <f t="shared" ref="G9:I9" si="1">SUM(G4:G8)</f>
        <v>67640</v>
      </c>
      <c r="H9" s="58">
        <f t="shared" si="1"/>
        <v>44345</v>
      </c>
      <c r="I9" s="59">
        <f t="shared" si="1"/>
        <v>23073</v>
      </c>
    </row>
    <row r="10">
      <c r="C10" s="3"/>
      <c r="D10" s="60"/>
      <c r="E10" s="3"/>
      <c r="F10" s="3"/>
      <c r="G10" s="49"/>
      <c r="H10" s="49"/>
      <c r="I10" s="49"/>
    </row>
    <row r="11">
      <c r="C11" s="61" t="s">
        <v>54</v>
      </c>
      <c r="D11" s="60"/>
      <c r="E11" s="3"/>
      <c r="F11" s="3"/>
      <c r="G11" s="49"/>
      <c r="H11" s="49"/>
      <c r="I11" s="49"/>
    </row>
    <row r="12">
      <c r="C12" s="50" t="s">
        <v>55</v>
      </c>
      <c r="D12" s="51" t="s">
        <v>48</v>
      </c>
      <c r="E12" s="3"/>
      <c r="F12" s="3"/>
      <c r="G12" s="52">
        <v>5343.0</v>
      </c>
      <c r="H12" s="52">
        <v>3914.0</v>
      </c>
      <c r="I12" s="52">
        <v>3807.0</v>
      </c>
    </row>
    <row r="13">
      <c r="C13" s="62" t="s">
        <v>56</v>
      </c>
      <c r="D13" s="51" t="s">
        <v>48</v>
      </c>
      <c r="E13" s="3"/>
      <c r="F13" s="3"/>
      <c r="G13" s="63">
        <v>1755.0</v>
      </c>
      <c r="H13" s="63">
        <v>1346.0</v>
      </c>
      <c r="I13" s="52">
        <v>1038.0</v>
      </c>
    </row>
    <row r="14">
      <c r="C14" s="62" t="s">
        <v>57</v>
      </c>
      <c r="D14" s="51" t="s">
        <v>48</v>
      </c>
      <c r="G14" s="64">
        <v>4724.0</v>
      </c>
      <c r="H14" s="64">
        <v>4430.0</v>
      </c>
      <c r="I14" s="52">
        <v>4372.0</v>
      </c>
    </row>
    <row r="15">
      <c r="C15" s="62" t="s">
        <v>58</v>
      </c>
      <c r="D15" s="51" t="s">
        <v>48</v>
      </c>
      <c r="F15" s="3"/>
      <c r="G15" s="52">
        <v>838.0</v>
      </c>
      <c r="H15" s="52">
        <v>1112.0</v>
      </c>
      <c r="I15" s="52">
        <v>1676.0</v>
      </c>
    </row>
    <row r="16">
      <c r="C16" s="62" t="s">
        <v>59</v>
      </c>
      <c r="D16" s="51" t="s">
        <v>48</v>
      </c>
      <c r="E16" s="3"/>
      <c r="F16" s="3"/>
      <c r="G16" s="52">
        <v>10276.0</v>
      </c>
      <c r="H16" s="52">
        <v>6081.0</v>
      </c>
      <c r="I16" s="52">
        <v>3396.0</v>
      </c>
    </row>
    <row r="17">
      <c r="C17" s="54" t="s">
        <v>60</v>
      </c>
      <c r="D17" s="55" t="s">
        <v>48</v>
      </c>
      <c r="E17" s="56"/>
      <c r="F17" s="56"/>
      <c r="G17" s="52">
        <v>5437.0</v>
      </c>
      <c r="H17" s="52">
        <v>4500.0</v>
      </c>
      <c r="I17" s="52">
        <v>3820.0</v>
      </c>
    </row>
    <row r="18">
      <c r="C18" s="44" t="s">
        <v>61</v>
      </c>
      <c r="D18" s="65" t="s">
        <v>48</v>
      </c>
      <c r="E18" s="44"/>
      <c r="F18" s="44"/>
      <c r="G18" s="66">
        <f t="shared" ref="G18:I18" si="2">SUM(G12:G17) +G9</f>
        <v>96013</v>
      </c>
      <c r="H18" s="66">
        <f t="shared" si="2"/>
        <v>65728</v>
      </c>
      <c r="I18" s="66">
        <f t="shared" si="2"/>
        <v>41182</v>
      </c>
    </row>
    <row r="19">
      <c r="C19" s="3"/>
      <c r="D19" s="60"/>
      <c r="E19" s="3"/>
      <c r="F19" s="3"/>
      <c r="G19" s="49"/>
      <c r="H19" s="49"/>
      <c r="I19" s="49"/>
    </row>
    <row r="20">
      <c r="C20" s="61" t="s">
        <v>62</v>
      </c>
      <c r="D20" s="60"/>
      <c r="E20" s="3"/>
      <c r="F20" s="3"/>
      <c r="G20" s="49"/>
      <c r="H20" s="49"/>
      <c r="I20" s="49"/>
    </row>
    <row r="21">
      <c r="C21" s="50" t="s">
        <v>63</v>
      </c>
      <c r="D21" s="51" t="s">
        <v>48</v>
      </c>
      <c r="E21" s="3"/>
      <c r="F21" s="3"/>
      <c r="G21" s="52">
        <v>5353.0</v>
      </c>
      <c r="H21" s="52">
        <v>2699.0</v>
      </c>
      <c r="I21" s="52">
        <v>1193.0</v>
      </c>
    </row>
    <row r="22">
      <c r="C22" s="53" t="s">
        <v>64</v>
      </c>
      <c r="D22" s="51" t="s">
        <v>48</v>
      </c>
      <c r="E22" s="3"/>
      <c r="F22" s="3"/>
      <c r="G22" s="52">
        <v>11126.0</v>
      </c>
      <c r="H22" s="52">
        <v>6682.0</v>
      </c>
      <c r="I22" s="52">
        <v>4120.0</v>
      </c>
    </row>
    <row r="23">
      <c r="C23" s="54" t="s">
        <v>65</v>
      </c>
      <c r="D23" s="55" t="s">
        <v>48</v>
      </c>
      <c r="E23" s="56"/>
      <c r="F23" s="56"/>
      <c r="G23" s="67">
        <v>0.0</v>
      </c>
      <c r="H23" s="52">
        <v>1250.0</v>
      </c>
      <c r="I23" s="52">
        <v>1250.0</v>
      </c>
    </row>
    <row r="24">
      <c r="C24" s="50" t="s">
        <v>66</v>
      </c>
      <c r="D24" s="51" t="s">
        <v>48</v>
      </c>
      <c r="E24" s="3"/>
      <c r="F24" s="3"/>
      <c r="G24" s="58">
        <f t="shared" ref="G24:I24" si="3">SUM(G21:G23)</f>
        <v>16479</v>
      </c>
      <c r="H24" s="58">
        <f t="shared" si="3"/>
        <v>10631</v>
      </c>
      <c r="I24" s="58">
        <f t="shared" si="3"/>
        <v>6563</v>
      </c>
    </row>
    <row r="25">
      <c r="C25" s="3"/>
      <c r="D25" s="60"/>
      <c r="E25" s="3"/>
      <c r="F25" s="3"/>
      <c r="G25" s="49"/>
      <c r="H25" s="49"/>
      <c r="I25" s="49"/>
    </row>
    <row r="26">
      <c r="C26" s="61" t="s">
        <v>67</v>
      </c>
      <c r="D26" s="60"/>
      <c r="E26" s="3"/>
      <c r="F26" s="3"/>
      <c r="G26" s="49"/>
      <c r="H26" s="49"/>
      <c r="I26" s="49"/>
    </row>
    <row r="27">
      <c r="C27" s="64" t="s">
        <v>68</v>
      </c>
      <c r="D27" s="51" t="s">
        <v>48</v>
      </c>
      <c r="E27" s="3"/>
      <c r="F27" s="3"/>
      <c r="G27" s="52">
        <v>8462.0</v>
      </c>
      <c r="H27" s="52">
        <v>8459.0</v>
      </c>
      <c r="I27" s="52">
        <v>9703.0</v>
      </c>
    </row>
    <row r="28">
      <c r="C28" s="64" t="s">
        <v>69</v>
      </c>
      <c r="D28" s="51" t="s">
        <v>48</v>
      </c>
      <c r="E28" s="3"/>
      <c r="F28" s="3"/>
      <c r="G28" s="52">
        <v>1490.0</v>
      </c>
      <c r="H28" s="52">
        <v>1119.0</v>
      </c>
      <c r="I28" s="52">
        <v>902.0</v>
      </c>
    </row>
    <row r="29">
      <c r="C29" s="68" t="s">
        <v>70</v>
      </c>
      <c r="D29" s="55" t="s">
        <v>48</v>
      </c>
      <c r="E29" s="56"/>
      <c r="F29" s="56"/>
      <c r="G29" s="52">
        <v>3683.0</v>
      </c>
      <c r="H29" s="52">
        <v>2541.0</v>
      </c>
      <c r="I29" s="67">
        <v>1913.0</v>
      </c>
    </row>
    <row r="30">
      <c r="C30" s="44" t="s">
        <v>71</v>
      </c>
      <c r="D30" s="65" t="s">
        <v>48</v>
      </c>
      <c r="E30" s="44"/>
      <c r="F30" s="44"/>
      <c r="G30" s="66">
        <f t="shared" ref="G30:I30" si="4">SUM(G27:G29) + G24</f>
        <v>30114</v>
      </c>
      <c r="H30" s="66">
        <f t="shared" si="4"/>
        <v>22750</v>
      </c>
      <c r="I30" s="66">
        <f t="shared" si="4"/>
        <v>19081</v>
      </c>
    </row>
    <row r="31">
      <c r="C31" s="3"/>
      <c r="D31" s="60"/>
      <c r="E31" s="3"/>
      <c r="F31" s="3"/>
      <c r="G31" s="49"/>
      <c r="H31" s="49"/>
      <c r="I31" s="49"/>
    </row>
    <row r="32">
      <c r="C32" s="61" t="s">
        <v>72</v>
      </c>
      <c r="D32" s="60"/>
      <c r="E32" s="3"/>
      <c r="F32" s="3"/>
      <c r="G32" s="49"/>
      <c r="H32" s="49"/>
      <c r="I32" s="49"/>
    </row>
    <row r="33">
      <c r="C33" s="62" t="s">
        <v>73</v>
      </c>
      <c r="D33" s="51"/>
      <c r="E33" s="3"/>
      <c r="F33" s="3"/>
      <c r="G33" s="63">
        <v>0.0</v>
      </c>
      <c r="H33" s="63">
        <v>0.0</v>
      </c>
      <c r="I33" s="63">
        <v>0.0</v>
      </c>
    </row>
    <row r="34">
      <c r="C34" s="62" t="s">
        <v>74</v>
      </c>
      <c r="D34" s="51" t="s">
        <v>48</v>
      </c>
      <c r="E34" s="3"/>
      <c r="F34" s="3"/>
      <c r="G34" s="63">
        <v>25.0</v>
      </c>
      <c r="H34" s="63">
        <v>25.0</v>
      </c>
      <c r="I34" s="63">
        <v>2.0</v>
      </c>
    </row>
    <row r="35">
      <c r="C35" s="62" t="s">
        <v>75</v>
      </c>
      <c r="D35" s="51" t="s">
        <v>48</v>
      </c>
      <c r="E35" s="3"/>
      <c r="F35" s="3"/>
      <c r="G35" s="52">
        <v>11821.0</v>
      </c>
      <c r="H35" s="52">
        <v>13109.0</v>
      </c>
      <c r="I35" s="52">
        <v>11971.0</v>
      </c>
    </row>
    <row r="36">
      <c r="C36" s="50" t="s">
        <v>76</v>
      </c>
      <c r="D36" s="51" t="s">
        <v>48</v>
      </c>
      <c r="E36" s="3"/>
      <c r="F36" s="3"/>
      <c r="G36" s="52">
        <v>103.0</v>
      </c>
      <c r="H36" s="52">
        <v>27.0</v>
      </c>
      <c r="I36" s="63">
        <v>-43.0</v>
      </c>
    </row>
    <row r="37">
      <c r="C37" s="62" t="s">
        <v>77</v>
      </c>
      <c r="D37" s="51" t="s">
        <v>48</v>
      </c>
      <c r="E37" s="3"/>
      <c r="F37" s="3"/>
      <c r="G37" s="52">
        <v>53950.0</v>
      </c>
      <c r="H37" s="52">
        <v>29817.0</v>
      </c>
      <c r="I37" s="52">
        <v>10171.0</v>
      </c>
    </row>
    <row r="38">
      <c r="C38" s="69" t="s">
        <v>78</v>
      </c>
      <c r="D38" s="55" t="s">
        <v>48</v>
      </c>
      <c r="E38" s="56"/>
      <c r="F38" s="56"/>
      <c r="G38" s="70">
        <f t="shared" ref="G38:I38" si="5">SUM(G32:G37)</f>
        <v>65899</v>
      </c>
      <c r="H38" s="70">
        <f t="shared" si="5"/>
        <v>42978</v>
      </c>
      <c r="I38" s="70">
        <f t="shared" si="5"/>
        <v>22101</v>
      </c>
    </row>
    <row r="39">
      <c r="C39" s="71" t="s">
        <v>79</v>
      </c>
      <c r="D39" s="65" t="s">
        <v>48</v>
      </c>
      <c r="E39" s="44"/>
      <c r="F39" s="44"/>
      <c r="G39" s="72">
        <f t="shared" ref="G39:I39" si="6">G38+G30</f>
        <v>96013</v>
      </c>
      <c r="H39" s="72">
        <f t="shared" si="6"/>
        <v>65728</v>
      </c>
      <c r="I39" s="72">
        <f t="shared" si="6"/>
        <v>41182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33.63"/>
    <col customWidth="1" min="4" max="4" width="16.63"/>
  </cols>
  <sheetData>
    <row r="8">
      <c r="B8" s="73" t="s">
        <v>80</v>
      </c>
      <c r="C8" s="74"/>
      <c r="D8" s="74"/>
      <c r="E8" s="75">
        <v>45592.0</v>
      </c>
      <c r="F8" s="75">
        <v>45228.0</v>
      </c>
    </row>
    <row r="9">
      <c r="B9" s="64" t="s">
        <v>81</v>
      </c>
      <c r="C9" s="51" t="s">
        <v>48</v>
      </c>
      <c r="D9" s="76"/>
      <c r="E9" s="52">
        <v>91166.0</v>
      </c>
      <c r="F9" s="52">
        <v>38819.0</v>
      </c>
    </row>
    <row r="10">
      <c r="B10" s="77" t="s">
        <v>82</v>
      </c>
      <c r="C10" s="55" t="s">
        <v>48</v>
      </c>
      <c r="D10" s="78"/>
      <c r="E10" s="57">
        <v>22031.0</v>
      </c>
      <c r="F10" s="57">
        <v>11309.0</v>
      </c>
    </row>
    <row r="11">
      <c r="B11" s="64" t="s">
        <v>83</v>
      </c>
      <c r="C11" s="51" t="s">
        <v>48</v>
      </c>
      <c r="D11" s="79"/>
      <c r="E11" s="52">
        <f t="shared" ref="E11:F11" si="1">E9-E10</f>
        <v>69135</v>
      </c>
      <c r="F11" s="52">
        <f t="shared" si="1"/>
        <v>27510</v>
      </c>
    </row>
    <row r="12" ht="22.5" customHeight="1">
      <c r="B12" s="64" t="s">
        <v>84</v>
      </c>
      <c r="E12" s="80"/>
      <c r="F12" s="80"/>
    </row>
    <row r="13">
      <c r="B13" s="81" t="s">
        <v>85</v>
      </c>
      <c r="C13" s="51" t="s">
        <v>48</v>
      </c>
      <c r="D13" s="79"/>
      <c r="E13" s="52">
        <v>9200.0</v>
      </c>
      <c r="F13" s="52">
        <v>6210.0</v>
      </c>
    </row>
    <row r="14">
      <c r="B14" s="81" t="s">
        <v>86</v>
      </c>
      <c r="C14" s="51" t="s">
        <v>48</v>
      </c>
      <c r="E14" s="52">
        <v>2516.0</v>
      </c>
      <c r="F14" s="52">
        <v>1942.0</v>
      </c>
    </row>
    <row r="15">
      <c r="B15" s="54" t="s">
        <v>87</v>
      </c>
      <c r="C15" s="55" t="s">
        <v>48</v>
      </c>
      <c r="D15" s="78"/>
      <c r="E15" s="57">
        <f t="shared" ref="E15:F15" si="2">SUM(E13:E14)</f>
        <v>11716</v>
      </c>
      <c r="F15" s="57">
        <f t="shared" si="2"/>
        <v>8152</v>
      </c>
    </row>
    <row r="16">
      <c r="B16" s="77" t="s">
        <v>88</v>
      </c>
      <c r="C16" s="55" t="s">
        <v>48</v>
      </c>
      <c r="D16" s="78"/>
      <c r="E16" s="57">
        <f t="shared" ref="E16:F16" si="3">E11-E15</f>
        <v>57419</v>
      </c>
      <c r="F16" s="57">
        <f t="shared" si="3"/>
        <v>19358</v>
      </c>
    </row>
    <row r="17" ht="23.25" customHeight="1">
      <c r="B17" s="81" t="s">
        <v>89</v>
      </c>
      <c r="C17" s="51" t="s">
        <v>48</v>
      </c>
      <c r="E17" s="52">
        <v>1275.0</v>
      </c>
      <c r="F17" s="52">
        <v>572.0</v>
      </c>
    </row>
    <row r="18">
      <c r="B18" s="81" t="s">
        <v>90</v>
      </c>
      <c r="C18" s="51" t="s">
        <v>48</v>
      </c>
      <c r="E18" s="52">
        <v>-186.0</v>
      </c>
      <c r="F18" s="52">
        <v>-194.0</v>
      </c>
    </row>
    <row r="19">
      <c r="B19" s="77" t="s">
        <v>91</v>
      </c>
      <c r="C19" s="55" t="s">
        <v>48</v>
      </c>
      <c r="D19" s="82"/>
      <c r="E19" s="57">
        <v>301.0</v>
      </c>
      <c r="F19" s="57">
        <v>-24.0</v>
      </c>
    </row>
    <row r="20">
      <c r="B20" s="54" t="s">
        <v>92</v>
      </c>
      <c r="C20" s="55" t="s">
        <v>48</v>
      </c>
      <c r="D20" s="82"/>
      <c r="E20" s="57">
        <f t="shared" ref="E20:F20" si="4">SUM(E17:E19)</f>
        <v>1390</v>
      </c>
      <c r="F20" s="57">
        <f t="shared" si="4"/>
        <v>354</v>
      </c>
    </row>
    <row r="21" ht="25.5" customHeight="1">
      <c r="B21" s="64" t="s">
        <v>93</v>
      </c>
      <c r="C21" s="51" t="s">
        <v>48</v>
      </c>
      <c r="D21" s="79"/>
      <c r="E21" s="52">
        <v>58809.0</v>
      </c>
      <c r="F21" s="52">
        <v>19712.0</v>
      </c>
    </row>
    <row r="22">
      <c r="B22" s="68" t="s">
        <v>94</v>
      </c>
      <c r="C22" s="55" t="s">
        <v>48</v>
      </c>
      <c r="D22" s="78"/>
      <c r="E22" s="57">
        <v>8020.0</v>
      </c>
      <c r="F22" s="57">
        <v>2237.0</v>
      </c>
    </row>
    <row r="23" ht="21.0" customHeight="1">
      <c r="B23" s="83" t="s">
        <v>95</v>
      </c>
      <c r="C23" s="65" t="s">
        <v>48</v>
      </c>
      <c r="D23" s="84"/>
      <c r="E23" s="85">
        <f t="shared" ref="E23:F23" si="5">E21-E22</f>
        <v>50789</v>
      </c>
      <c r="F23" s="85">
        <f t="shared" si="5"/>
        <v>17475</v>
      </c>
    </row>
    <row r="24" ht="27.75" customHeight="1">
      <c r="B24" s="64" t="s">
        <v>96</v>
      </c>
      <c r="E24" s="80"/>
      <c r="F24" s="80"/>
    </row>
    <row r="25">
      <c r="B25" s="86" t="s">
        <v>97</v>
      </c>
      <c r="C25" s="87"/>
      <c r="D25" s="87"/>
      <c r="E25" s="88">
        <v>2.07</v>
      </c>
      <c r="F25" s="88">
        <v>0.71</v>
      </c>
    </row>
    <row r="26">
      <c r="B26" s="86" t="s">
        <v>98</v>
      </c>
      <c r="C26" s="87"/>
      <c r="D26" s="87"/>
      <c r="E26" s="88">
        <v>2.04</v>
      </c>
      <c r="F26" s="88">
        <v>0.7</v>
      </c>
    </row>
    <row r="27" ht="31.5" customHeight="1">
      <c r="B27" s="64" t="s">
        <v>99</v>
      </c>
      <c r="E27" s="80"/>
      <c r="F27" s="80"/>
    </row>
    <row r="28">
      <c r="B28" s="86" t="s">
        <v>97</v>
      </c>
      <c r="C28" s="87"/>
      <c r="D28" s="87"/>
      <c r="E28" s="89">
        <v>24577.0</v>
      </c>
      <c r="F28" s="89">
        <v>24700.0</v>
      </c>
    </row>
    <row r="29">
      <c r="B29" s="86" t="s">
        <v>98</v>
      </c>
      <c r="C29" s="87"/>
      <c r="D29" s="87"/>
      <c r="E29" s="89">
        <v>24837.0</v>
      </c>
      <c r="F29" s="89">
        <v>24940.0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38"/>
    <col customWidth="1" min="3" max="3" width="1.88"/>
    <col customWidth="1" min="6" max="6" width="12.25"/>
  </cols>
  <sheetData>
    <row r="3">
      <c r="B3" s="90" t="s">
        <v>100</v>
      </c>
      <c r="C3" s="74"/>
      <c r="D3" s="74"/>
      <c r="E3" s="91">
        <v>45592.0</v>
      </c>
      <c r="F3" s="91">
        <v>45228.0</v>
      </c>
    </row>
    <row r="4" ht="19.5" customHeight="1">
      <c r="B4" s="92" t="s">
        <v>101</v>
      </c>
      <c r="C4" s="51"/>
    </row>
    <row r="5">
      <c r="B5" s="64" t="s">
        <v>95</v>
      </c>
      <c r="C5" s="51" t="s">
        <v>48</v>
      </c>
      <c r="D5" s="76"/>
      <c r="E5" s="52">
        <v>50789.0</v>
      </c>
      <c r="F5" s="52">
        <v>17475.0</v>
      </c>
    </row>
    <row r="6" ht="21.0" customHeight="1">
      <c r="B6" s="64" t="s">
        <v>102</v>
      </c>
      <c r="C6" s="51"/>
      <c r="E6" s="80"/>
      <c r="F6" s="80"/>
    </row>
    <row r="7">
      <c r="B7" s="64" t="s">
        <v>103</v>
      </c>
      <c r="C7" s="51" t="s">
        <v>48</v>
      </c>
      <c r="D7" s="79"/>
      <c r="E7" s="52">
        <v>3416.0</v>
      </c>
      <c r="F7" s="52">
        <v>2555.0</v>
      </c>
    </row>
    <row r="8">
      <c r="B8" s="64" t="s">
        <v>104</v>
      </c>
      <c r="C8" s="51" t="s">
        <v>48</v>
      </c>
      <c r="D8" s="79"/>
      <c r="E8" s="52">
        <v>1321.0</v>
      </c>
      <c r="F8" s="52">
        <v>1121.0</v>
      </c>
    </row>
    <row r="9">
      <c r="B9" s="64" t="s">
        <v>105</v>
      </c>
      <c r="C9" s="51" t="s">
        <v>48</v>
      </c>
      <c r="D9" s="64"/>
      <c r="E9" s="52">
        <v>-302.0</v>
      </c>
      <c r="F9" s="52">
        <v>24.0</v>
      </c>
    </row>
    <row r="10">
      <c r="B10" s="64" t="s">
        <v>106</v>
      </c>
      <c r="C10" s="51" t="s">
        <v>48</v>
      </c>
      <c r="D10" s="79"/>
      <c r="E10" s="52">
        <v>-3879.0</v>
      </c>
      <c r="F10" s="52">
        <v>-2411.0</v>
      </c>
    </row>
    <row r="11">
      <c r="B11" s="64" t="s">
        <v>107</v>
      </c>
      <c r="C11" s="51" t="s">
        <v>48</v>
      </c>
      <c r="D11" s="64"/>
      <c r="E11" s="52">
        <v>-365.0</v>
      </c>
      <c r="F11" s="52">
        <v>-170.0</v>
      </c>
    </row>
    <row r="12" ht="26.25" customHeight="1">
      <c r="B12" s="92" t="s">
        <v>108</v>
      </c>
      <c r="C12" s="51"/>
      <c r="E12" s="80"/>
      <c r="F12" s="80"/>
    </row>
    <row r="13">
      <c r="B13" s="64" t="s">
        <v>109</v>
      </c>
      <c r="C13" s="51" t="s">
        <v>48</v>
      </c>
      <c r="D13" s="79"/>
      <c r="E13" s="52">
        <v>-7694.0</v>
      </c>
      <c r="F13" s="52">
        <v>-4482.0</v>
      </c>
    </row>
    <row r="14">
      <c r="B14" s="64" t="s">
        <v>51</v>
      </c>
      <c r="C14" s="51" t="s">
        <v>48</v>
      </c>
      <c r="D14" s="79"/>
      <c r="E14" s="52">
        <v>-2357.0</v>
      </c>
      <c r="F14" s="52">
        <v>405.0</v>
      </c>
    </row>
    <row r="15">
      <c r="B15" s="64" t="s">
        <v>110</v>
      </c>
      <c r="C15" s="51" t="s">
        <v>48</v>
      </c>
      <c r="D15" s="64"/>
      <c r="E15" s="52">
        <v>-726.0</v>
      </c>
      <c r="F15" s="52">
        <v>-337.0</v>
      </c>
    </row>
    <row r="16">
      <c r="B16" s="64" t="s">
        <v>63</v>
      </c>
      <c r="C16" s="51" t="s">
        <v>48</v>
      </c>
      <c r="D16" s="79"/>
      <c r="E16" s="52">
        <v>2490.0</v>
      </c>
      <c r="F16" s="52">
        <v>1250.0</v>
      </c>
    </row>
    <row r="17">
      <c r="B17" s="64" t="s">
        <v>64</v>
      </c>
      <c r="C17" s="51" t="s">
        <v>48</v>
      </c>
      <c r="D17" s="79"/>
      <c r="E17" s="52">
        <v>3918.0</v>
      </c>
      <c r="F17" s="52">
        <v>953.0</v>
      </c>
    </row>
    <row r="18">
      <c r="B18" s="68" t="s">
        <v>70</v>
      </c>
      <c r="C18" s="55" t="s">
        <v>48</v>
      </c>
      <c r="D18" s="68"/>
      <c r="E18" s="57">
        <v>849.0</v>
      </c>
      <c r="F18" s="57">
        <v>208.0</v>
      </c>
    </row>
    <row r="19" ht="21.0" customHeight="1">
      <c r="B19" s="83" t="s">
        <v>111</v>
      </c>
      <c r="C19" s="65" t="s">
        <v>48</v>
      </c>
      <c r="D19" s="83"/>
      <c r="E19" s="93">
        <f t="shared" ref="E19:F19" si="1">SUM(E5:E18)</f>
        <v>47460</v>
      </c>
      <c r="F19" s="93">
        <f t="shared" si="1"/>
        <v>16591</v>
      </c>
    </row>
    <row r="20" ht="26.25" customHeight="1">
      <c r="B20" s="92" t="s">
        <v>112</v>
      </c>
      <c r="C20" s="51"/>
      <c r="E20" s="80"/>
      <c r="F20" s="80"/>
    </row>
    <row r="21">
      <c r="B21" s="64" t="s">
        <v>113</v>
      </c>
      <c r="C21" s="51" t="s">
        <v>48</v>
      </c>
      <c r="D21" s="79"/>
      <c r="E21" s="52">
        <v>9485.0</v>
      </c>
      <c r="F21" s="52">
        <v>8001.0</v>
      </c>
    </row>
    <row r="22">
      <c r="B22" s="64" t="s">
        <v>114</v>
      </c>
      <c r="C22" s="51" t="s">
        <v>48</v>
      </c>
      <c r="D22" s="64"/>
      <c r="E22" s="52">
        <v>318.0</v>
      </c>
      <c r="F22" s="52" t="s">
        <v>115</v>
      </c>
    </row>
    <row r="23">
      <c r="B23" s="64" t="s">
        <v>116</v>
      </c>
      <c r="C23" s="51" t="s">
        <v>48</v>
      </c>
      <c r="D23" s="64"/>
      <c r="E23" s="52">
        <v>171.0</v>
      </c>
      <c r="F23" s="52" t="s">
        <v>115</v>
      </c>
    </row>
    <row r="24">
      <c r="B24" s="64" t="s">
        <v>117</v>
      </c>
      <c r="C24" s="51" t="s">
        <v>48</v>
      </c>
      <c r="D24" s="79"/>
      <c r="E24" s="52">
        <v>-19565.0</v>
      </c>
      <c r="F24" s="52">
        <v>-10688.0</v>
      </c>
    </row>
    <row r="25">
      <c r="B25" s="64" t="s">
        <v>118</v>
      </c>
      <c r="C25" s="51" t="s">
        <v>48</v>
      </c>
      <c r="D25" s="79"/>
      <c r="E25" s="52">
        <v>-2159.0</v>
      </c>
      <c r="F25" s="52">
        <v>-815.0</v>
      </c>
    </row>
    <row r="26">
      <c r="B26" s="64" t="s">
        <v>119</v>
      </c>
      <c r="C26" s="51" t="s">
        <v>48</v>
      </c>
      <c r="D26" s="79"/>
      <c r="E26" s="52">
        <v>-1008.0</v>
      </c>
      <c r="F26" s="52">
        <v>-897.0</v>
      </c>
    </row>
    <row r="27">
      <c r="B27" s="64" t="s">
        <v>120</v>
      </c>
      <c r="C27" s="51" t="s">
        <v>48</v>
      </c>
      <c r="D27" s="64"/>
      <c r="E27" s="52">
        <v>-465.0</v>
      </c>
      <c r="F27" s="52">
        <v>-83.0</v>
      </c>
    </row>
    <row r="28">
      <c r="B28" s="68" t="s">
        <v>107</v>
      </c>
      <c r="C28" s="55" t="s">
        <v>48</v>
      </c>
      <c r="D28" s="68"/>
      <c r="E28" s="57" t="s">
        <v>115</v>
      </c>
      <c r="F28" s="57">
        <v>25.0</v>
      </c>
    </row>
    <row r="29" ht="22.5" customHeight="1">
      <c r="B29" s="83" t="s">
        <v>121</v>
      </c>
      <c r="C29" s="65" t="s">
        <v>48</v>
      </c>
      <c r="D29" s="83"/>
      <c r="E29" s="93">
        <f t="shared" ref="E29:F29" si="2">SUM(E21:E28)</f>
        <v>-13223</v>
      </c>
      <c r="F29" s="93">
        <f t="shared" si="2"/>
        <v>-4457</v>
      </c>
    </row>
    <row r="30" ht="29.25" customHeight="1">
      <c r="B30" s="92" t="s">
        <v>122</v>
      </c>
      <c r="C30" s="51"/>
      <c r="E30" s="80"/>
      <c r="F30" s="80"/>
    </row>
    <row r="31">
      <c r="B31" s="64" t="s">
        <v>123</v>
      </c>
      <c r="C31" s="51" t="s">
        <v>48</v>
      </c>
      <c r="D31" s="64"/>
      <c r="E31" s="52">
        <v>489.0</v>
      </c>
      <c r="F31" s="52">
        <v>403.0</v>
      </c>
    </row>
    <row r="32">
      <c r="B32" s="64" t="s">
        <v>124</v>
      </c>
      <c r="C32" s="51" t="s">
        <v>48</v>
      </c>
      <c r="D32" s="79"/>
      <c r="E32" s="52">
        <v>-25895.0</v>
      </c>
      <c r="F32" s="52">
        <v>-6874.0</v>
      </c>
    </row>
    <row r="33">
      <c r="B33" s="64" t="s">
        <v>125</v>
      </c>
      <c r="C33" s="51" t="s">
        <v>48</v>
      </c>
      <c r="D33" s="79"/>
      <c r="E33" s="52">
        <v>-5068.0</v>
      </c>
      <c r="F33" s="52">
        <v>-1942.0</v>
      </c>
    </row>
    <row r="34">
      <c r="B34" s="64" t="s">
        <v>126</v>
      </c>
      <c r="C34" s="51" t="s">
        <v>48</v>
      </c>
      <c r="D34" s="79"/>
      <c r="E34" s="52">
        <v>-1250.0</v>
      </c>
      <c r="F34" s="52">
        <v>-1250.0</v>
      </c>
    </row>
    <row r="35">
      <c r="B35" s="64" t="s">
        <v>127</v>
      </c>
      <c r="C35" s="51" t="s">
        <v>48</v>
      </c>
      <c r="D35" s="64"/>
      <c r="E35" s="52">
        <v>-589.0</v>
      </c>
      <c r="F35" s="52">
        <v>-296.0</v>
      </c>
    </row>
    <row r="36">
      <c r="B36" s="64" t="s">
        <v>128</v>
      </c>
      <c r="C36" s="51" t="s">
        <v>48</v>
      </c>
      <c r="D36" s="64"/>
      <c r="E36" s="52">
        <v>-97.0</v>
      </c>
      <c r="F36" s="52">
        <v>-44.0</v>
      </c>
    </row>
    <row r="37">
      <c r="B37" s="68" t="s">
        <v>107</v>
      </c>
      <c r="C37" s="55" t="s">
        <v>48</v>
      </c>
      <c r="D37" s="68"/>
      <c r="E37" s="57" t="s">
        <v>115</v>
      </c>
      <c r="F37" s="57">
        <v>-1.0</v>
      </c>
    </row>
    <row r="38" ht="22.5" customHeight="1">
      <c r="B38" s="83" t="s">
        <v>129</v>
      </c>
      <c r="C38" s="65" t="s">
        <v>48</v>
      </c>
      <c r="D38" s="65"/>
      <c r="E38" s="93">
        <f t="shared" ref="E38:F38" si="3">SUM(E31:E37)</f>
        <v>-32410</v>
      </c>
      <c r="F38" s="93">
        <f t="shared" si="3"/>
        <v>-10004</v>
      </c>
    </row>
    <row r="39" ht="27.0" customHeight="1">
      <c r="B39" s="64" t="s">
        <v>130</v>
      </c>
      <c r="C39" s="51" t="s">
        <v>48</v>
      </c>
      <c r="D39" s="79"/>
      <c r="E39" s="52">
        <f t="shared" ref="E39:F39" si="4">E38+E29+E19</f>
        <v>1827</v>
      </c>
      <c r="F39" s="52">
        <f t="shared" si="4"/>
        <v>2130</v>
      </c>
    </row>
    <row r="40">
      <c r="B40" s="68" t="s">
        <v>131</v>
      </c>
      <c r="C40" s="55" t="s">
        <v>48</v>
      </c>
      <c r="D40" s="68"/>
      <c r="E40" s="57">
        <v>7280.0</v>
      </c>
      <c r="F40" s="57">
        <v>3389.0</v>
      </c>
    </row>
    <row r="41" ht="23.25" customHeight="1">
      <c r="B41" s="83" t="s">
        <v>132</v>
      </c>
      <c r="C41" s="65" t="s">
        <v>48</v>
      </c>
      <c r="D41" s="83"/>
      <c r="E41" s="85">
        <f t="shared" ref="E41:F41" si="5">SUM(E39:E40)</f>
        <v>9107</v>
      </c>
      <c r="F41" s="85">
        <f t="shared" si="5"/>
        <v>5519</v>
      </c>
    </row>
    <row r="42" ht="47.25" customHeight="1">
      <c r="B42" s="92" t="s">
        <v>133</v>
      </c>
      <c r="C42" s="51"/>
      <c r="E42" s="80"/>
      <c r="F42" s="80"/>
    </row>
    <row r="43">
      <c r="B43" s="64" t="s">
        <v>134</v>
      </c>
      <c r="C43" s="51" t="s">
        <v>48</v>
      </c>
      <c r="D43" s="76"/>
      <c r="E43" s="52">
        <v>10989.0</v>
      </c>
      <c r="F43" s="52">
        <v>4676.0</v>
      </c>
    </row>
  </sheetData>
  <drawing r:id="rId1"/>
</worksheet>
</file>