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ade/Documents/GitHub/Wood-Carbon/rawData/"/>
    </mc:Choice>
  </mc:AlternateContent>
  <xr:revisionPtr revIDLastSave="0" documentId="13_ncr:1_{B41A42FC-749E-6946-BBFB-9B8C6FE64614}" xr6:coauthVersionLast="47" xr6:coauthVersionMax="47" xr10:uidLastSave="{00000000-0000-0000-0000-000000000000}"/>
  <bookViews>
    <workbookView xWindow="-38260" yWindow="-1900" windowWidth="30620" windowHeight="21000" xr2:uid="{D7314C47-DCFB-1A45-BB4B-0ADDE6497F76}"/>
  </bookViews>
  <sheets>
    <sheet name="processes" sheetId="1" r:id="rId1"/>
    <sheet name="woodtype" sheetId="3" r:id="rId2"/>
    <sheet name="Conversions" sheetId="2" r:id="rId3"/>
    <sheet name="references" sheetId="4" r:id="rId4"/>
  </sheets>
  <definedNames>
    <definedName name="_xlnm._FilterDatabase" localSheetId="0" hidden="1">processes!$A$1:$R$32</definedName>
    <definedName name="_xlnm._FilterDatabase" localSheetId="1" hidden="1">woodtype!$A$1:$N$1</definedName>
    <definedName name="C_to_CO2">Conversions!$B$4</definedName>
    <definedName name="kg_to_m3">Conversions!$B$2</definedName>
    <definedName name="t_to_m3">Conversions!$B$1</definedName>
    <definedName name="tC_to_m3">Conversions!$B$3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O23" i="1"/>
  <c r="P23" i="1" s="1"/>
  <c r="O19" i="1"/>
  <c r="P19" i="1" s="1"/>
  <c r="K4" i="1"/>
  <c r="O4" i="1" s="1"/>
  <c r="K21" i="1"/>
  <c r="O21" i="1" s="1"/>
  <c r="P21" i="1" s="1"/>
  <c r="K12" i="1"/>
  <c r="O12" i="1" s="1"/>
  <c r="P12" i="1" s="1"/>
  <c r="K14" i="1"/>
  <c r="O14" i="1" s="1"/>
  <c r="P14" i="1" s="1"/>
  <c r="N9" i="3"/>
  <c r="M3" i="3"/>
  <c r="M4" i="3"/>
  <c r="M9" i="3"/>
  <c r="M6" i="3"/>
  <c r="M5" i="3"/>
  <c r="M7" i="3"/>
  <c r="M8" i="3"/>
  <c r="M2" i="3"/>
  <c r="M12" i="3"/>
  <c r="M10" i="3"/>
  <c r="M11" i="3"/>
  <c r="O31" i="1"/>
  <c r="P31" i="1" s="1"/>
  <c r="O13" i="1"/>
  <c r="P13" i="1" s="1"/>
  <c r="O16" i="1"/>
  <c r="P16" i="1" s="1"/>
  <c r="O18" i="1"/>
  <c r="P18" i="1" s="1"/>
  <c r="O17" i="1"/>
  <c r="P17" i="1" s="1"/>
  <c r="O15" i="1"/>
  <c r="P15" i="1" s="1"/>
  <c r="D11" i="4"/>
  <c r="D10" i="4"/>
  <c r="D9" i="4"/>
  <c r="D8" i="4"/>
  <c r="D7" i="4"/>
  <c r="O8" i="1"/>
  <c r="P8" i="1" s="1"/>
  <c r="O3" i="1"/>
  <c r="P3" i="1" s="1"/>
  <c r="O6" i="1"/>
  <c r="P6" i="1"/>
  <c r="O7" i="1"/>
  <c r="P7" i="1"/>
  <c r="O26" i="1"/>
  <c r="P26" i="1"/>
  <c r="P27" i="1"/>
  <c r="O27" i="1"/>
  <c r="O29" i="1"/>
  <c r="P29" i="1" s="1"/>
  <c r="O30" i="1"/>
  <c r="P30" i="1" s="1"/>
  <c r="O32" i="1"/>
  <c r="P32" i="1" s="1"/>
  <c r="O22" i="1"/>
  <c r="P22" i="1" s="1"/>
  <c r="O24" i="1"/>
  <c r="P24" i="1" s="1"/>
  <c r="O20" i="1"/>
  <c r="P20" i="1" s="1"/>
  <c r="O10" i="1"/>
  <c r="P10" i="1" s="1"/>
  <c r="O9" i="1"/>
  <c r="P9" i="1" s="1"/>
  <c r="O5" i="1"/>
  <c r="P5" i="1" s="1"/>
  <c r="O25" i="1"/>
  <c r="P25" i="1" s="1"/>
  <c r="I13" i="3"/>
  <c r="M13" i="3" s="1"/>
  <c r="K11" i="1"/>
  <c r="O11" i="1" s="1"/>
  <c r="P11" i="1" s="1"/>
  <c r="K2" i="1"/>
  <c r="O2" i="1" s="1"/>
  <c r="B4" i="2"/>
  <c r="E1" i="2"/>
  <c r="B2" i="2" s="1"/>
  <c r="P2" i="1" l="1"/>
  <c r="P4" i="1"/>
  <c r="B1" i="2"/>
  <c r="B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tc={00B60088-0080-489A-8313-00FA007800FE}</author>
  </authors>
  <commentList>
    <comment ref="E1" authorId="0" shapeId="0" xr:uid="{22BDC3C0-8B8E-3A42-929A-FAA879AE70BE}">
      <text>
        <r>
          <rPr>
            <sz val="12"/>
            <color rgb="FF000000"/>
            <rFont val="Calibri"/>
            <family val="2"/>
          </rPr>
          <t xml:space="preserve">[Commentaire à thread]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Votre version d’Excel vous permet de lire ce commentaire à thread. Toutefois, les modifications qui y sont apportées seront supprimées si le fichier est ouvert dans une version plus récente d’Excel. En savoir plus 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Commentaire :
</t>
        </r>
        <r>
          <rPr>
            <sz val="12"/>
            <color rgb="FF000000"/>
            <rFont val="Calibri"/>
            <family val="2"/>
          </rPr>
          <t xml:space="preserve">    400 pour du résineux mais pour du feuillu on est plutôt à 580. Moyenne des deux ?
</t>
        </r>
      </text>
    </comment>
  </commentList>
</comments>
</file>

<file path=xl/sharedStrings.xml><?xml version="1.0" encoding="utf-8"?>
<sst xmlns="http://schemas.openxmlformats.org/spreadsheetml/2006/main" count="476" uniqueCount="159">
  <si>
    <t>Ex-situ</t>
  </si>
  <si>
    <t>Products</t>
  </si>
  <si>
    <t>Situ</t>
  </si>
  <si>
    <t>PoolFlux</t>
  </si>
  <si>
    <t>Compartment</t>
  </si>
  <si>
    <t>unit</t>
  </si>
  <si>
    <t>InSitu</t>
  </si>
  <si>
    <t>reference</t>
  </si>
  <si>
    <t>ExSitu</t>
  </si>
  <si>
    <t>Flux</t>
  </si>
  <si>
    <t>variable name in reference</t>
  </si>
  <si>
    <t>value</t>
  </si>
  <si>
    <t>unused extraction</t>
  </si>
  <si>
    <t>MtC/yr</t>
  </si>
  <si>
    <t>used extraction</t>
  </si>
  <si>
    <t>lost during process</t>
  </si>
  <si>
    <t>input to energy pool</t>
  </si>
  <si>
    <t>used extraction for energy</t>
  </si>
  <si>
    <t>Bais_2015</t>
  </si>
  <si>
    <t>year</t>
  </si>
  <si>
    <t>Johnston_2019</t>
  </si>
  <si>
    <t>input to HWP</t>
  </si>
  <si>
    <t>MtCO2/yr</t>
  </si>
  <si>
    <t>m3/yr</t>
  </si>
  <si>
    <t>global harvest</t>
  </si>
  <si>
    <t>Peng_2023</t>
  </si>
  <si>
    <t>wood harvest</t>
  </si>
  <si>
    <t>industrial roundwood</t>
  </si>
  <si>
    <t>Mm3</t>
  </si>
  <si>
    <t>sawnwood</t>
  </si>
  <si>
    <t>substitutionDatabaseVariable</t>
  </si>
  <si>
    <t>complement</t>
  </si>
  <si>
    <t>products storage C</t>
  </si>
  <si>
    <t>harvest to fuelwood</t>
  </si>
  <si>
    <t>industrial waste</t>
  </si>
  <si>
    <t>plywood+particleboard+fiberboard</t>
  </si>
  <si>
    <t>input to sawnwod+poles,piling,posts</t>
  </si>
  <si>
    <t>paper and paperboard production</t>
  </si>
  <si>
    <t>wood panel</t>
  </si>
  <si>
    <t>t_to_m3</t>
  </si>
  <si>
    <t>Wood density</t>
  </si>
  <si>
    <t>kg/m3</t>
  </si>
  <si>
    <t>dry wood</t>
  </si>
  <si>
    <t>IPCC 2006</t>
  </si>
  <si>
    <t>kg_to_m3</t>
  </si>
  <si>
    <t>Carbon density</t>
  </si>
  <si>
    <t>tC/t dry matter</t>
  </si>
  <si>
    <t>tC_to_m3</t>
  </si>
  <si>
    <t>C_to_CO2</t>
  </si>
  <si>
    <t>Miner_2007</t>
  </si>
  <si>
    <t>final products</t>
  </si>
  <si>
    <t>sequestration in products in use</t>
  </si>
  <si>
    <t>sequestration in products in landfill</t>
  </si>
  <si>
    <t>methane emissions from landfill+mill wastes</t>
  </si>
  <si>
    <t>tCO2/yr</t>
  </si>
  <si>
    <t>UNECE</t>
  </si>
  <si>
    <t>biogenic</t>
  </si>
  <si>
    <t>fossil</t>
  </si>
  <si>
    <t>PgC/yr</t>
  </si>
  <si>
    <t>Ma_2017 cited in Zhao 2019</t>
  </si>
  <si>
    <t>NEP</t>
  </si>
  <si>
    <t>GtCO2/yr</t>
  </si>
  <si>
    <t>Harris_2021</t>
  </si>
  <si>
    <t>Grassi_2022</t>
  </si>
  <si>
    <t>2001-2019</t>
  </si>
  <si>
    <t>2000-2020</t>
  </si>
  <si>
    <t>stage</t>
  </si>
  <si>
    <t>Extraction</t>
  </si>
  <si>
    <t>Growth</t>
  </si>
  <si>
    <t>Production</t>
  </si>
  <si>
    <t>Operation</t>
  </si>
  <si>
    <t>harvest and transport</t>
  </si>
  <si>
    <t>Mm3/yr</t>
  </si>
  <si>
    <t>Global woody biomass harvest volume h</t>
  </si>
  <si>
    <t>Lauri_2019</t>
  </si>
  <si>
    <t>papers</t>
  </si>
  <si>
    <t>https://core.ac.uk/download/pdf/237490482.pdf</t>
  </si>
  <si>
    <t>Han_Park_</t>
  </si>
  <si>
    <t>https://www.mdpi.com/2072-4292/13/8/1441</t>
  </si>
  <si>
    <t>IPCC</t>
  </si>
  <si>
    <t>https://www.grida.no/climate/ipcc/land_use/024.htm</t>
  </si>
  <si>
    <t>Haberl_2007</t>
  </si>
  <si>
    <t>wood harvest losses</t>
  </si>
  <si>
    <t>Vitousek et al cited by Haberl_2007</t>
  </si>
  <si>
    <t>% of stock</t>
  </si>
  <si>
    <t>James_2016</t>
  </si>
  <si>
    <t>https://www.mdpi.com/1999-4907/7/12/308?ref=rewilding-magazine</t>
  </si>
  <si>
    <t>Nave_2009</t>
  </si>
  <si>
    <t>harvest impact on soil C</t>
  </si>
  <si>
    <t>total amount of forest soil C from Pan : 383PgC</t>
  </si>
  <si>
    <t>TgC/yr</t>
  </si>
  <si>
    <t>2000-2007</t>
  </si>
  <si>
    <t>harvested wood product</t>
  </si>
  <si>
    <t>Pan_2011</t>
  </si>
  <si>
    <t>https://www.nature.com/articles/s41597-022-01332-3/tables/6</t>
  </si>
  <si>
    <t>managed forest area</t>
  </si>
  <si>
    <t>Lesiv_2022</t>
  </si>
  <si>
    <t>https://www.globalcarbonproject.org/global/pdf/pep/Pan.etal.science.Forest_Sink.pdf</t>
  </si>
  <si>
    <t>total forest area</t>
  </si>
  <si>
    <t>biomass stock change per area</t>
  </si>
  <si>
    <t>soil stock</t>
  </si>
  <si>
    <t>table2</t>
  </si>
  <si>
    <t>text</t>
  </si>
  <si>
    <t>ha</t>
  </si>
  <si>
    <t>soil stock in managed forests soils</t>
  </si>
  <si>
    <t>TgC/yr/ha</t>
  </si>
  <si>
    <t>Achat_2015</t>
  </si>
  <si>
    <t>https://www.nature.com/articles/srep15991</t>
  </si>
  <si>
    <t>TgC</t>
  </si>
  <si>
    <t>value MtCO2/yr</t>
  </si>
  <si>
    <t>value GtCO2/yr</t>
  </si>
  <si>
    <t>low estimate for intensive management</t>
  </si>
  <si>
    <t>high estimate for intensive management</t>
  </si>
  <si>
    <t>european temperate</t>
  </si>
  <si>
    <t>forestry dominated landscapes comprised of both plantations and natural and semi-natural forests</t>
  </si>
  <si>
    <t>GtCO2e/yr</t>
  </si>
  <si>
    <t>gross emissions from harvest</t>
  </si>
  <si>
    <t>net sink</t>
  </si>
  <si>
    <t>global forests</t>
  </si>
  <si>
    <t>only CO2, only forest</t>
  </si>
  <si>
    <t>https://www.nature.com/articles/s41558-020-00976-6#Sec5</t>
  </si>
  <si>
    <t>https://www.sciencedirect.com/science/article/pii/S0378112715002881</t>
  </si>
  <si>
    <t xml:space="preserve">only per area values </t>
  </si>
  <si>
    <t>Noormets_2015</t>
  </si>
  <si>
    <t>"globally, in 2015"</t>
  </si>
  <si>
    <t>forest perimeter</t>
  </si>
  <si>
    <t>wood fuel</t>
  </si>
  <si>
    <t>energy</t>
  </si>
  <si>
    <t>1000m3</t>
  </si>
  <si>
    <t>FAOYearbookForestProducts</t>
  </si>
  <si>
    <t>wood-based panels</t>
  </si>
  <si>
    <t>wood pellets</t>
  </si>
  <si>
    <t>wood pulp</t>
  </si>
  <si>
    <t>paper and paper board</t>
  </si>
  <si>
    <t>roundwood</t>
  </si>
  <si>
    <t>timber</t>
  </si>
  <si>
    <t>pulpPaper</t>
  </si>
  <si>
    <t>upstream</t>
  </si>
  <si>
    <t>value Mm3</t>
  </si>
  <si>
    <t>soilC</t>
  </si>
  <si>
    <t>harv_residues</t>
  </si>
  <si>
    <t>products_storage_C</t>
  </si>
  <si>
    <t>forestry_emiss</t>
  </si>
  <si>
    <t>manufacturing_emiss</t>
  </si>
  <si>
    <t>https://www.science.org/doi/10.1126/science.1201609</t>
  </si>
  <si>
    <t>https://www.pnas.org/doi/abs/10.1073/pnas.0704243104</t>
  </si>
  <si>
    <t>https://www.ncasi.org/wp-content/uploads/2019/02/Miner_Perez-Garcia_FPJ_Oct07.pdf</t>
  </si>
  <si>
    <t>eol_biogenic_energy</t>
  </si>
  <si>
    <t>eol_biogenic_disposal</t>
  </si>
  <si>
    <t>Pan_2024</t>
  </si>
  <si>
    <t>net forest sinnk</t>
  </si>
  <si>
    <t>FluxDirection</t>
  </si>
  <si>
    <t>Emission</t>
  </si>
  <si>
    <t>Sequestration</t>
  </si>
  <si>
    <t>live_biomass_in</t>
  </si>
  <si>
    <t>AgregationLevel</t>
  </si>
  <si>
    <t>Source</t>
  </si>
  <si>
    <t>DataSynthesis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</si>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</sst>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ture.com/articles/s41558-020-00976-6" TargetMode="External"/><Relationship Id="rId1" Type="http://schemas.openxmlformats.org/officeDocument/2006/relationships/hyperlink" Target="https://www.nature.com/articles/srep159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F148-1FFC-7242-B550-BD89945A0684}">
  <dimension ref="A1:P32"/>
  <sheetViews>
    <sheetView tabSelected="1" workbookViewId="0">
      <selection activeCell="Q6" sqref="Q6"/>
    </sheetView>
  </sheetViews>
  <sheetFormatPr baseColWidth="10" defaultRowHeight="16" x14ac:dyDescent="0.2"/>
  <cols>
    <col min="1" max="1" width="8.6640625" customWidth="1"/>
    <col min="2" max="2" width="6.83203125" customWidth="1"/>
    <col min="3" max="4" width="20.83203125" customWidth="1"/>
    <col min="5" max="6" width="9.33203125" customWidth="1"/>
    <col min="7" max="7" width="26.1640625" bestFit="1" customWidth="1"/>
    <col min="8" max="8" width="27.33203125" bestFit="1" customWidth="1"/>
    <col min="9" max="9" width="8.6640625" customWidth="1"/>
    <col min="10" max="10" width="8.33203125" customWidth="1"/>
    <col min="11" max="11" width="11.1640625" bestFit="1" customWidth="1"/>
    <col min="15" max="15" width="12.1640625" bestFit="1" customWidth="1"/>
    <col min="16" max="16" width="19.33203125" customWidth="1"/>
  </cols>
  <sheetData>
    <row r="1" spans="1:16" x14ac:dyDescent="0.2">
      <c r="A1" t="s">
        <v>156</v>
      </c>
      <c r="B1" t="s">
        <v>2</v>
      </c>
      <c r="C1" t="s">
        <v>151</v>
      </c>
      <c r="D1" t="s">
        <v>155</v>
      </c>
      <c r="E1" t="s">
        <v>4</v>
      </c>
      <c r="F1" t="s">
        <v>66</v>
      </c>
      <c r="G1" t="s">
        <v>30</v>
      </c>
      <c r="H1" t="s">
        <v>10</v>
      </c>
      <c r="I1" t="s">
        <v>31</v>
      </c>
      <c r="J1" t="s">
        <v>125</v>
      </c>
      <c r="K1" t="s">
        <v>11</v>
      </c>
      <c r="L1" t="s">
        <v>5</v>
      </c>
      <c r="M1" t="s">
        <v>7</v>
      </c>
      <c r="N1" t="s">
        <v>19</v>
      </c>
      <c r="O1" t="s">
        <v>109</v>
      </c>
      <c r="P1" t="s">
        <v>110</v>
      </c>
    </row>
    <row r="2" spans="1:16" x14ac:dyDescent="0.2">
      <c r="A2" t="s">
        <v>157</v>
      </c>
      <c r="B2" t="s">
        <v>6</v>
      </c>
      <c r="C2" t="s">
        <v>153</v>
      </c>
      <c r="D2">
        <v>0</v>
      </c>
      <c r="E2" t="s">
        <v>56</v>
      </c>
      <c r="F2" t="s">
        <v>67</v>
      </c>
      <c r="G2" t="s">
        <v>158</v>
      </c>
      <c r="H2" t="s">
        <v>24</v>
      </c>
      <c r="K2">
        <f>3.78*10^9</f>
        <v>3780000000</v>
      </c>
      <c r="L2" t="s">
        <v>23</v>
      </c>
      <c r="M2" t="s">
        <v>20</v>
      </c>
      <c r="N2">
        <v>2015</v>
      </c>
      <c r="O2">
        <f>K2/tC_to_m3/10^6*C_to_CO2</f>
        <v>3194.8597799999998</v>
      </c>
      <c r="P2">
        <f>O2/1000</f>
        <v>3.1948597799999998</v>
      </c>
    </row>
    <row r="3" spans="1:16" x14ac:dyDescent="0.2">
      <c r="A3" t="s">
        <v>157</v>
      </c>
      <c r="B3" t="s">
        <v>6</v>
      </c>
      <c r="C3" t="s">
        <v>153</v>
      </c>
      <c r="D3">
        <v>0</v>
      </c>
      <c r="E3" t="s">
        <v>56</v>
      </c>
      <c r="F3" t="s">
        <v>67</v>
      </c>
      <c r="G3" t="s">
        <v>158</v>
      </c>
      <c r="H3" t="s">
        <v>73</v>
      </c>
      <c r="K3">
        <v>3777</v>
      </c>
      <c r="L3" t="s">
        <v>72</v>
      </c>
      <c r="M3" t="s">
        <v>74</v>
      </c>
      <c r="N3">
        <v>2017</v>
      </c>
      <c r="O3">
        <f>K3/tC_to_m3*C_to_CO2</f>
        <v>3192.3241769999995</v>
      </c>
      <c r="P3">
        <f>O3/1000</f>
        <v>3.1923241769999997</v>
      </c>
    </row>
    <row r="4" spans="1:16" x14ac:dyDescent="0.2">
      <c r="A4" t="s">
        <v>157</v>
      </c>
      <c r="B4" t="s">
        <v>6</v>
      </c>
      <c r="C4" t="s">
        <v>153</v>
      </c>
      <c r="D4">
        <v>0</v>
      </c>
      <c r="E4" t="s">
        <v>56</v>
      </c>
      <c r="F4" t="s">
        <v>67</v>
      </c>
      <c r="G4" t="s">
        <v>158</v>
      </c>
      <c r="H4" t="s">
        <v>26</v>
      </c>
      <c r="K4">
        <f>3.7*10^9</f>
        <v>3700000000</v>
      </c>
      <c r="L4" t="s">
        <v>23</v>
      </c>
      <c r="M4" t="s">
        <v>25</v>
      </c>
      <c r="N4">
        <v>2010</v>
      </c>
      <c r="O4">
        <f>K4/tC_to_m3*C_to_CO2/10^6</f>
        <v>3127.2437</v>
      </c>
      <c r="P4">
        <f>O4/1000</f>
        <v>3.1272437000000002</v>
      </c>
    </row>
    <row r="5" spans="1:16" x14ac:dyDescent="0.2">
      <c r="A5" t="s">
        <v>157</v>
      </c>
      <c r="B5" t="s">
        <v>6</v>
      </c>
      <c r="C5" t="s">
        <v>153</v>
      </c>
      <c r="D5">
        <v>0</v>
      </c>
      <c r="E5" t="s">
        <v>56</v>
      </c>
      <c r="F5" t="s">
        <v>67</v>
      </c>
      <c r="G5" t="s">
        <v>158</v>
      </c>
      <c r="H5" t="s">
        <v>14</v>
      </c>
      <c r="J5" t="s">
        <v>118</v>
      </c>
      <c r="K5">
        <v>1050</v>
      </c>
      <c r="L5" t="s">
        <v>13</v>
      </c>
      <c r="M5" t="s">
        <v>18</v>
      </c>
      <c r="N5">
        <v>2010</v>
      </c>
      <c r="O5">
        <f>K5*C_to_CO2</f>
        <v>3853.5</v>
      </c>
      <c r="P5">
        <f>O5/1000</f>
        <v>3.8534999999999999</v>
      </c>
    </row>
    <row r="6" spans="1:16" x14ac:dyDescent="0.2">
      <c r="A6" t="s">
        <v>157</v>
      </c>
      <c r="B6" t="s">
        <v>6</v>
      </c>
      <c r="C6" t="s">
        <v>153</v>
      </c>
      <c r="D6">
        <v>0</v>
      </c>
      <c r="E6" t="s">
        <v>56</v>
      </c>
      <c r="F6" t="s">
        <v>67</v>
      </c>
      <c r="G6" t="s">
        <v>158</v>
      </c>
      <c r="H6" t="s">
        <v>26</v>
      </c>
      <c r="K6">
        <v>0.97</v>
      </c>
      <c r="L6" t="s">
        <v>58</v>
      </c>
      <c r="M6" t="s">
        <v>81</v>
      </c>
      <c r="N6">
        <v>2007</v>
      </c>
      <c r="O6">
        <f>K6*10^3*C_to_CO2</f>
        <v>3559.9</v>
      </c>
      <c r="P6">
        <f>K6*C_to_CO2</f>
        <v>3.5598999999999998</v>
      </c>
    </row>
    <row r="7" spans="1:16" x14ac:dyDescent="0.2">
      <c r="A7" t="s">
        <v>157</v>
      </c>
      <c r="B7" t="s">
        <v>6</v>
      </c>
      <c r="C7" t="s">
        <v>153</v>
      </c>
      <c r="D7">
        <v>0</v>
      </c>
      <c r="E7" t="s">
        <v>56</v>
      </c>
      <c r="F7" t="s">
        <v>67</v>
      </c>
      <c r="G7" t="s">
        <v>158</v>
      </c>
      <c r="H7" t="s">
        <v>26</v>
      </c>
      <c r="K7">
        <v>1.1000000000000001</v>
      </c>
      <c r="L7" t="s">
        <v>58</v>
      </c>
      <c r="M7" t="s">
        <v>83</v>
      </c>
      <c r="O7">
        <f>K7*10^3*C_to_CO2</f>
        <v>4037</v>
      </c>
      <c r="P7">
        <f>K7*C_to_CO2</f>
        <v>4.0369999999999999</v>
      </c>
    </row>
    <row r="8" spans="1:16" x14ac:dyDescent="0.2">
      <c r="A8" t="s">
        <v>157</v>
      </c>
      <c r="B8" t="s">
        <v>6</v>
      </c>
      <c r="C8" t="s">
        <v>153</v>
      </c>
      <c r="D8">
        <v>0</v>
      </c>
      <c r="E8" t="s">
        <v>56</v>
      </c>
      <c r="F8" t="s">
        <v>67</v>
      </c>
      <c r="G8" t="s">
        <v>141</v>
      </c>
      <c r="H8" t="s">
        <v>92</v>
      </c>
      <c r="K8">
        <v>189</v>
      </c>
      <c r="L8" t="s">
        <v>90</v>
      </c>
      <c r="M8" t="s">
        <v>93</v>
      </c>
      <c r="N8" t="s">
        <v>91</v>
      </c>
      <c r="O8">
        <f>K8*C_to_CO2</f>
        <v>693.63</v>
      </c>
      <c r="P8">
        <f t="shared" ref="P8:P13" si="0">O8/1000</f>
        <v>0.69362999999999997</v>
      </c>
    </row>
    <row r="9" spans="1:16" x14ac:dyDescent="0.2">
      <c r="A9" t="s">
        <v>157</v>
      </c>
      <c r="B9" t="s">
        <v>8</v>
      </c>
      <c r="C9" t="s">
        <v>153</v>
      </c>
      <c r="D9">
        <v>0</v>
      </c>
      <c r="E9" t="s">
        <v>56</v>
      </c>
      <c r="F9" t="s">
        <v>70</v>
      </c>
      <c r="G9" t="s">
        <v>141</v>
      </c>
      <c r="H9" t="s">
        <v>21</v>
      </c>
      <c r="K9">
        <v>335</v>
      </c>
      <c r="L9" t="s">
        <v>22</v>
      </c>
      <c r="M9" t="s">
        <v>20</v>
      </c>
      <c r="N9">
        <v>2015</v>
      </c>
      <c r="O9">
        <f>K9</f>
        <v>335</v>
      </c>
      <c r="P9">
        <f t="shared" si="0"/>
        <v>0.33500000000000002</v>
      </c>
    </row>
    <row r="10" spans="1:16" x14ac:dyDescent="0.2">
      <c r="A10" t="s">
        <v>157</v>
      </c>
      <c r="B10" t="s">
        <v>8</v>
      </c>
      <c r="C10" t="s">
        <v>153</v>
      </c>
      <c r="D10">
        <v>0</v>
      </c>
      <c r="E10" t="s">
        <v>56</v>
      </c>
      <c r="F10" t="s">
        <v>70</v>
      </c>
      <c r="G10" t="s">
        <v>141</v>
      </c>
      <c r="H10" t="s">
        <v>51</v>
      </c>
      <c r="I10" t="s">
        <v>50</v>
      </c>
      <c r="K10">
        <v>200</v>
      </c>
      <c r="L10" t="s">
        <v>22</v>
      </c>
      <c r="M10" t="s">
        <v>49</v>
      </c>
      <c r="N10">
        <v>2007</v>
      </c>
      <c r="O10">
        <f>K10</f>
        <v>200</v>
      </c>
      <c r="P10">
        <f t="shared" si="0"/>
        <v>0.2</v>
      </c>
    </row>
    <row r="11" spans="1:16" x14ac:dyDescent="0.2">
      <c r="A11" t="s">
        <v>157</v>
      </c>
      <c r="B11" t="s">
        <v>8</v>
      </c>
      <c r="C11" t="s">
        <v>153</v>
      </c>
      <c r="D11">
        <v>0</v>
      </c>
      <c r="E11" t="s">
        <v>56</v>
      </c>
      <c r="F11" t="s">
        <v>70</v>
      </c>
      <c r="G11" t="s">
        <v>141</v>
      </c>
      <c r="J11" t="s">
        <v>124</v>
      </c>
      <c r="K11">
        <f>0.47*10^9</f>
        <v>470000000</v>
      </c>
      <c r="L11" t="s">
        <v>54</v>
      </c>
      <c r="M11" t="s">
        <v>55</v>
      </c>
      <c r="N11">
        <v>2015</v>
      </c>
      <c r="O11">
        <f>K11/10^6</f>
        <v>470</v>
      </c>
      <c r="P11">
        <f t="shared" si="0"/>
        <v>0.47</v>
      </c>
    </row>
    <row r="12" spans="1:16" x14ac:dyDescent="0.2">
      <c r="A12" t="s">
        <v>157</v>
      </c>
      <c r="B12" t="s">
        <v>8</v>
      </c>
      <c r="C12" t="s">
        <v>152</v>
      </c>
      <c r="D12">
        <v>0</v>
      </c>
      <c r="E12" t="s">
        <v>57</v>
      </c>
      <c r="F12" t="s">
        <v>69</v>
      </c>
      <c r="G12" t="s">
        <v>142</v>
      </c>
      <c r="H12" t="s">
        <v>71</v>
      </c>
      <c r="K12">
        <f>40+30</f>
        <v>70</v>
      </c>
      <c r="L12" t="s">
        <v>22</v>
      </c>
      <c r="M12" t="s">
        <v>49</v>
      </c>
      <c r="N12">
        <v>2007</v>
      </c>
      <c r="O12">
        <f>K12</f>
        <v>70</v>
      </c>
      <c r="P12">
        <f t="shared" si="0"/>
        <v>7.0000000000000007E-2</v>
      </c>
    </row>
    <row r="13" spans="1:16" x14ac:dyDescent="0.2">
      <c r="A13" t="s">
        <v>157</v>
      </c>
      <c r="B13" t="s">
        <v>6</v>
      </c>
      <c r="C13" t="s">
        <v>152</v>
      </c>
      <c r="D13">
        <v>0</v>
      </c>
      <c r="E13" t="s">
        <v>56</v>
      </c>
      <c r="F13" t="s">
        <v>67</v>
      </c>
      <c r="G13" t="s">
        <v>140</v>
      </c>
      <c r="H13" t="s">
        <v>116</v>
      </c>
      <c r="I13" t="s">
        <v>119</v>
      </c>
      <c r="J13" t="s">
        <v>114</v>
      </c>
      <c r="K13">
        <v>2.4</v>
      </c>
      <c r="L13" t="s">
        <v>61</v>
      </c>
      <c r="M13" t="s">
        <v>62</v>
      </c>
      <c r="N13" t="s">
        <v>64</v>
      </c>
      <c r="O13">
        <f>K13*10^3</f>
        <v>2400</v>
      </c>
      <c r="P13">
        <f t="shared" si="0"/>
        <v>2.4</v>
      </c>
    </row>
    <row r="14" spans="1:16" x14ac:dyDescent="0.2">
      <c r="A14" t="s">
        <v>157</v>
      </c>
      <c r="B14" t="s">
        <v>6</v>
      </c>
      <c r="C14" t="s">
        <v>152</v>
      </c>
      <c r="D14">
        <v>0</v>
      </c>
      <c r="E14" t="s">
        <v>57</v>
      </c>
      <c r="F14" t="s">
        <v>67</v>
      </c>
      <c r="G14" t="s">
        <v>143</v>
      </c>
      <c r="K14">
        <f>205+25+12+140+40+13</f>
        <v>435</v>
      </c>
      <c r="L14" t="s">
        <v>22</v>
      </c>
      <c r="M14" t="s">
        <v>49</v>
      </c>
      <c r="N14">
        <v>2007</v>
      </c>
      <c r="O14">
        <f>K14</f>
        <v>435</v>
      </c>
      <c r="P14">
        <f>O14/1000</f>
        <v>0.435</v>
      </c>
    </row>
    <row r="15" spans="1:16" x14ac:dyDescent="0.2">
      <c r="A15" t="s">
        <v>157</v>
      </c>
      <c r="B15" t="s">
        <v>6</v>
      </c>
      <c r="C15" t="s">
        <v>152</v>
      </c>
      <c r="D15">
        <v>0</v>
      </c>
      <c r="E15" t="s">
        <v>56</v>
      </c>
      <c r="F15" t="s">
        <v>68</v>
      </c>
      <c r="G15" t="s">
        <v>139</v>
      </c>
      <c r="H15" t="s">
        <v>88</v>
      </c>
      <c r="I15" t="s">
        <v>89</v>
      </c>
      <c r="K15">
        <v>0.112</v>
      </c>
      <c r="L15" t="s">
        <v>84</v>
      </c>
      <c r="M15" t="s">
        <v>85</v>
      </c>
      <c r="N15">
        <v>2016</v>
      </c>
      <c r="O15">
        <f>K15*(references!D11)*C_to_CO2</f>
        <v>821.24823595080909</v>
      </c>
      <c r="P15">
        <f>O15/10^3</f>
        <v>0.82124823595080909</v>
      </c>
    </row>
    <row r="16" spans="1:16" x14ac:dyDescent="0.2">
      <c r="A16" t="s">
        <v>157</v>
      </c>
      <c r="B16" t="s">
        <v>6</v>
      </c>
      <c r="C16" t="s">
        <v>152</v>
      </c>
      <c r="D16">
        <v>0</v>
      </c>
      <c r="E16" t="s">
        <v>56</v>
      </c>
      <c r="F16" t="s">
        <v>68</v>
      </c>
      <c r="G16" t="s">
        <v>139</v>
      </c>
      <c r="H16" t="s">
        <v>88</v>
      </c>
      <c r="K16">
        <v>0.08</v>
      </c>
      <c r="L16" t="s">
        <v>84</v>
      </c>
      <c r="M16" t="s">
        <v>87</v>
      </c>
      <c r="N16">
        <v>2009</v>
      </c>
      <c r="O16">
        <f>K16*(references!D11)*C_to_CO2</f>
        <v>586.60588282200649</v>
      </c>
      <c r="P16">
        <f>O16/10^3</f>
        <v>0.58660588282200654</v>
      </c>
    </row>
    <row r="17" spans="1:16" x14ac:dyDescent="0.2">
      <c r="A17" t="s">
        <v>157</v>
      </c>
      <c r="B17" t="s">
        <v>6</v>
      </c>
      <c r="C17" t="s">
        <v>152</v>
      </c>
      <c r="D17">
        <v>0</v>
      </c>
      <c r="E17" t="s">
        <v>56</v>
      </c>
      <c r="F17" t="s">
        <v>68</v>
      </c>
      <c r="G17" t="s">
        <v>139</v>
      </c>
      <c r="H17" t="s">
        <v>88</v>
      </c>
      <c r="I17" t="s">
        <v>111</v>
      </c>
      <c r="J17" t="s">
        <v>113</v>
      </c>
      <c r="K17">
        <v>142</v>
      </c>
      <c r="L17" t="s">
        <v>108</v>
      </c>
      <c r="M17" t="s">
        <v>106</v>
      </c>
      <c r="N17">
        <v>2015</v>
      </c>
      <c r="O17">
        <f>K17*C_to_CO2</f>
        <v>521.14</v>
      </c>
      <c r="P17">
        <f>O17/10^3</f>
        <v>0.52113999999999994</v>
      </c>
    </row>
    <row r="18" spans="1:16" x14ac:dyDescent="0.2">
      <c r="A18" t="s">
        <v>157</v>
      </c>
      <c r="B18" t="s">
        <v>6</v>
      </c>
      <c r="C18" t="s">
        <v>152</v>
      </c>
      <c r="D18">
        <v>0</v>
      </c>
      <c r="E18" t="s">
        <v>56</v>
      </c>
      <c r="F18" t="s">
        <v>68</v>
      </c>
      <c r="G18" t="s">
        <v>139</v>
      </c>
      <c r="H18" t="s">
        <v>88</v>
      </c>
      <c r="I18" t="s">
        <v>112</v>
      </c>
      <c r="J18" t="s">
        <v>113</v>
      </c>
      <c r="K18">
        <v>497</v>
      </c>
      <c r="L18" t="s">
        <v>108</v>
      </c>
      <c r="M18" t="s">
        <v>106</v>
      </c>
      <c r="N18">
        <v>2015</v>
      </c>
      <c r="O18">
        <f>K18*C_to_CO2</f>
        <v>1823.99</v>
      </c>
      <c r="P18">
        <f>O18/10^3</f>
        <v>1.82399</v>
      </c>
    </row>
    <row r="19" spans="1:16" x14ac:dyDescent="0.2">
      <c r="A19" t="s">
        <v>157</v>
      </c>
      <c r="B19" t="s">
        <v>8</v>
      </c>
      <c r="C19" t="s">
        <v>152</v>
      </c>
      <c r="D19">
        <v>0</v>
      </c>
      <c r="E19" t="s">
        <v>56</v>
      </c>
      <c r="F19" t="s">
        <v>69</v>
      </c>
      <c r="G19" t="s">
        <v>148</v>
      </c>
      <c r="H19" t="s">
        <v>34</v>
      </c>
      <c r="K19">
        <v>629</v>
      </c>
      <c r="L19" t="s">
        <v>28</v>
      </c>
      <c r="M19" t="s">
        <v>25</v>
      </c>
      <c r="N19">
        <v>2010</v>
      </c>
      <c r="O19">
        <f>K19/tC_to_m3*C_to_CO2</f>
        <v>531.63142900000003</v>
      </c>
      <c r="P19">
        <f t="shared" ref="P19:P25" si="1">O19/1000</f>
        <v>0.53163142900000004</v>
      </c>
    </row>
    <row r="20" spans="1:16" x14ac:dyDescent="0.2">
      <c r="A20" t="s">
        <v>157</v>
      </c>
      <c r="B20" t="s">
        <v>8</v>
      </c>
      <c r="C20" t="s">
        <v>152</v>
      </c>
      <c r="D20">
        <v>0</v>
      </c>
      <c r="E20" t="s">
        <v>56</v>
      </c>
      <c r="F20" t="s">
        <v>69</v>
      </c>
      <c r="G20" t="s">
        <v>148</v>
      </c>
      <c r="H20" t="s">
        <v>15</v>
      </c>
      <c r="J20" t="s">
        <v>118</v>
      </c>
      <c r="K20">
        <v>162</v>
      </c>
      <c r="L20" t="s">
        <v>13</v>
      </c>
      <c r="M20" t="s">
        <v>18</v>
      </c>
      <c r="N20">
        <v>2010</v>
      </c>
      <c r="O20">
        <f>K20*C_to_CO2</f>
        <v>594.54</v>
      </c>
      <c r="P20">
        <f t="shared" si="1"/>
        <v>0.59453999999999996</v>
      </c>
    </row>
    <row r="21" spans="1:16" x14ac:dyDescent="0.2">
      <c r="A21" t="s">
        <v>157</v>
      </c>
      <c r="B21" t="s">
        <v>8</v>
      </c>
      <c r="C21" t="s">
        <v>152</v>
      </c>
      <c r="D21">
        <v>0</v>
      </c>
      <c r="E21" t="s">
        <v>56</v>
      </c>
      <c r="F21" t="s">
        <v>69</v>
      </c>
      <c r="G21" t="s">
        <v>148</v>
      </c>
      <c r="H21" t="s">
        <v>53</v>
      </c>
      <c r="K21">
        <f>20+250</f>
        <v>270</v>
      </c>
      <c r="L21" t="s">
        <v>22</v>
      </c>
      <c r="M21" t="s">
        <v>49</v>
      </c>
      <c r="N21">
        <v>2007</v>
      </c>
      <c r="O21">
        <f>K21</f>
        <v>270</v>
      </c>
      <c r="P21">
        <f t="shared" si="1"/>
        <v>0.27</v>
      </c>
    </row>
    <row r="22" spans="1:16" x14ac:dyDescent="0.2">
      <c r="A22" t="s">
        <v>157</v>
      </c>
      <c r="B22" t="s">
        <v>8</v>
      </c>
      <c r="C22" t="s">
        <v>152</v>
      </c>
      <c r="D22">
        <v>0</v>
      </c>
      <c r="E22" t="s">
        <v>56</v>
      </c>
      <c r="F22" t="s">
        <v>69</v>
      </c>
      <c r="G22" t="s">
        <v>148</v>
      </c>
      <c r="H22" t="s">
        <v>52</v>
      </c>
      <c r="K22">
        <v>340</v>
      </c>
      <c r="L22" t="s">
        <v>22</v>
      </c>
      <c r="M22" t="s">
        <v>49</v>
      </c>
      <c r="N22">
        <v>2007</v>
      </c>
      <c r="O22">
        <f>K22</f>
        <v>340</v>
      </c>
      <c r="P22">
        <f t="shared" si="1"/>
        <v>0.34</v>
      </c>
    </row>
    <row r="23" spans="1:16" x14ac:dyDescent="0.2">
      <c r="A23" t="s">
        <v>157</v>
      </c>
      <c r="B23" t="s">
        <v>8</v>
      </c>
      <c r="C23" t="s">
        <v>152</v>
      </c>
      <c r="D23">
        <v>0</v>
      </c>
      <c r="E23" t="s">
        <v>56</v>
      </c>
      <c r="F23" t="s">
        <v>69</v>
      </c>
      <c r="G23" t="s">
        <v>147</v>
      </c>
      <c r="H23" t="s">
        <v>33</v>
      </c>
      <c r="I23" t="s">
        <v>16</v>
      </c>
      <c r="K23">
        <v>1863</v>
      </c>
      <c r="L23" t="s">
        <v>28</v>
      </c>
      <c r="M23" t="s">
        <v>25</v>
      </c>
      <c r="N23">
        <v>2010</v>
      </c>
      <c r="O23">
        <f>K23/tC_to_m3*C_to_CO2</f>
        <v>1574.6094629999998</v>
      </c>
      <c r="P23">
        <f t="shared" si="1"/>
        <v>1.5746094629999998</v>
      </c>
    </row>
    <row r="24" spans="1:16" x14ac:dyDescent="0.2">
      <c r="A24" t="s">
        <v>157</v>
      </c>
      <c r="B24" t="s">
        <v>8</v>
      </c>
      <c r="C24" t="s">
        <v>152</v>
      </c>
      <c r="D24">
        <v>0</v>
      </c>
      <c r="E24" t="s">
        <v>56</v>
      </c>
      <c r="F24" t="s">
        <v>69</v>
      </c>
      <c r="G24" t="s">
        <v>147</v>
      </c>
      <c r="H24" t="s">
        <v>17</v>
      </c>
      <c r="I24" t="s">
        <v>16</v>
      </c>
      <c r="J24" t="s">
        <v>118</v>
      </c>
      <c r="K24">
        <v>591</v>
      </c>
      <c r="L24" t="s">
        <v>13</v>
      </c>
      <c r="M24" t="s">
        <v>18</v>
      </c>
      <c r="N24">
        <v>2010</v>
      </c>
      <c r="O24">
        <f>K24*C_to_CO2</f>
        <v>2168.9699999999998</v>
      </c>
      <c r="P24">
        <f t="shared" si="1"/>
        <v>2.1689699999999998</v>
      </c>
    </row>
    <row r="25" spans="1:16" x14ac:dyDescent="0.2">
      <c r="A25" t="s">
        <v>157</v>
      </c>
      <c r="B25" t="s">
        <v>6</v>
      </c>
      <c r="C25" t="s">
        <v>152</v>
      </c>
      <c r="D25">
        <v>0</v>
      </c>
      <c r="E25" t="s">
        <v>56</v>
      </c>
      <c r="F25" t="s">
        <v>67</v>
      </c>
      <c r="G25" t="s">
        <v>140</v>
      </c>
      <c r="H25" t="s">
        <v>12</v>
      </c>
      <c r="J25" t="s">
        <v>118</v>
      </c>
      <c r="K25">
        <v>886</v>
      </c>
      <c r="L25" t="s">
        <v>13</v>
      </c>
      <c r="M25" t="s">
        <v>18</v>
      </c>
      <c r="N25">
        <v>2010</v>
      </c>
      <c r="O25">
        <f>K25*C_to_CO2</f>
        <v>3251.62</v>
      </c>
      <c r="P25">
        <f t="shared" si="1"/>
        <v>3.25162</v>
      </c>
    </row>
    <row r="26" spans="1:16" x14ac:dyDescent="0.2">
      <c r="A26" t="s">
        <v>157</v>
      </c>
      <c r="B26" t="s">
        <v>6</v>
      </c>
      <c r="C26" t="s">
        <v>152</v>
      </c>
      <c r="D26">
        <v>0</v>
      </c>
      <c r="E26" t="s">
        <v>56</v>
      </c>
      <c r="F26" t="s">
        <v>67</v>
      </c>
      <c r="G26" t="s">
        <v>140</v>
      </c>
      <c r="H26" t="s">
        <v>82</v>
      </c>
      <c r="K26">
        <v>0.33</v>
      </c>
      <c r="L26" t="s">
        <v>58</v>
      </c>
      <c r="M26" t="s">
        <v>81</v>
      </c>
      <c r="N26">
        <v>2007</v>
      </c>
      <c r="O26">
        <f>K26*10^3*C_to_CO2</f>
        <v>1211.0999999999999</v>
      </c>
      <c r="P26">
        <f>K26*C_to_CO2</f>
        <v>1.2111000000000001</v>
      </c>
    </row>
    <row r="27" spans="1:16" x14ac:dyDescent="0.2">
      <c r="A27" t="s">
        <v>157</v>
      </c>
      <c r="B27" t="s">
        <v>6</v>
      </c>
      <c r="C27" t="s">
        <v>152</v>
      </c>
      <c r="D27">
        <v>0</v>
      </c>
      <c r="E27" t="s">
        <v>56</v>
      </c>
      <c r="F27" t="s">
        <v>67</v>
      </c>
      <c r="G27" t="s">
        <v>140</v>
      </c>
      <c r="H27" t="s">
        <v>82</v>
      </c>
      <c r="K27">
        <v>0.65</v>
      </c>
      <c r="L27" t="s">
        <v>58</v>
      </c>
      <c r="M27" t="s">
        <v>83</v>
      </c>
      <c r="O27">
        <f>K27*10^3*C_to_CO2</f>
        <v>2385.5</v>
      </c>
      <c r="P27">
        <f>K27*C_to_CO2</f>
        <v>2.3855</v>
      </c>
    </row>
    <row r="28" spans="1:16" x14ac:dyDescent="0.2">
      <c r="A28" t="s">
        <v>157</v>
      </c>
      <c r="B28" t="s">
        <v>6</v>
      </c>
      <c r="C28" t="s">
        <v>153</v>
      </c>
      <c r="D28">
        <v>0</v>
      </c>
      <c r="E28" t="s">
        <v>56</v>
      </c>
      <c r="F28" t="s">
        <v>68</v>
      </c>
      <c r="G28" t="s">
        <v>154</v>
      </c>
      <c r="H28" t="s">
        <v>150</v>
      </c>
      <c r="K28">
        <v>1.4</v>
      </c>
      <c r="L28" t="s">
        <v>58</v>
      </c>
      <c r="M28" t="s">
        <v>149</v>
      </c>
      <c r="N28">
        <v>2010</v>
      </c>
      <c r="O28">
        <f>K28*10^3*C_to_CO2</f>
        <v>5138</v>
      </c>
      <c r="P28">
        <f>K28*C_to_CO2</f>
        <v>5.1379999999999999</v>
      </c>
    </row>
    <row r="29" spans="1:16" x14ac:dyDescent="0.2">
      <c r="A29" t="s">
        <v>157</v>
      </c>
      <c r="B29" t="s">
        <v>6</v>
      </c>
      <c r="C29" t="s">
        <v>153</v>
      </c>
      <c r="D29">
        <v>0</v>
      </c>
      <c r="E29" t="s">
        <v>56</v>
      </c>
      <c r="F29" t="s">
        <v>68</v>
      </c>
      <c r="G29" t="s">
        <v>154</v>
      </c>
      <c r="H29" t="s">
        <v>60</v>
      </c>
      <c r="K29">
        <v>1.6</v>
      </c>
      <c r="L29" t="s">
        <v>61</v>
      </c>
      <c r="M29" t="s">
        <v>63</v>
      </c>
      <c r="N29" t="s">
        <v>65</v>
      </c>
      <c r="O29">
        <f>K29*10^3</f>
        <v>1600</v>
      </c>
      <c r="P29">
        <f>O29/1000</f>
        <v>1.6</v>
      </c>
    </row>
    <row r="30" spans="1:16" x14ac:dyDescent="0.2">
      <c r="A30" t="s">
        <v>157</v>
      </c>
      <c r="B30" t="s">
        <v>6</v>
      </c>
      <c r="C30" t="s">
        <v>153</v>
      </c>
      <c r="D30">
        <v>0</v>
      </c>
      <c r="E30" t="s">
        <v>56</v>
      </c>
      <c r="F30" t="s">
        <v>68</v>
      </c>
      <c r="G30" t="s">
        <v>154</v>
      </c>
      <c r="H30" t="s">
        <v>60</v>
      </c>
      <c r="I30" t="s">
        <v>119</v>
      </c>
      <c r="J30" t="s">
        <v>118</v>
      </c>
      <c r="K30">
        <v>7.6</v>
      </c>
      <c r="L30" t="s">
        <v>61</v>
      </c>
      <c r="M30" t="s">
        <v>62</v>
      </c>
      <c r="N30" t="s">
        <v>64</v>
      </c>
      <c r="O30">
        <f>K30*10^3</f>
        <v>7600</v>
      </c>
      <c r="P30">
        <f>O30/1000</f>
        <v>7.6</v>
      </c>
    </row>
    <row r="31" spans="1:16" x14ac:dyDescent="0.2">
      <c r="A31" t="s">
        <v>157</v>
      </c>
      <c r="B31" t="s">
        <v>6</v>
      </c>
      <c r="C31" t="s">
        <v>153</v>
      </c>
      <c r="D31">
        <v>0</v>
      </c>
      <c r="E31" t="s">
        <v>56</v>
      </c>
      <c r="F31" t="s">
        <v>68</v>
      </c>
      <c r="G31" t="s">
        <v>154</v>
      </c>
      <c r="H31" t="s">
        <v>117</v>
      </c>
      <c r="I31" t="s">
        <v>119</v>
      </c>
      <c r="J31" t="s">
        <v>114</v>
      </c>
      <c r="K31">
        <v>3.3</v>
      </c>
      <c r="L31" t="s">
        <v>115</v>
      </c>
      <c r="M31" t="s">
        <v>62</v>
      </c>
      <c r="N31" t="s">
        <v>64</v>
      </c>
      <c r="O31">
        <f>K31*10^3</f>
        <v>3300</v>
      </c>
      <c r="P31">
        <f>O31/1000</f>
        <v>3.3</v>
      </c>
    </row>
    <row r="32" spans="1:16" x14ac:dyDescent="0.2">
      <c r="A32" t="s">
        <v>157</v>
      </c>
      <c r="B32" t="s">
        <v>6</v>
      </c>
      <c r="C32" t="s">
        <v>153</v>
      </c>
      <c r="D32">
        <v>0</v>
      </c>
      <c r="E32" t="s">
        <v>56</v>
      </c>
      <c r="F32" t="s">
        <v>68</v>
      </c>
      <c r="G32" t="s">
        <v>154</v>
      </c>
      <c r="H32" t="s">
        <v>60</v>
      </c>
      <c r="K32">
        <v>2.2000000000000002</v>
      </c>
      <c r="L32" t="s">
        <v>58</v>
      </c>
      <c r="M32" t="s">
        <v>59</v>
      </c>
      <c r="N32">
        <v>2017</v>
      </c>
      <c r="O32">
        <f>K32*10^3*C_to_CO2</f>
        <v>8074</v>
      </c>
      <c r="P32">
        <f>O32/1000</f>
        <v>8.0739999999999998</v>
      </c>
    </row>
  </sheetData>
  <autoFilter ref="A1:R32" xr:uid="{03E6F148-1FFC-7242-B550-BD89945A0684}">
    <sortState xmlns:xlrd2="http://schemas.microsoft.com/office/spreadsheetml/2017/richdata2" ref="A2:R32">
      <sortCondition ref="D1:D3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6AFC-4FAB-A542-91DA-733B44992E2F}">
  <dimension ref="A1:N13"/>
  <sheetViews>
    <sheetView topLeftCell="E1" workbookViewId="0">
      <selection activeCell="N11" sqref="N11"/>
    </sheetView>
  </sheetViews>
  <sheetFormatPr baseColWidth="10" defaultRowHeight="16" x14ac:dyDescent="0.2"/>
  <cols>
    <col min="3" max="3" width="11" customWidth="1"/>
    <col min="4" max="4" width="16.5" bestFit="1" customWidth="1"/>
    <col min="5" max="5" width="31.5" bestFit="1" customWidth="1"/>
    <col min="6" max="6" width="28.83203125" bestFit="1" customWidth="1"/>
  </cols>
  <sheetData>
    <row r="1" spans="1:14" x14ac:dyDescent="0.2">
      <c r="A1" t="s">
        <v>3</v>
      </c>
      <c r="B1" t="s">
        <v>2</v>
      </c>
      <c r="C1" t="s">
        <v>4</v>
      </c>
      <c r="D1" t="s">
        <v>66</v>
      </c>
      <c r="E1" t="s">
        <v>30</v>
      </c>
      <c r="F1" t="s">
        <v>10</v>
      </c>
      <c r="G1" t="s">
        <v>31</v>
      </c>
      <c r="H1" t="s">
        <v>125</v>
      </c>
      <c r="I1" t="s">
        <v>11</v>
      </c>
      <c r="J1" t="s">
        <v>5</v>
      </c>
      <c r="K1" t="s">
        <v>7</v>
      </c>
      <c r="L1" t="s">
        <v>19</v>
      </c>
      <c r="M1" t="s">
        <v>138</v>
      </c>
    </row>
    <row r="2" spans="1:14" x14ac:dyDescent="0.2">
      <c r="A2" t="s">
        <v>9</v>
      </c>
      <c r="B2" t="s">
        <v>6</v>
      </c>
      <c r="C2" t="s">
        <v>1</v>
      </c>
      <c r="D2" t="s">
        <v>32</v>
      </c>
      <c r="E2" t="s">
        <v>137</v>
      </c>
      <c r="F2" t="s">
        <v>134</v>
      </c>
      <c r="H2">
        <v>0</v>
      </c>
      <c r="I2">
        <v>3911952</v>
      </c>
      <c r="J2" t="s">
        <v>128</v>
      </c>
      <c r="K2" t="s">
        <v>129</v>
      </c>
      <c r="L2">
        <v>2020</v>
      </c>
      <c r="M2">
        <f t="shared" ref="M2:M9" si="0">I2/1000</f>
        <v>3911.9520000000002</v>
      </c>
    </row>
    <row r="3" spans="1:14" x14ac:dyDescent="0.2">
      <c r="A3" t="s">
        <v>9</v>
      </c>
      <c r="B3" t="s">
        <v>6</v>
      </c>
      <c r="C3" t="s">
        <v>1</v>
      </c>
      <c r="D3" t="s">
        <v>32</v>
      </c>
      <c r="E3" t="s">
        <v>127</v>
      </c>
      <c r="F3" t="s">
        <v>126</v>
      </c>
      <c r="H3">
        <v>1</v>
      </c>
      <c r="I3">
        <v>1928264</v>
      </c>
      <c r="J3" t="s">
        <v>128</v>
      </c>
      <c r="K3" t="s">
        <v>129</v>
      </c>
      <c r="L3">
        <v>2020</v>
      </c>
      <c r="M3">
        <f t="shared" si="0"/>
        <v>1928.2639999999999</v>
      </c>
    </row>
    <row r="4" spans="1:14" x14ac:dyDescent="0.2">
      <c r="A4" t="s">
        <v>9</v>
      </c>
      <c r="B4" t="s">
        <v>6</v>
      </c>
      <c r="C4" t="s">
        <v>1</v>
      </c>
      <c r="D4" t="s">
        <v>32</v>
      </c>
      <c r="E4" t="s">
        <v>137</v>
      </c>
      <c r="F4" t="s">
        <v>27</v>
      </c>
      <c r="H4">
        <v>1</v>
      </c>
      <c r="I4">
        <v>1983688</v>
      </c>
      <c r="J4" t="s">
        <v>128</v>
      </c>
      <c r="K4" t="s">
        <v>129</v>
      </c>
      <c r="L4">
        <v>2020</v>
      </c>
      <c r="M4">
        <f t="shared" si="0"/>
        <v>1983.6880000000001</v>
      </c>
    </row>
    <row r="5" spans="1:14" x14ac:dyDescent="0.2">
      <c r="A5" t="s">
        <v>9</v>
      </c>
      <c r="B5" t="s">
        <v>6</v>
      </c>
      <c r="C5" t="s">
        <v>1</v>
      </c>
      <c r="D5" t="s">
        <v>32</v>
      </c>
      <c r="E5" t="s">
        <v>127</v>
      </c>
      <c r="F5" t="s">
        <v>131</v>
      </c>
      <c r="I5">
        <v>43679</v>
      </c>
      <c r="J5" t="s">
        <v>128</v>
      </c>
      <c r="K5" t="s">
        <v>129</v>
      </c>
      <c r="L5">
        <v>2020</v>
      </c>
      <c r="M5">
        <f t="shared" si="0"/>
        <v>43.679000000000002</v>
      </c>
    </row>
    <row r="6" spans="1:14" x14ac:dyDescent="0.2">
      <c r="A6" t="s">
        <v>9</v>
      </c>
      <c r="B6" t="s">
        <v>6</v>
      </c>
      <c r="C6" t="s">
        <v>1</v>
      </c>
      <c r="D6" t="s">
        <v>32</v>
      </c>
      <c r="E6" t="s">
        <v>136</v>
      </c>
      <c r="F6" t="s">
        <v>130</v>
      </c>
      <c r="I6">
        <v>368251</v>
      </c>
      <c r="J6" t="s">
        <v>128</v>
      </c>
      <c r="K6" t="s">
        <v>129</v>
      </c>
      <c r="L6">
        <v>2020</v>
      </c>
      <c r="M6">
        <f t="shared" si="0"/>
        <v>368.25099999999998</v>
      </c>
    </row>
    <row r="7" spans="1:14" x14ac:dyDescent="0.2">
      <c r="A7" t="s">
        <v>9</v>
      </c>
      <c r="B7" t="s">
        <v>6</v>
      </c>
      <c r="C7" t="s">
        <v>1</v>
      </c>
      <c r="D7" t="s">
        <v>32</v>
      </c>
      <c r="E7" t="s">
        <v>136</v>
      </c>
      <c r="F7" t="s">
        <v>132</v>
      </c>
      <c r="I7">
        <v>186436</v>
      </c>
      <c r="J7" t="s">
        <v>128</v>
      </c>
      <c r="K7" t="s">
        <v>129</v>
      </c>
      <c r="L7">
        <v>2020</v>
      </c>
      <c r="M7">
        <f t="shared" si="0"/>
        <v>186.43600000000001</v>
      </c>
    </row>
    <row r="8" spans="1:14" x14ac:dyDescent="0.2">
      <c r="A8" t="s">
        <v>9</v>
      </c>
      <c r="B8" t="s">
        <v>6</v>
      </c>
      <c r="C8" t="s">
        <v>1</v>
      </c>
      <c r="D8" t="s">
        <v>32</v>
      </c>
      <c r="E8" t="s">
        <v>136</v>
      </c>
      <c r="F8" t="s">
        <v>133</v>
      </c>
      <c r="I8">
        <v>400904</v>
      </c>
      <c r="J8" t="s">
        <v>128</v>
      </c>
      <c r="K8" t="s">
        <v>129</v>
      </c>
      <c r="L8">
        <v>2020</v>
      </c>
      <c r="M8">
        <f t="shared" si="0"/>
        <v>400.904</v>
      </c>
    </row>
    <row r="9" spans="1:14" x14ac:dyDescent="0.2">
      <c r="A9" t="s">
        <v>9</v>
      </c>
      <c r="B9" t="s">
        <v>6</v>
      </c>
      <c r="C9" t="s">
        <v>1</v>
      </c>
      <c r="D9" t="s">
        <v>32</v>
      </c>
      <c r="E9" t="s">
        <v>135</v>
      </c>
      <c r="F9" t="s">
        <v>29</v>
      </c>
      <c r="I9">
        <v>472729</v>
      </c>
      <c r="J9" t="s">
        <v>128</v>
      </c>
      <c r="K9" t="s">
        <v>129</v>
      </c>
      <c r="L9">
        <v>2020</v>
      </c>
      <c r="M9">
        <f t="shared" si="0"/>
        <v>472.72899999999998</v>
      </c>
      <c r="N9">
        <f>M9/M2*100</f>
        <v>12.08422291480059</v>
      </c>
    </row>
    <row r="10" spans="1:14" x14ac:dyDescent="0.2">
      <c r="A10" t="s">
        <v>9</v>
      </c>
      <c r="B10" t="s">
        <v>0</v>
      </c>
      <c r="C10" t="s">
        <v>1</v>
      </c>
      <c r="D10" t="s">
        <v>32</v>
      </c>
      <c r="E10" t="s">
        <v>136</v>
      </c>
      <c r="F10" t="s">
        <v>37</v>
      </c>
      <c r="I10">
        <v>407</v>
      </c>
      <c r="J10" t="s">
        <v>28</v>
      </c>
      <c r="K10" t="s">
        <v>20</v>
      </c>
      <c r="L10">
        <v>2015</v>
      </c>
      <c r="M10">
        <f>I10</f>
        <v>407</v>
      </c>
    </row>
    <row r="11" spans="1:14" x14ac:dyDescent="0.2">
      <c r="A11" t="s">
        <v>9</v>
      </c>
      <c r="B11" t="s">
        <v>0</v>
      </c>
      <c r="C11" t="s">
        <v>1</v>
      </c>
      <c r="D11" t="s">
        <v>32</v>
      </c>
      <c r="E11" t="s">
        <v>136</v>
      </c>
      <c r="F11" t="s">
        <v>38</v>
      </c>
      <c r="I11">
        <v>402</v>
      </c>
      <c r="J11" t="s">
        <v>28</v>
      </c>
      <c r="K11" t="s">
        <v>20</v>
      </c>
      <c r="L11">
        <v>2015</v>
      </c>
      <c r="M11">
        <f>I11</f>
        <v>402</v>
      </c>
    </row>
    <row r="12" spans="1:14" x14ac:dyDescent="0.2">
      <c r="A12" t="s">
        <v>9</v>
      </c>
      <c r="B12" t="s">
        <v>0</v>
      </c>
      <c r="C12" t="s">
        <v>1</v>
      </c>
      <c r="D12" t="s">
        <v>32</v>
      </c>
      <c r="E12" t="s">
        <v>136</v>
      </c>
      <c r="F12" t="s">
        <v>35</v>
      </c>
      <c r="I12">
        <v>284</v>
      </c>
      <c r="J12" t="s">
        <v>28</v>
      </c>
      <c r="K12" t="s">
        <v>25</v>
      </c>
      <c r="L12">
        <v>2010</v>
      </c>
      <c r="M12">
        <f>I12</f>
        <v>284</v>
      </c>
    </row>
    <row r="13" spans="1:14" x14ac:dyDescent="0.2">
      <c r="A13" t="s">
        <v>9</v>
      </c>
      <c r="B13" t="s">
        <v>0</v>
      </c>
      <c r="C13" t="s">
        <v>1</v>
      </c>
      <c r="D13" t="s">
        <v>32</v>
      </c>
      <c r="E13" t="s">
        <v>135</v>
      </c>
      <c r="F13" t="s">
        <v>36</v>
      </c>
      <c r="I13">
        <f>376+120</f>
        <v>496</v>
      </c>
      <c r="J13" t="s">
        <v>28</v>
      </c>
      <c r="K13" t="s">
        <v>25</v>
      </c>
      <c r="L13">
        <v>2010</v>
      </c>
      <c r="M13">
        <f>I13</f>
        <v>496</v>
      </c>
    </row>
  </sheetData>
  <autoFilter ref="A1:N1" xr:uid="{65E16AFC-4FAB-A542-91DA-733B44992E2F}">
    <sortState xmlns:xlrd2="http://schemas.microsoft.com/office/spreadsheetml/2017/richdata2" ref="A2:N13">
      <sortCondition ref="H1:H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4EFC-FB99-DA43-B1E5-30C308D7C00A}">
  <dimension ref="A1:H4"/>
  <sheetViews>
    <sheetView topLeftCell="A3" workbookViewId="0">
      <selection activeCell="B3" sqref="B3"/>
    </sheetView>
  </sheetViews>
  <sheetFormatPr baseColWidth="10" defaultRowHeight="16" x14ac:dyDescent="0.2"/>
  <cols>
    <col min="4" max="4" width="13.1640625" bestFit="1" customWidth="1"/>
  </cols>
  <sheetData>
    <row r="1" spans="1:8" x14ac:dyDescent="0.2">
      <c r="A1" t="s">
        <v>39</v>
      </c>
      <c r="B1">
        <f>1000/E1</f>
        <v>2.0408163265306123</v>
      </c>
      <c r="D1" t="s">
        <v>40</v>
      </c>
      <c r="E1">
        <f>AVERAGE(400,580)</f>
        <v>490</v>
      </c>
      <c r="F1" t="s">
        <v>41</v>
      </c>
      <c r="G1" t="s">
        <v>42</v>
      </c>
      <c r="H1" t="s">
        <v>43</v>
      </c>
    </row>
    <row r="2" spans="1:8" x14ac:dyDescent="0.2">
      <c r="A2" t="s">
        <v>44</v>
      </c>
      <c r="B2">
        <f>1/E1</f>
        <v>2.0408163265306124E-3</v>
      </c>
      <c r="D2" t="s">
        <v>45</v>
      </c>
      <c r="E2">
        <v>0.47</v>
      </c>
      <c r="F2" t="s">
        <v>46</v>
      </c>
      <c r="H2" t="s">
        <v>43</v>
      </c>
    </row>
    <row r="3" spans="1:8" x14ac:dyDescent="0.2">
      <c r="A3" t="s">
        <v>47</v>
      </c>
      <c r="B3">
        <f>+B1/E2</f>
        <v>4.3421623968736434</v>
      </c>
    </row>
    <row r="4" spans="1:8" x14ac:dyDescent="0.2">
      <c r="A4" t="s">
        <v>48</v>
      </c>
      <c r="B4" s="1">
        <f>3.67</f>
        <v>3.67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F43-BBEE-E94A-AA3D-FDEC59433A9C}">
  <dimension ref="A1:F17"/>
  <sheetViews>
    <sheetView workbookViewId="0">
      <selection activeCell="B13" sqref="B13"/>
    </sheetView>
  </sheetViews>
  <sheetFormatPr baseColWidth="10" defaultRowHeight="16" x14ac:dyDescent="0.2"/>
  <cols>
    <col min="3" max="3" width="26.83203125" bestFit="1" customWidth="1"/>
    <col min="4" max="4" width="12.1640625" bestFit="1" customWidth="1"/>
  </cols>
  <sheetData>
    <row r="1" spans="1:6" x14ac:dyDescent="0.2">
      <c r="A1" t="s">
        <v>75</v>
      </c>
    </row>
    <row r="2" spans="1:6" x14ac:dyDescent="0.2">
      <c r="A2" t="s">
        <v>74</v>
      </c>
      <c r="B2" t="s">
        <v>76</v>
      </c>
    </row>
    <row r="3" spans="1:6" x14ac:dyDescent="0.2">
      <c r="A3" t="s">
        <v>77</v>
      </c>
      <c r="B3" t="s">
        <v>78</v>
      </c>
    </row>
    <row r="4" spans="1:6" x14ac:dyDescent="0.2">
      <c r="A4" t="s">
        <v>79</v>
      </c>
      <c r="B4" t="s">
        <v>80</v>
      </c>
    </row>
    <row r="5" spans="1:6" x14ac:dyDescent="0.2">
      <c r="A5" t="s">
        <v>85</v>
      </c>
      <c r="B5" t="s">
        <v>86</v>
      </c>
    </row>
    <row r="7" spans="1:6" x14ac:dyDescent="0.2">
      <c r="A7" t="s">
        <v>96</v>
      </c>
      <c r="B7" t="s">
        <v>94</v>
      </c>
      <c r="C7" t="s">
        <v>95</v>
      </c>
      <c r="D7">
        <f>(2076+416+132)*10^6</f>
        <v>2624000000</v>
      </c>
      <c r="E7" t="s">
        <v>103</v>
      </c>
    </row>
    <row r="8" spans="1:6" x14ac:dyDescent="0.2">
      <c r="A8" t="s">
        <v>93</v>
      </c>
      <c r="B8" t="s">
        <v>97</v>
      </c>
      <c r="C8" t="s">
        <v>98</v>
      </c>
      <c r="D8">
        <f>4017*10^6/1.04</f>
        <v>3862500000</v>
      </c>
      <c r="E8" t="s">
        <v>103</v>
      </c>
      <c r="F8" t="s">
        <v>101</v>
      </c>
    </row>
    <row r="9" spans="1:6" x14ac:dyDescent="0.2">
      <c r="C9" t="s">
        <v>99</v>
      </c>
      <c r="D9">
        <f>2941/D$8</f>
        <v>7.6142394822006474E-7</v>
      </c>
      <c r="E9" t="s">
        <v>105</v>
      </c>
      <c r="F9" t="s">
        <v>101</v>
      </c>
    </row>
    <row r="10" spans="1:6" x14ac:dyDescent="0.2">
      <c r="C10" t="s">
        <v>100</v>
      </c>
      <c r="D10">
        <f>2941/D$8</f>
        <v>7.6142394822006474E-7</v>
      </c>
      <c r="E10" t="s">
        <v>105</v>
      </c>
      <c r="F10" t="s">
        <v>102</v>
      </c>
    </row>
    <row r="11" spans="1:6" x14ac:dyDescent="0.2">
      <c r="C11" t="s">
        <v>104</v>
      </c>
      <c r="D11">
        <f>D10*D7</f>
        <v>1997.9764401294499</v>
      </c>
      <c r="E11" t="s">
        <v>90</v>
      </c>
    </row>
    <row r="12" spans="1:6" x14ac:dyDescent="0.2">
      <c r="A12" t="s">
        <v>106</v>
      </c>
      <c r="B12" s="2" t="s">
        <v>107</v>
      </c>
    </row>
    <row r="13" spans="1:6" x14ac:dyDescent="0.2">
      <c r="A13" t="s">
        <v>62</v>
      </c>
      <c r="B13" s="2" t="s">
        <v>120</v>
      </c>
    </row>
    <row r="14" spans="1:6" x14ac:dyDescent="0.2">
      <c r="A14" t="s">
        <v>123</v>
      </c>
      <c r="B14" t="s">
        <v>121</v>
      </c>
      <c r="C14" t="s">
        <v>122</v>
      </c>
    </row>
    <row r="15" spans="1:6" x14ac:dyDescent="0.2">
      <c r="A15" t="s">
        <v>93</v>
      </c>
      <c r="B15" t="s">
        <v>144</v>
      </c>
    </row>
    <row r="16" spans="1:6" x14ac:dyDescent="0.2">
      <c r="A16" t="s">
        <v>81</v>
      </c>
      <c r="B16" t="s">
        <v>145</v>
      </c>
    </row>
    <row r="17" spans="1:2" x14ac:dyDescent="0.2">
      <c r="A17" t="s">
        <v>49</v>
      </c>
      <c r="B17" t="s">
        <v>146</v>
      </c>
    </row>
  </sheetData>
  <hyperlinks>
    <hyperlink ref="B12" r:id="rId1" xr:uid="{65D6A92B-8A64-4E45-9C5B-8A88B539A19D}"/>
    <hyperlink ref="B13" r:id="rId2" location="Sec5" xr:uid="{3BB68866-7EE9-F84D-9D22-71BCCB37E5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processes</vt:lpstr>
      <vt:lpstr>woodtype</vt:lpstr>
      <vt:lpstr>Conversions</vt:lpstr>
      <vt:lpstr>references</vt:lpstr>
      <vt:lpstr>C_to_CO2</vt:lpstr>
      <vt:lpstr>kg_to_m3</vt:lpstr>
      <vt:lpstr>t_to_m3</vt:lpstr>
      <vt:lpstr>tC_to_m3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 Valade</dc:creator>
  <cp:lastModifiedBy>Aude Valade</cp:lastModifiedBy>
  <dcterms:created xsi:type="dcterms:W3CDTF">2023-12-04T07:45:04Z</dcterms:created>
  <dcterms:modified xsi:type="dcterms:W3CDTF">2025-06-05T11:20:48Z</dcterms:modified>
</cp:coreProperties>
</file>