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dreybubnov/Yandex.Disk.localized/Work-tech/-=ПЕНЗА=-/Каракозова/Расчет пожарки до НГ/"/>
    </mc:Choice>
  </mc:AlternateContent>
  <xr:revisionPtr revIDLastSave="0" documentId="13_ncr:1_{90F069A0-C185-954B-8E7C-6517E5A07FD9}" xr6:coauthVersionLast="47" xr6:coauthVersionMax="47" xr10:uidLastSave="{00000000-0000-0000-0000-000000000000}"/>
  <bookViews>
    <workbookView xWindow="37800" yWindow="-6060" windowWidth="30580" windowHeight="18600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E16" i="2"/>
  <c r="E17" i="2"/>
  <c r="E18" i="2"/>
  <c r="E15" i="2"/>
  <c r="E14" i="2"/>
  <c r="E21" i="2" s="1"/>
  <c r="E5" i="2"/>
  <c r="E6" i="2"/>
  <c r="E7" i="2"/>
  <c r="E8" i="2"/>
  <c r="E9" i="2"/>
  <c r="E10" i="2"/>
  <c r="E11" i="2"/>
  <c r="E4" i="2"/>
  <c r="U41" i="1" l="1"/>
  <c r="P41" i="1"/>
  <c r="O41" i="1"/>
  <c r="K41" i="1"/>
  <c r="G41" i="1" s="1"/>
  <c r="H41" i="1" s="1"/>
  <c r="I41" i="1"/>
  <c r="J41" i="1" s="1"/>
  <c r="U40" i="1"/>
  <c r="P40" i="1"/>
  <c r="I40" i="1" s="1"/>
  <c r="O40" i="1"/>
  <c r="K40" i="1"/>
  <c r="L40" i="1" s="1"/>
  <c r="G40" i="1"/>
  <c r="H40" i="1" s="1"/>
  <c r="U39" i="1"/>
  <c r="P39" i="1"/>
  <c r="I39" i="1" s="1"/>
  <c r="O39" i="1"/>
  <c r="K39" i="1"/>
  <c r="L39" i="1" s="1"/>
  <c r="G39" i="1"/>
  <c r="H39" i="1" s="1"/>
  <c r="U38" i="1"/>
  <c r="P38" i="1"/>
  <c r="O38" i="1"/>
  <c r="K38" i="1"/>
  <c r="L38" i="1" s="1"/>
  <c r="I38" i="1"/>
  <c r="E38" i="1" s="1"/>
  <c r="F38" i="1" s="1"/>
  <c r="U37" i="1"/>
  <c r="P37" i="1"/>
  <c r="O37" i="1"/>
  <c r="K37" i="1"/>
  <c r="L37" i="1" s="1"/>
  <c r="I37" i="1"/>
  <c r="J37" i="1" s="1"/>
  <c r="U36" i="1"/>
  <c r="P36" i="1"/>
  <c r="I36" i="1" s="1"/>
  <c r="O36" i="1"/>
  <c r="K36" i="1"/>
  <c r="G36" i="1" s="1"/>
  <c r="H36" i="1" s="1"/>
  <c r="U35" i="1"/>
  <c r="P35" i="1"/>
  <c r="I35" i="1" s="1"/>
  <c r="O35" i="1"/>
  <c r="K35" i="1"/>
  <c r="L35" i="1" s="1"/>
  <c r="G35" i="1"/>
  <c r="H35" i="1" s="1"/>
  <c r="U34" i="1"/>
  <c r="P34" i="1"/>
  <c r="I34" i="1" s="1"/>
  <c r="E34" i="1" s="1"/>
  <c r="F34" i="1" s="1"/>
  <c r="O34" i="1"/>
  <c r="K34" i="1"/>
  <c r="G34" i="1" s="1"/>
  <c r="H34" i="1" s="1"/>
  <c r="U33" i="1"/>
  <c r="P33" i="1"/>
  <c r="I33" i="1" s="1"/>
  <c r="J33" i="1" s="1"/>
  <c r="O33" i="1"/>
  <c r="L33" i="1"/>
  <c r="K33" i="1"/>
  <c r="G33" i="1"/>
  <c r="H33" i="1" s="1"/>
  <c r="U32" i="1"/>
  <c r="P32" i="1"/>
  <c r="I32" i="1" s="1"/>
  <c r="O32" i="1"/>
  <c r="K32" i="1"/>
  <c r="G32" i="1" s="1"/>
  <c r="H32" i="1" s="1"/>
  <c r="U31" i="1"/>
  <c r="P31" i="1"/>
  <c r="I31" i="1" s="1"/>
  <c r="O31" i="1"/>
  <c r="K31" i="1"/>
  <c r="L31" i="1" s="1"/>
  <c r="U30" i="1"/>
  <c r="P30" i="1"/>
  <c r="I30" i="1" s="1"/>
  <c r="E30" i="1" s="1"/>
  <c r="F30" i="1" s="1"/>
  <c r="O30" i="1"/>
  <c r="L30" i="1"/>
  <c r="K30" i="1"/>
  <c r="G30" i="1"/>
  <c r="H30" i="1" s="1"/>
  <c r="U29" i="1"/>
  <c r="P29" i="1"/>
  <c r="I29" i="1" s="1"/>
  <c r="O29" i="1"/>
  <c r="K29" i="1"/>
  <c r="L29" i="1" s="1"/>
  <c r="U28" i="1"/>
  <c r="P28" i="1"/>
  <c r="I28" i="1" s="1"/>
  <c r="O28" i="1"/>
  <c r="K28" i="1"/>
  <c r="L28" i="1" s="1"/>
  <c r="U27" i="1"/>
  <c r="P27" i="1"/>
  <c r="I27" i="1" s="1"/>
  <c r="O27" i="1"/>
  <c r="K27" i="1"/>
  <c r="L27" i="1" s="1"/>
  <c r="G27" i="1"/>
  <c r="H27" i="1" s="1"/>
  <c r="U26" i="1"/>
  <c r="P26" i="1"/>
  <c r="I26" i="1" s="1"/>
  <c r="E26" i="1" s="1"/>
  <c r="F26" i="1" s="1"/>
  <c r="O26" i="1"/>
  <c r="L26" i="1"/>
  <c r="K26" i="1"/>
  <c r="G26" i="1" s="1"/>
  <c r="H26" i="1" s="1"/>
  <c r="U25" i="1"/>
  <c r="P25" i="1"/>
  <c r="I25" i="1" s="1"/>
  <c r="O25" i="1"/>
  <c r="K25" i="1"/>
  <c r="L25" i="1" s="1"/>
  <c r="U54" i="1"/>
  <c r="P54" i="1"/>
  <c r="I54" i="1" s="1"/>
  <c r="O54" i="1"/>
  <c r="K54" i="1"/>
  <c r="L54" i="1" s="1"/>
  <c r="U53" i="1"/>
  <c r="P53" i="1"/>
  <c r="I53" i="1" s="1"/>
  <c r="O53" i="1"/>
  <c r="K53" i="1"/>
  <c r="L53" i="1" s="1"/>
  <c r="U52" i="1"/>
  <c r="P52" i="1"/>
  <c r="I52" i="1" s="1"/>
  <c r="O52" i="1"/>
  <c r="K52" i="1"/>
  <c r="L52" i="1" s="1"/>
  <c r="U51" i="1"/>
  <c r="P51" i="1"/>
  <c r="I51" i="1" s="1"/>
  <c r="J51" i="1" s="1"/>
  <c r="O51" i="1"/>
  <c r="K51" i="1"/>
  <c r="L51" i="1" s="1"/>
  <c r="U50" i="1"/>
  <c r="P50" i="1"/>
  <c r="I50" i="1" s="1"/>
  <c r="J50" i="1" s="1"/>
  <c r="O50" i="1"/>
  <c r="K50" i="1"/>
  <c r="L50" i="1" s="1"/>
  <c r="U49" i="1"/>
  <c r="P49" i="1"/>
  <c r="I49" i="1" s="1"/>
  <c r="O49" i="1"/>
  <c r="K49" i="1"/>
  <c r="L49" i="1" s="1"/>
  <c r="U48" i="1"/>
  <c r="P48" i="1"/>
  <c r="I48" i="1" s="1"/>
  <c r="O48" i="1"/>
  <c r="K48" i="1"/>
  <c r="L48" i="1" s="1"/>
  <c r="U47" i="1"/>
  <c r="P47" i="1"/>
  <c r="I47" i="1" s="1"/>
  <c r="J47" i="1" s="1"/>
  <c r="O47" i="1"/>
  <c r="K47" i="1"/>
  <c r="L47" i="1" s="1"/>
  <c r="U46" i="1"/>
  <c r="P46" i="1"/>
  <c r="O46" i="1"/>
  <c r="K46" i="1"/>
  <c r="L46" i="1" s="1"/>
  <c r="I46" i="1"/>
  <c r="J46" i="1" s="1"/>
  <c r="U45" i="1"/>
  <c r="P45" i="1"/>
  <c r="I45" i="1" s="1"/>
  <c r="O45" i="1"/>
  <c r="K45" i="1"/>
  <c r="L45" i="1" s="1"/>
  <c r="U44" i="1"/>
  <c r="P44" i="1"/>
  <c r="I44" i="1" s="1"/>
  <c r="O44" i="1"/>
  <c r="K44" i="1"/>
  <c r="L44" i="1" s="1"/>
  <c r="U43" i="1"/>
  <c r="P43" i="1"/>
  <c r="I43" i="1" s="1"/>
  <c r="J43" i="1" s="1"/>
  <c r="O43" i="1"/>
  <c r="K43" i="1"/>
  <c r="G43" i="1" s="1"/>
  <c r="H43" i="1" s="1"/>
  <c r="U42" i="1"/>
  <c r="P42" i="1"/>
  <c r="I42" i="1" s="1"/>
  <c r="O42" i="1"/>
  <c r="K42" i="1"/>
  <c r="L42" i="1" s="1"/>
  <c r="U24" i="1"/>
  <c r="P24" i="1"/>
  <c r="I24" i="1" s="1"/>
  <c r="O24" i="1"/>
  <c r="K24" i="1"/>
  <c r="L24" i="1" s="1"/>
  <c r="U23" i="1"/>
  <c r="P23" i="1"/>
  <c r="I23" i="1" s="1"/>
  <c r="O23" i="1"/>
  <c r="K23" i="1"/>
  <c r="G23" i="1" s="1"/>
  <c r="H23" i="1" s="1"/>
  <c r="U22" i="1"/>
  <c r="P22" i="1"/>
  <c r="O22" i="1"/>
  <c r="K22" i="1"/>
  <c r="L22" i="1" s="1"/>
  <c r="I22" i="1"/>
  <c r="E22" i="1" s="1"/>
  <c r="F22" i="1" s="1"/>
  <c r="B97" i="1"/>
  <c r="B99" i="1" s="1"/>
  <c r="B95" i="1"/>
  <c r="B96" i="1" s="1"/>
  <c r="D93" i="1"/>
  <c r="B91" i="1"/>
  <c r="B89" i="1"/>
  <c r="G83" i="1"/>
  <c r="D83" i="1"/>
  <c r="G82" i="1"/>
  <c r="D82" i="1"/>
  <c r="C72" i="1" s="1"/>
  <c r="G81" i="1"/>
  <c r="D81" i="1"/>
  <c r="B81" i="1"/>
  <c r="C79" i="1"/>
  <c r="C78" i="1"/>
  <c r="C77" i="1"/>
  <c r="C76" i="1"/>
  <c r="C75" i="1"/>
  <c r="C74" i="1"/>
  <c r="AF69" i="1"/>
  <c r="U69" i="1"/>
  <c r="B69" i="1"/>
  <c r="N64" i="1"/>
  <c r="U60" i="1"/>
  <c r="P60" i="1"/>
  <c r="I60" i="1" s="1"/>
  <c r="J60" i="1" s="1"/>
  <c r="L60" i="1"/>
  <c r="U59" i="1"/>
  <c r="P59" i="1"/>
  <c r="I59" i="1" s="1"/>
  <c r="J59" i="1" s="1"/>
  <c r="K59" i="1"/>
  <c r="L59" i="1" s="1"/>
  <c r="G59" i="1"/>
  <c r="H59" i="1" s="1"/>
  <c r="U58" i="1"/>
  <c r="P58" i="1"/>
  <c r="I58" i="1" s="1"/>
  <c r="E58" i="1" s="1"/>
  <c r="F58" i="1" s="1"/>
  <c r="O58" i="1"/>
  <c r="L58" i="1"/>
  <c r="K58" i="1"/>
  <c r="G58" i="1" s="1"/>
  <c r="H58" i="1" s="1"/>
  <c r="U57" i="1"/>
  <c r="P57" i="1"/>
  <c r="O57" i="1"/>
  <c r="K57" i="1"/>
  <c r="L57" i="1" s="1"/>
  <c r="I57" i="1"/>
  <c r="J57" i="1" s="1"/>
  <c r="U56" i="1"/>
  <c r="P56" i="1"/>
  <c r="I56" i="1" s="1"/>
  <c r="O56" i="1"/>
  <c r="K56" i="1"/>
  <c r="L56" i="1" s="1"/>
  <c r="U55" i="1"/>
  <c r="P55" i="1"/>
  <c r="O55" i="1"/>
  <c r="K55" i="1"/>
  <c r="L55" i="1" s="1"/>
  <c r="I55" i="1"/>
  <c r="J55" i="1" s="1"/>
  <c r="E55" i="1"/>
  <c r="F55" i="1" s="1"/>
  <c r="U21" i="1"/>
  <c r="P21" i="1"/>
  <c r="I21" i="1" s="1"/>
  <c r="E21" i="1" s="1"/>
  <c r="F21" i="1" s="1"/>
  <c r="O21" i="1"/>
  <c r="K21" i="1"/>
  <c r="L21" i="1" s="1"/>
  <c r="U20" i="1"/>
  <c r="P20" i="1"/>
  <c r="O20" i="1"/>
  <c r="K20" i="1"/>
  <c r="L20" i="1" s="1"/>
  <c r="I20" i="1"/>
  <c r="J20" i="1" s="1"/>
  <c r="U19" i="1"/>
  <c r="P19" i="1"/>
  <c r="I19" i="1" s="1"/>
  <c r="O19" i="1"/>
  <c r="K19" i="1"/>
  <c r="G19" i="1" s="1"/>
  <c r="H19" i="1" s="1"/>
  <c r="U18" i="1"/>
  <c r="P18" i="1"/>
  <c r="I18" i="1" s="1"/>
  <c r="J18" i="1" s="1"/>
  <c r="O18" i="1"/>
  <c r="K18" i="1"/>
  <c r="L18" i="1" s="1"/>
  <c r="U17" i="1"/>
  <c r="P17" i="1"/>
  <c r="I17" i="1" s="1"/>
  <c r="E17" i="1" s="1"/>
  <c r="F17" i="1" s="1"/>
  <c r="O17" i="1"/>
  <c r="K17" i="1"/>
  <c r="L17" i="1" s="1"/>
  <c r="G17" i="1"/>
  <c r="H17" i="1" s="1"/>
  <c r="U16" i="1"/>
  <c r="P16" i="1"/>
  <c r="I16" i="1" s="1"/>
  <c r="E16" i="1" s="1"/>
  <c r="F16" i="1" s="1"/>
  <c r="O16" i="1"/>
  <c r="K16" i="1"/>
  <c r="L16" i="1" s="1"/>
  <c r="U15" i="1"/>
  <c r="P15" i="1"/>
  <c r="I15" i="1" s="1"/>
  <c r="O15" i="1"/>
  <c r="K15" i="1"/>
  <c r="L15" i="1" s="1"/>
  <c r="G15" i="1"/>
  <c r="H15" i="1" s="1"/>
  <c r="U14" i="1"/>
  <c r="P14" i="1"/>
  <c r="I14" i="1" s="1"/>
  <c r="J14" i="1" s="1"/>
  <c r="O14" i="1"/>
  <c r="K14" i="1"/>
  <c r="L14" i="1" s="1"/>
  <c r="U13" i="1"/>
  <c r="P13" i="1"/>
  <c r="I13" i="1" s="1"/>
  <c r="E13" i="1" s="1"/>
  <c r="F13" i="1" s="1"/>
  <c r="O13" i="1"/>
  <c r="L13" i="1"/>
  <c r="K13" i="1"/>
  <c r="G13" i="1"/>
  <c r="H13" i="1" s="1"/>
  <c r="U12" i="1"/>
  <c r="P12" i="1"/>
  <c r="O12" i="1"/>
  <c r="K12" i="1"/>
  <c r="L12" i="1" s="1"/>
  <c r="I12" i="1"/>
  <c r="J12" i="1" s="1"/>
  <c r="G12" i="1"/>
  <c r="H12" i="1" s="1"/>
  <c r="U11" i="1"/>
  <c r="P11" i="1"/>
  <c r="I11" i="1" s="1"/>
  <c r="O11" i="1"/>
  <c r="L11" i="1"/>
  <c r="K11" i="1"/>
  <c r="G11" i="1" s="1"/>
  <c r="H11" i="1" s="1"/>
  <c r="U10" i="1"/>
  <c r="P10" i="1"/>
  <c r="I10" i="1" s="1"/>
  <c r="J10" i="1" s="1"/>
  <c r="O10" i="1"/>
  <c r="K10" i="1"/>
  <c r="L10" i="1" s="1"/>
  <c r="U9" i="1"/>
  <c r="P9" i="1"/>
  <c r="I9" i="1" s="1"/>
  <c r="E9" i="1" s="1"/>
  <c r="F9" i="1" s="1"/>
  <c r="O9" i="1"/>
  <c r="K9" i="1"/>
  <c r="L9" i="1" s="1"/>
  <c r="U8" i="1"/>
  <c r="P8" i="1"/>
  <c r="O8" i="1"/>
  <c r="K8" i="1"/>
  <c r="L8" i="1" s="1"/>
  <c r="I8" i="1"/>
  <c r="J8" i="1" s="1"/>
  <c r="G8" i="1"/>
  <c r="H8" i="1" s="1"/>
  <c r="U7" i="1"/>
  <c r="P7" i="1"/>
  <c r="I7" i="1" s="1"/>
  <c r="O7" i="1"/>
  <c r="K7" i="1"/>
  <c r="G7" i="1" s="1"/>
  <c r="H7" i="1" s="1"/>
  <c r="U6" i="1"/>
  <c r="P6" i="1"/>
  <c r="O6" i="1"/>
  <c r="K6" i="1"/>
  <c r="L6" i="1" s="1"/>
  <c r="I6" i="1"/>
  <c r="J6" i="1" s="1"/>
  <c r="U5" i="1"/>
  <c r="P5" i="1"/>
  <c r="I5" i="1" s="1"/>
  <c r="E5" i="1" s="1"/>
  <c r="F5" i="1" s="1"/>
  <c r="O5" i="1"/>
  <c r="K5" i="1"/>
  <c r="G5" i="1" s="1"/>
  <c r="H5" i="1" s="1"/>
  <c r="U4" i="1"/>
  <c r="P4" i="1"/>
  <c r="O4" i="1"/>
  <c r="K4" i="1"/>
  <c r="L4" i="1" s="1"/>
  <c r="I4" i="1"/>
  <c r="J4" i="1" s="1"/>
  <c r="J25" i="1" l="1"/>
  <c r="E25" i="1"/>
  <c r="F25" i="1" s="1"/>
  <c r="J29" i="1"/>
  <c r="E29" i="1"/>
  <c r="F29" i="1" s="1"/>
  <c r="J42" i="1"/>
  <c r="E42" i="1"/>
  <c r="F42" i="1" s="1"/>
  <c r="J54" i="1"/>
  <c r="E54" i="1"/>
  <c r="F54" i="1" s="1"/>
  <c r="G21" i="1"/>
  <c r="H21" i="1" s="1"/>
  <c r="G25" i="1"/>
  <c r="H25" i="1" s="1"/>
  <c r="L34" i="1"/>
  <c r="J58" i="1"/>
  <c r="G45" i="1"/>
  <c r="H45" i="1" s="1"/>
  <c r="E41" i="1"/>
  <c r="F41" i="1" s="1"/>
  <c r="G57" i="1"/>
  <c r="H57" i="1" s="1"/>
  <c r="C73" i="1"/>
  <c r="D97" i="1"/>
  <c r="G84" i="1"/>
  <c r="G28" i="1"/>
  <c r="H28" i="1" s="1"/>
  <c r="G56" i="1"/>
  <c r="H56" i="1" s="1"/>
  <c r="G9" i="1"/>
  <c r="H9" i="1" s="1"/>
  <c r="L41" i="1"/>
  <c r="L43" i="1"/>
  <c r="G38" i="1"/>
  <c r="H38" i="1" s="1"/>
  <c r="G37" i="1"/>
  <c r="H37" i="1" s="1"/>
  <c r="G31" i="1"/>
  <c r="H31" i="1" s="1"/>
  <c r="G29" i="1"/>
  <c r="H29" i="1" s="1"/>
  <c r="G20" i="1"/>
  <c r="H20" i="1" s="1"/>
  <c r="L19" i="1"/>
  <c r="G16" i="1"/>
  <c r="H16" i="1" s="1"/>
  <c r="L7" i="1"/>
  <c r="L5" i="1"/>
  <c r="G4" i="1"/>
  <c r="H4" i="1" s="1"/>
  <c r="E50" i="1"/>
  <c r="F50" i="1" s="1"/>
  <c r="E33" i="1"/>
  <c r="F33" i="1" s="1"/>
  <c r="J21" i="1"/>
  <c r="E12" i="1"/>
  <c r="F12" i="1" s="1"/>
  <c r="E8" i="1"/>
  <c r="F8" i="1" s="1"/>
  <c r="E6" i="1"/>
  <c r="F6" i="1" s="1"/>
  <c r="E37" i="1"/>
  <c r="F37" i="1" s="1"/>
  <c r="E18" i="1"/>
  <c r="F18" i="1" s="1"/>
  <c r="E31" i="1"/>
  <c r="F31" i="1" s="1"/>
  <c r="J31" i="1"/>
  <c r="E39" i="1"/>
  <c r="F39" i="1" s="1"/>
  <c r="J39" i="1"/>
  <c r="E27" i="1"/>
  <c r="F27" i="1" s="1"/>
  <c r="J27" i="1"/>
  <c r="J40" i="1"/>
  <c r="E40" i="1"/>
  <c r="F40" i="1" s="1"/>
  <c r="J32" i="1"/>
  <c r="E32" i="1"/>
  <c r="F32" i="1" s="1"/>
  <c r="J28" i="1"/>
  <c r="E28" i="1"/>
  <c r="F28" i="1" s="1"/>
  <c r="E35" i="1"/>
  <c r="F35" i="1" s="1"/>
  <c r="J35" i="1"/>
  <c r="J36" i="1"/>
  <c r="E36" i="1"/>
  <c r="F36" i="1" s="1"/>
  <c r="L23" i="1"/>
  <c r="G24" i="1"/>
  <c r="H24" i="1" s="1"/>
  <c r="E46" i="1"/>
  <c r="F46" i="1" s="1"/>
  <c r="G50" i="1"/>
  <c r="H50" i="1" s="1"/>
  <c r="E51" i="1"/>
  <c r="F51" i="1" s="1"/>
  <c r="G54" i="1"/>
  <c r="H54" i="1" s="1"/>
  <c r="J26" i="1"/>
  <c r="J30" i="1"/>
  <c r="L32" i="1"/>
  <c r="J34" i="1"/>
  <c r="L36" i="1"/>
  <c r="J38" i="1"/>
  <c r="E4" i="1"/>
  <c r="F4" i="1" s="1"/>
  <c r="E14" i="1"/>
  <c r="F14" i="1" s="1"/>
  <c r="J16" i="1"/>
  <c r="E20" i="1"/>
  <c r="F20" i="1" s="1"/>
  <c r="E57" i="1"/>
  <c r="F57" i="1" s="1"/>
  <c r="G46" i="1"/>
  <c r="H46" i="1" s="1"/>
  <c r="G47" i="1"/>
  <c r="H47" i="1" s="1"/>
  <c r="G48" i="1"/>
  <c r="H48" i="1" s="1"/>
  <c r="G51" i="1"/>
  <c r="H51" i="1" s="1"/>
  <c r="G52" i="1"/>
  <c r="H52" i="1" s="1"/>
  <c r="O61" i="1"/>
  <c r="O62" i="1" s="1"/>
  <c r="O63" i="1" s="1"/>
  <c r="O64" i="1" s="1"/>
  <c r="H69" i="1" s="1"/>
  <c r="B82" i="1" s="1"/>
  <c r="B83" i="1" s="1"/>
  <c r="B85" i="1" s="1"/>
  <c r="E10" i="1"/>
  <c r="F10" i="1" s="1"/>
  <c r="G22" i="1"/>
  <c r="H22" i="1" s="1"/>
  <c r="G42" i="1"/>
  <c r="H42" i="1" s="1"/>
  <c r="G44" i="1"/>
  <c r="H44" i="1" s="1"/>
  <c r="G49" i="1"/>
  <c r="H49" i="1" s="1"/>
  <c r="G53" i="1"/>
  <c r="H53" i="1" s="1"/>
  <c r="J24" i="1"/>
  <c r="E24" i="1"/>
  <c r="F24" i="1" s="1"/>
  <c r="E48" i="1"/>
  <c r="F48" i="1" s="1"/>
  <c r="J48" i="1"/>
  <c r="E52" i="1"/>
  <c r="F52" i="1" s="1"/>
  <c r="J52" i="1"/>
  <c r="E44" i="1"/>
  <c r="F44" i="1" s="1"/>
  <c r="J44" i="1"/>
  <c r="J49" i="1"/>
  <c r="E49" i="1"/>
  <c r="F49" i="1" s="1"/>
  <c r="J53" i="1"/>
  <c r="E53" i="1"/>
  <c r="F53" i="1" s="1"/>
  <c r="E23" i="1"/>
  <c r="F23" i="1" s="1"/>
  <c r="J23" i="1"/>
  <c r="J45" i="1"/>
  <c r="E45" i="1"/>
  <c r="F45" i="1" s="1"/>
  <c r="E43" i="1"/>
  <c r="F43" i="1" s="1"/>
  <c r="E47" i="1"/>
  <c r="F47" i="1" s="1"/>
  <c r="J22" i="1"/>
  <c r="J11" i="1"/>
  <c r="E11" i="1"/>
  <c r="F11" i="1" s="1"/>
  <c r="E7" i="1"/>
  <c r="F7" i="1" s="1"/>
  <c r="J7" i="1"/>
  <c r="J19" i="1"/>
  <c r="E19" i="1"/>
  <c r="F19" i="1" s="1"/>
  <c r="E56" i="1"/>
  <c r="F56" i="1" s="1"/>
  <c r="J56" i="1"/>
  <c r="E15" i="1"/>
  <c r="F15" i="1" s="1"/>
  <c r="J15" i="1"/>
  <c r="J9" i="1"/>
  <c r="J17" i="1"/>
  <c r="J5" i="1"/>
  <c r="J13" i="1"/>
  <c r="G10" i="1"/>
  <c r="H10" i="1" s="1"/>
  <c r="G18" i="1"/>
  <c r="H18" i="1" s="1"/>
  <c r="G6" i="1"/>
  <c r="H6" i="1" s="1"/>
  <c r="G14" i="1"/>
  <c r="H14" i="1" s="1"/>
  <c r="G55" i="1"/>
  <c r="H55" i="1" s="1"/>
  <c r="A60" i="1" l="1"/>
  <c r="L62" i="1"/>
  <c r="D69" i="1" s="1"/>
  <c r="F62" i="1"/>
  <c r="G61" i="1" s="1"/>
  <c r="H61" i="1" s="1"/>
  <c r="J62" i="1"/>
  <c r="D104" i="1"/>
  <c r="B102" i="1"/>
  <c r="B92" i="1"/>
  <c r="B100" i="1" s="1"/>
  <c r="B87" i="1"/>
  <c r="B88" i="1" s="1"/>
  <c r="L63" i="1" l="1"/>
  <c r="C69" i="1"/>
  <c r="AA69" i="1" s="1"/>
  <c r="B78" i="1"/>
  <c r="D78" i="1" s="1"/>
  <c r="B76" i="1"/>
  <c r="D76" i="1" s="1"/>
  <c r="B74" i="1"/>
  <c r="D74" i="1" s="1"/>
  <c r="B72" i="1"/>
  <c r="D72" i="1" s="1"/>
  <c r="B73" i="1"/>
  <c r="D73" i="1" s="1"/>
  <c r="B75" i="1"/>
  <c r="D75" i="1" s="1"/>
  <c r="B77" i="1"/>
  <c r="D77" i="1" s="1"/>
  <c r="B79" i="1"/>
  <c r="D79" i="1" s="1"/>
  <c r="B103" i="1"/>
  <c r="D103" i="1" s="1"/>
  <c r="D102" i="1"/>
  <c r="M69" i="1" l="1"/>
  <c r="N69" i="1" s="1"/>
  <c r="D67" i="1"/>
  <c r="D105" i="1"/>
  <c r="F80" i="1" s="1"/>
  <c r="D80" i="1"/>
  <c r="G72" i="1" s="1"/>
  <c r="G75" i="1" l="1"/>
  <c r="F75" i="1" s="1"/>
  <c r="E75" i="1" s="1"/>
  <c r="G74" i="1"/>
  <c r="F74" i="1" s="1"/>
  <c r="E74" i="1" s="1"/>
  <c r="G79" i="1"/>
  <c r="F79" i="1" s="1"/>
  <c r="E79" i="1" s="1"/>
  <c r="G76" i="1"/>
  <c r="F76" i="1" s="1"/>
  <c r="E76" i="1" s="1"/>
  <c r="G78" i="1"/>
  <c r="F78" i="1" s="1"/>
  <c r="E78" i="1" s="1"/>
  <c r="G77" i="1"/>
  <c r="F77" i="1" s="1"/>
  <c r="E77" i="1" s="1"/>
  <c r="G60" i="1"/>
  <c r="H60" i="1" s="1"/>
  <c r="H62" i="1" s="1"/>
  <c r="H63" i="1" s="1"/>
  <c r="E69" i="1" s="1"/>
  <c r="AB69" i="1" s="1"/>
  <c r="F72" i="1"/>
  <c r="E72" i="1" s="1"/>
  <c r="D106" i="1"/>
  <c r="G73" i="1"/>
  <c r="F73" i="1" s="1"/>
  <c r="E73" i="1" s="1"/>
  <c r="T69" i="1" l="1"/>
  <c r="W69" i="1" s="1"/>
  <c r="R69" i="1" s="1"/>
  <c r="O69" i="1"/>
  <c r="P69" i="1" s="1"/>
  <c r="Q69" i="1" s="1"/>
  <c r="I69" i="1" l="1"/>
  <c r="K69" i="1" s="1"/>
  <c r="X69" i="1" l="1"/>
  <c r="J69" i="1"/>
  <c r="AC69" i="1"/>
  <c r="L69" i="1"/>
  <c r="I70" i="1" s="1"/>
  <c r="K70" i="1" l="1"/>
  <c r="L71" i="1"/>
</calcChain>
</file>

<file path=xl/sharedStrings.xml><?xml version="1.0" encoding="utf-8"?>
<sst xmlns="http://schemas.openxmlformats.org/spreadsheetml/2006/main" count="250" uniqueCount="186">
  <si>
    <t>Наименование</t>
  </si>
  <si>
    <t>Ед.изм.</t>
  </si>
  <si>
    <t>Количество</t>
  </si>
  <si>
    <t>Цена</t>
  </si>
  <si>
    <t>Стоимость</t>
  </si>
  <si>
    <t>Цена оборудования</t>
  </si>
  <si>
    <t>Стоимость закупки</t>
  </si>
  <si>
    <t>Цена работ</t>
  </si>
  <si>
    <t>ПОСТАВЩИКИ</t>
  </si>
  <si>
    <t>Оборудование</t>
  </si>
  <si>
    <t>Работы</t>
  </si>
  <si>
    <t>замена</t>
  </si>
  <si>
    <t>тайминг</t>
  </si>
  <si>
    <t>Итого тайм</t>
  </si>
  <si>
    <t>мин</t>
  </si>
  <si>
    <t>ганимед</t>
  </si>
  <si>
    <t>этм пенза</t>
  </si>
  <si>
    <t>ситилинк</t>
  </si>
  <si>
    <t>Болид</t>
  </si>
  <si>
    <t>макс</t>
  </si>
  <si>
    <t>Логистика</t>
  </si>
  <si>
    <t>Пуско-наладочные работы</t>
  </si>
  <si>
    <t>минут</t>
  </si>
  <si>
    <t>Итого Оборудование и материалы</t>
  </si>
  <si>
    <t>часов</t>
  </si>
  <si>
    <t>Итого</t>
  </si>
  <si>
    <t>дней на 1 чел</t>
  </si>
  <si>
    <t>проекты</t>
  </si>
  <si>
    <t>стоиомсть оборудования</t>
  </si>
  <si>
    <t>стоимость работ</t>
  </si>
  <si>
    <t>доходы по проекту</t>
  </si>
  <si>
    <t>официальная часть выплат за работы по договорам ГПХ</t>
  </si>
  <si>
    <t>Дата начала работ</t>
  </si>
  <si>
    <t>Дата завершения работ</t>
  </si>
  <si>
    <t>итого чистыми</t>
  </si>
  <si>
    <t>полные расходы со всеми налогами и комисиями</t>
  </si>
  <si>
    <t>итого % рентабельности проекта</t>
  </si>
  <si>
    <t>Премия менеджера</t>
  </si>
  <si>
    <t>официальные затраты</t>
  </si>
  <si>
    <t>полные расходы</t>
  </si>
  <si>
    <t>налогооблагаемая база</t>
  </si>
  <si>
    <t>за вычетом налога 15%</t>
  </si>
  <si>
    <t>за вычетом налога 13%</t>
  </si>
  <si>
    <t>затрты на привлечение кредита</t>
  </si>
  <si>
    <t>аванс %</t>
  </si>
  <si>
    <t>аванс</t>
  </si>
  <si>
    <t>срок исполнения договора, мес</t>
  </si>
  <si>
    <t>% ставка за привлечение денежных средств</t>
  </si>
  <si>
    <t>сумма привлеченных средств</t>
  </si>
  <si>
    <t>справочно</t>
  </si>
  <si>
    <t>налог15</t>
  </si>
  <si>
    <t>налог13</t>
  </si>
  <si>
    <t>итого без накрутки</t>
  </si>
  <si>
    <t>Итого налогов</t>
  </si>
  <si>
    <t>коммисия банка за наличные 1%</t>
  </si>
  <si>
    <t>отчисления в фонды 30% + ндфл 13%</t>
  </si>
  <si>
    <t>текущая дата</t>
  </si>
  <si>
    <t>Ресурс</t>
  </si>
  <si>
    <t>время</t>
  </si>
  <si>
    <t>цена за день</t>
  </si>
  <si>
    <t>стоимость</t>
  </si>
  <si>
    <t>цена в единицах</t>
  </si>
  <si>
    <t>стоимость в ед</t>
  </si>
  <si>
    <t>Монтажник</t>
  </si>
  <si>
    <t>Итого зарплата</t>
  </si>
  <si>
    <t>Дата начала</t>
  </si>
  <si>
    <t>Проектировщик</t>
  </si>
  <si>
    <t>Дата окончания</t>
  </si>
  <si>
    <t>Кол-во дней</t>
  </si>
  <si>
    <t>Бригадир</t>
  </si>
  <si>
    <t>Риск на срок в %</t>
  </si>
  <si>
    <t>Итого дней с учетом риска</t>
  </si>
  <si>
    <t>Количество выходных в неделю</t>
  </si>
  <si>
    <t>Количество выходных</t>
  </si>
  <si>
    <t>Количество рабочих дней</t>
  </si>
  <si>
    <t>Кол-во рабочих</t>
  </si>
  <si>
    <t>Количество мес (в руч)</t>
  </si>
  <si>
    <t>--| в сутках</t>
  </si>
  <si>
    <t>Количество мес (авто)</t>
  </si>
  <si>
    <t>Расстояние до объекта км</t>
  </si>
  <si>
    <t>в обе стороны</t>
  </si>
  <si>
    <t>Цена за бензин за литр</t>
  </si>
  <si>
    <t>Расход л/100</t>
  </si>
  <si>
    <t>Расход топлива л/км</t>
  </si>
  <si>
    <t>Проезд на бригаду 4 чел/км</t>
  </si>
  <si>
    <t>Количество транспорта</t>
  </si>
  <si>
    <t>Проезд итого</t>
  </si>
  <si>
    <t>Стоимость жилья в месяц</t>
  </si>
  <si>
    <t>количество жилья</t>
  </si>
  <si>
    <t>Итого помесячно</t>
  </si>
  <si>
    <t>Стоимость жилья в день</t>
  </si>
  <si>
    <t>Итого посуточно</t>
  </si>
  <si>
    <t>Выгоднее</t>
  </si>
  <si>
    <t>Проживание на человека/сутки</t>
  </si>
  <si>
    <t>Итого проживание</t>
  </si>
  <si>
    <t>Суточные на человека</t>
  </si>
  <si>
    <t>Итого суточные</t>
  </si>
  <si>
    <t>Итого командировочные</t>
  </si>
  <si>
    <t>Итого затраты на рабочих</t>
  </si>
  <si>
    <t>С 2000 БКИ</t>
  </si>
  <si>
    <t>РИП - 12 исп 50</t>
  </si>
  <si>
    <t xml:space="preserve">АКБ 12\17 </t>
  </si>
  <si>
    <t>АКБ 12\40</t>
  </si>
  <si>
    <t>С 2000 КПБ с 6 исп. реле</t>
  </si>
  <si>
    <t>С 2000 ИП 03</t>
  </si>
  <si>
    <t>ИПР-513-3АМ</t>
  </si>
  <si>
    <t>ИП-212-34А</t>
  </si>
  <si>
    <t>Топаз-12в "Выход"</t>
  </si>
  <si>
    <t>Гром-12М</t>
  </si>
  <si>
    <t>РИП - 12 исп 56</t>
  </si>
  <si>
    <t>С 2000 КДЛ</t>
  </si>
  <si>
    <t>С 2000 М исп 02</t>
  </si>
  <si>
    <t>Автоматический выключатель ВА29-47 2Р 6А</t>
  </si>
  <si>
    <t>ЩМП 50.40.17 (ЩМП-06)</t>
  </si>
  <si>
    <t>Короб перфорированный 25х40 Импакт 2м</t>
  </si>
  <si>
    <t>Дин рейка 200см</t>
  </si>
  <si>
    <t>USB - RS232 преобразователь интерфейса  USB в RS-232</t>
  </si>
  <si>
    <t>БРИЗ блок разветвительног-изолирующий</t>
  </si>
  <si>
    <t>Топаз-12в стрелка вправо-влево (зеленый фон)</t>
  </si>
  <si>
    <t>Компьютер в сборе (ИБП,монитор 24, мышь,клава)</t>
  </si>
  <si>
    <t>Администратор базы данных "Орион ПРО"</t>
  </si>
  <si>
    <t>Орион ПРО генератор отчетов</t>
  </si>
  <si>
    <t>Трубы ПВХ гофра 20 ОКЛ</t>
  </si>
  <si>
    <t>Кабельканал 40х25</t>
  </si>
  <si>
    <t>Кабельканал 25х16</t>
  </si>
  <si>
    <t>Дюбель гвозди 5х30</t>
  </si>
  <si>
    <t>Кабель ВВГнг FRLS 3х1.5</t>
  </si>
  <si>
    <t>Кабель огнестойкий КПСнг 1х2х0.75</t>
  </si>
  <si>
    <t>Кабель огнестойкий КПСнг 2х2х0.75</t>
  </si>
  <si>
    <t>Пена огнестойкая</t>
  </si>
  <si>
    <t>Труба стальная Ф32 (L=0.5м)</t>
  </si>
  <si>
    <t>шт</t>
  </si>
  <si>
    <t>Бирка кабельная</t>
  </si>
  <si>
    <t>уп</t>
  </si>
  <si>
    <t>Коробка монтажная огнестойкая КМ-О (4к)- IP41</t>
  </si>
  <si>
    <t xml:space="preserve">Заглушка ЗВ-32 (втулка В-32) </t>
  </si>
  <si>
    <t>Програмирование приборов</t>
  </si>
  <si>
    <t>Создание программы алгоритма управления</t>
  </si>
  <si>
    <t>Труба стальная Ф50 (L=0.5м)</t>
  </si>
  <si>
    <t xml:space="preserve">Заглушка ЗВ-50 (втулка В-50) </t>
  </si>
  <si>
    <t>ЗИП</t>
  </si>
  <si>
    <t>м</t>
  </si>
  <si>
    <t>услуга</t>
  </si>
  <si>
    <t>этм 9764960</t>
  </si>
  <si>
    <t>https://www.tinko.ru/catalog/product/216203/</t>
  </si>
  <si>
    <t>этм 2948594</t>
  </si>
  <si>
    <t>комп в сборе:</t>
  </si>
  <si>
    <t>процессор Intel Core i7-9700 OEM</t>
  </si>
  <si>
    <t>https://www.dns-shop.ru/product/37a72d7175233332/processor-intel-core-i7-9700-oem/</t>
  </si>
  <si>
    <t>https://www.citilink.ru/product/pk-iru-office-510b5gm-mt-i7-10700-8gb-ssd480gb-uhdg-630-dos-chernyi-1621685/</t>
  </si>
  <si>
    <t>Компьютер iRU Office 510B5GM</t>
  </si>
  <si>
    <t>Intel Core i7 10700, DDR4 8ГБ, 480ГБ(SSD), Intel UHD Graphics 630, Free DOS, черный [1621685]</t>
  </si>
  <si>
    <t>win 10</t>
  </si>
  <si>
    <t>https://www.citilink.ru/catalog/operacionnye-sistemy/MICROSOFT/?f=discount.any%2Crating.any%2C16171_164windowsd110%2C16172_164professional&amp;pf=discount.any%2Crating.any%2C16171_164windowsd110&amp;pb=MICROSOFT</t>
  </si>
  <si>
    <t>Win 10 Pro</t>
  </si>
  <si>
    <t>монитор 23,8</t>
  </si>
  <si>
    <t>Huawei AD80HW, или LG 24MK430H, или Dell SE2422H</t>
  </si>
  <si>
    <t>https://www.dns-shop.ru/product/9fb1fb540a2d3330/238-monitor-lg-24mk430h-cernyj/</t>
  </si>
  <si>
    <t>https://www.dns-shop.ru/product/bb6543468de12ff0/238-monitor-huawei-ad80hw-cernyj/</t>
  </si>
  <si>
    <t>https://www.dns-shop.ru/product/57b0cb2ad406d763/238-monitor-dell-se2422h-cernyj/</t>
  </si>
  <si>
    <t>клавиатура</t>
  </si>
  <si>
    <t>мышь</t>
  </si>
  <si>
    <t>https://www.dns-shop.ru/product/31d2f5e367bd3330/klaviatura-provodnaa-oklick-90m/</t>
  </si>
  <si>
    <t>Oklick 90M</t>
  </si>
  <si>
    <t>https://www.citilink.ru/product/klaviatura-oklick-90m-usb-chernyi-hk-01-402127/</t>
  </si>
  <si>
    <t>A4TECH OP-720</t>
  </si>
  <si>
    <t>https://www.citilink.ru/product/mysh-a4-op-720-opticheskaya-provodnaya-usb-chernyi-op-720-usb-black-513289/</t>
  </si>
  <si>
    <t>ИБП</t>
  </si>
  <si>
    <t>https://www.citilink.ru/product/ibp-powercom-raptor-rpt-1000a-euro-1000va-859787/properties/</t>
  </si>
  <si>
    <t>https://www.citilink.ru/product/ibp-ippon-back-basic-1050-euro-1050va-403409-403409/</t>
  </si>
  <si>
    <t>https://www.citilink.ru/product/ibp-apc-easy-ups-bv1000i-gr-1000va-1064813/properties/</t>
  </si>
  <si>
    <t>Орион ПРО оперативная задача исп20 Программное обеспечение (одно ядро и один монитор) и ключ защиты.</t>
  </si>
  <si>
    <t>Сервер "Орион Про" программное обеспечение с ключом защиты</t>
  </si>
  <si>
    <t>этм3615385</t>
  </si>
  <si>
    <t>или https://penza.evraz.market/metalloprokat/truby/truba_elektrosvarnaya/truba_vgp_32kh2_8_st3ps_gost_3262_75_12000/</t>
  </si>
  <si>
    <t>этм 2801423</t>
  </si>
  <si>
    <t>этм 3929440</t>
  </si>
  <si>
    <t>https://samara.promindex.ru/catalog/491246-zaglushka-vtulka-zv-32.html</t>
  </si>
  <si>
    <t>https://tsrc.energoportal.ru/zaglushka-zv-32-vtulka-v32-606037.html</t>
  </si>
  <si>
    <t>nv 9082266</t>
  </si>
  <si>
    <t>https://penza.evraz.market/metalloprokat/truby/truba_elektrosvarnaya/truba_vgp_50kh3_st2ps_gost_3262_75_6000/</t>
  </si>
  <si>
    <t>https://samara.promindex.ru/catalog/490723-zaglushka-50mm-100.html</t>
  </si>
  <si>
    <t>3530 руб 'nv 8057037</t>
  </si>
  <si>
    <t xml:space="preserve">9700 руб </t>
  </si>
  <si>
    <t>https://penza.vseinstrumenti.ru/rashodnie-materialy/instrument/akkumulyatornye-batarei/delta-/akkumulyatornaya-dtm-1240-l/</t>
  </si>
  <si>
    <t>комп готовый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</si>
</sst>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419]General"/>
    <numFmt numFmtId="165" formatCode="#,##0.00[$р.]"/>
    <numFmt numFmtId="166" formatCode="dd\.mm\.yyyy"/>
    <numFmt numFmtId="167" formatCode="m/d/yyyy\ h:mm:ss"/>
    <numFmt numFmtId="168" formatCode="#,##0.00\ &quot;₽&quot;"/>
  </numFmts>
  <fonts count="19">
    <font>
      <sz val="12"/>
      <color theme="1"/>
      <name val="Calibri"/>
      <scheme val="minor"/>
    </font>
    <font>
      <sz val="10"/>
      <color theme="1"/>
      <name val="Arial"/>
      <family val="2"/>
      <charset val="204"/>
    </font>
    <font>
      <sz val="11"/>
      <name val="Arial1"/>
    </font>
    <font>
      <u/>
      <sz val="12"/>
      <color theme="10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222222"/>
      <name val="Segoe UI"/>
      <family val="2"/>
      <charset val="204"/>
    </font>
    <font>
      <sz val="12"/>
      <color rgb="FF5E656A"/>
      <name val="Arial"/>
      <family val="2"/>
      <charset val="204"/>
    </font>
    <font>
      <sz val="6"/>
      <name val="Calibri"/>
      <family val="2"/>
      <charset val="204"/>
    </font>
    <font>
      <sz val="8"/>
      <name val="Calibri"/>
      <family val="2"/>
      <charset val="204"/>
    </font>
    <font>
      <b/>
      <sz val="8"/>
      <name val="Calibri"/>
      <family val="2"/>
      <charset val="204"/>
    </font>
    <font>
      <b/>
      <sz val="6"/>
      <name val="Calibri"/>
      <family val="2"/>
      <charset val="204"/>
    </font>
    <font>
      <sz val="8"/>
      <color indexed="65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222222"/>
      <name val="Segoe UI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FF2684"/>
        <bgColor rgb="FFFF268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C2BFFF"/>
        <bgColor rgb="FFC2BFFF"/>
      </patternFill>
    </fill>
    <fill>
      <patternFill patternType="solid">
        <fgColor rgb="FFFEBEFF"/>
        <bgColor rgb="FFFEBEFF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9CB9C"/>
        <bgColor rgb="FFF9CB9C"/>
      </patternFill>
    </fill>
    <fill>
      <patternFill patternType="solid">
        <fgColor indexed="5"/>
        <bgColor indexed="5"/>
      </patternFill>
    </fill>
    <fill>
      <patternFill patternType="solid">
        <fgColor rgb="FFD9EAD3"/>
        <bgColor rgb="FFD9EAD3"/>
      </patternFill>
    </fill>
    <fill>
      <patternFill patternType="solid">
        <fgColor rgb="FF92D050"/>
        <bgColor rgb="FF92D050"/>
      </patternFill>
    </fill>
    <fill>
      <patternFill patternType="solid">
        <fgColor indexed="52"/>
        <bgColor indexed="52"/>
      </patternFill>
    </fill>
    <fill>
      <patternFill patternType="solid">
        <fgColor indexed="2"/>
        <bgColor indexed="2"/>
      </patternFill>
    </fill>
    <fill>
      <patternFill patternType="solid">
        <fgColor rgb="FF9FC5E8"/>
        <bgColor rgb="FF9FC5E8"/>
      </patternFill>
    </fill>
    <fill>
      <patternFill patternType="solid">
        <fgColor rgb="FF7030A0"/>
        <bgColor rgb="FF7030A0"/>
      </patternFill>
    </fill>
    <fill>
      <patternFill patternType="solid">
        <fgColor rgb="FF4A86E8"/>
        <bgColor rgb="FF4A86E8"/>
      </patternFill>
    </fill>
    <fill>
      <patternFill patternType="solid">
        <fgColor indexed="7"/>
        <bgColor indexed="7"/>
      </patternFill>
    </fill>
    <fill>
      <patternFill patternType="solid">
        <fgColor rgb="FFEAD1DC"/>
        <bgColor rgb="FFEAD1DC"/>
      </patternFill>
    </fill>
    <fill>
      <patternFill patternType="solid">
        <fgColor indexed="3"/>
        <bgColor indexed="3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164" fontId="1" fillId="0" borderId="0"/>
    <xf numFmtId="164" fontId="2" fillId="0" borderId="0"/>
    <xf numFmtId="164" fontId="2" fillId="0" borderId="0"/>
    <xf numFmtId="0" fontId="3" fillId="0" borderId="0" applyNumberFormat="0" applyFill="0" applyBorder="0"/>
    <xf numFmtId="0" fontId="4" fillId="0" borderId="0"/>
    <xf numFmtId="0" fontId="4" fillId="0" borderId="0"/>
    <xf numFmtId="43" fontId="16" fillId="0" borderId="0" applyFont="0" applyFill="0" applyBorder="0"/>
  </cellStyleXfs>
  <cellXfs count="96">
    <xf numFmtId="0" fontId="0" fillId="0" borderId="0" xfId="0"/>
    <xf numFmtId="0" fontId="5" fillId="0" borderId="0" xfId="0" applyFont="1"/>
    <xf numFmtId="43" fontId="5" fillId="0" borderId="0" xfId="7" applyNumberFormat="1" applyFont="1"/>
    <xf numFmtId="0" fontId="6" fillId="2" borderId="1" xfId="0" applyFont="1" applyFill="1" applyBorder="1"/>
    <xf numFmtId="43" fontId="6" fillId="2" borderId="1" xfId="7" applyNumberFormat="1" applyFont="1" applyFill="1" applyBorder="1"/>
    <xf numFmtId="0" fontId="6" fillId="3" borderId="1" xfId="0" applyFont="1" applyFill="1" applyBorder="1"/>
    <xf numFmtId="0" fontId="7" fillId="4" borderId="0" xfId="0" applyFont="1" applyFill="1"/>
    <xf numFmtId="0" fontId="7" fillId="5" borderId="1" xfId="0" applyFont="1" applyFill="1" applyBorder="1"/>
    <xf numFmtId="0" fontId="5" fillId="2" borderId="1" xfId="0" applyFont="1" applyFill="1" applyBorder="1"/>
    <xf numFmtId="10" fontId="8" fillId="3" borderId="1" xfId="0" applyNumberFormat="1" applyFont="1" applyFill="1" applyBorder="1"/>
    <xf numFmtId="0" fontId="5" fillId="3" borderId="1" xfId="0" applyFont="1" applyFill="1" applyBorder="1"/>
    <xf numFmtId="0" fontId="7" fillId="4" borderId="1" xfId="0" applyFont="1" applyFill="1" applyBorder="1"/>
    <xf numFmtId="0" fontId="7" fillId="6" borderId="1" xfId="0" applyFont="1" applyFill="1" applyBorder="1"/>
    <xf numFmtId="0" fontId="5" fillId="0" borderId="1" xfId="0" applyFont="1" applyBorder="1"/>
    <xf numFmtId="43" fontId="5" fillId="0" borderId="1" xfId="7" applyNumberFormat="1" applyFont="1" applyBorder="1"/>
    <xf numFmtId="0" fontId="5" fillId="0" borderId="1" xfId="0" applyFont="1" applyBorder="1" applyAlignment="1">
      <alignment horizontal="center"/>
    </xf>
    <xf numFmtId="0" fontId="5" fillId="5" borderId="1" xfId="0" applyFont="1" applyFill="1" applyBorder="1"/>
    <xf numFmtId="164" fontId="5" fillId="0" borderId="1" xfId="0" applyNumberFormat="1" applyFont="1" applyBorder="1"/>
    <xf numFmtId="0" fontId="9" fillId="0" borderId="1" xfId="0" applyFont="1" applyBorder="1" applyAlignment="1">
      <alignment wrapText="1"/>
    </xf>
    <xf numFmtId="43" fontId="8" fillId="0" borderId="1" xfId="7" applyNumberFormat="1" applyFont="1" applyBorder="1"/>
    <xf numFmtId="0" fontId="5" fillId="7" borderId="1" xfId="0" applyFont="1" applyFill="1" applyBorder="1"/>
    <xf numFmtId="0" fontId="5" fillId="8" borderId="1" xfId="0" applyFont="1" applyFill="1" applyBorder="1"/>
    <xf numFmtId="3" fontId="10" fillId="0" borderId="0" xfId="0" applyNumberFormat="1" applyFont="1"/>
    <xf numFmtId="0" fontId="3" fillId="0" borderId="0" xfId="4" applyFont="1"/>
    <xf numFmtId="165" fontId="5" fillId="0" borderId="1" xfId="7" applyNumberFormat="1" applyFont="1" applyBorder="1"/>
    <xf numFmtId="0" fontId="8" fillId="9" borderId="1" xfId="0" applyFont="1" applyFill="1" applyBorder="1"/>
    <xf numFmtId="0" fontId="5" fillId="9" borderId="1" xfId="0" applyFont="1" applyFill="1" applyBorder="1"/>
    <xf numFmtId="43" fontId="5" fillId="9" borderId="1" xfId="7" applyNumberFormat="1" applyFont="1" applyFill="1" applyBorder="1"/>
    <xf numFmtId="43" fontId="8" fillId="9" borderId="1" xfId="7" applyNumberFormat="1" applyFont="1" applyFill="1" applyBorder="1"/>
    <xf numFmtId="43" fontId="8" fillId="9" borderId="1" xfId="0" applyNumberFormat="1" applyFont="1" applyFill="1" applyBorder="1"/>
    <xf numFmtId="9" fontId="8" fillId="0" borderId="0" xfId="0" applyNumberFormat="1" applyFont="1"/>
    <xf numFmtId="0" fontId="7" fillId="10" borderId="1" xfId="0" applyFont="1" applyFill="1" applyBorder="1"/>
    <xf numFmtId="0" fontId="6" fillId="9" borderId="1" xfId="0" applyFont="1" applyFill="1" applyBorder="1"/>
    <xf numFmtId="43" fontId="6" fillId="9" borderId="1" xfId="7" applyNumberFormat="1" applyFont="1" applyFill="1" applyBorder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165" fontId="14" fillId="13" borderId="1" xfId="0" applyNumberFormat="1" applyFont="1" applyFill="1" applyBorder="1" applyAlignment="1">
      <alignment horizontal="center" vertical="center" wrapText="1"/>
    </xf>
    <xf numFmtId="165" fontId="13" fillId="13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9" fontId="12" fillId="12" borderId="1" xfId="0" applyNumberFormat="1" applyFont="1" applyFill="1" applyBorder="1" applyAlignment="1">
      <alignment horizontal="center" vertical="center"/>
    </xf>
    <xf numFmtId="166" fontId="13" fillId="11" borderId="1" xfId="0" applyNumberFormat="1" applyFont="1" applyFill="1" applyBorder="1" applyAlignment="1">
      <alignment horizontal="center" vertical="center"/>
    </xf>
    <xf numFmtId="165" fontId="12" fillId="14" borderId="1" xfId="0" applyNumberFormat="1" applyFont="1" applyFill="1" applyBorder="1" applyAlignment="1">
      <alignment horizontal="center" vertical="center"/>
    </xf>
    <xf numFmtId="165" fontId="12" fillId="15" borderId="1" xfId="0" applyNumberFormat="1" applyFont="1" applyFill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0" fontId="12" fillId="16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165" fontId="15" fillId="18" borderId="1" xfId="0" applyNumberFormat="1" applyFont="1" applyFill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0" fontId="13" fillId="19" borderId="1" xfId="0" applyFont="1" applyFill="1" applyBorder="1"/>
    <xf numFmtId="168" fontId="5" fillId="0" borderId="0" xfId="0" applyNumberFormat="1" applyFont="1"/>
    <xf numFmtId="0" fontId="12" fillId="0" borderId="1" xfId="0" applyFont="1" applyBorder="1"/>
    <xf numFmtId="165" fontId="12" fillId="0" borderId="1" xfId="0" applyNumberFormat="1" applyFont="1" applyBorder="1"/>
    <xf numFmtId="10" fontId="12" fillId="0" borderId="0" xfId="0" applyNumberFormat="1" applyFont="1"/>
    <xf numFmtId="0" fontId="13" fillId="20" borderId="1" xfId="0" applyFont="1" applyFill="1" applyBorder="1"/>
    <xf numFmtId="165" fontId="13" fillId="20" borderId="1" xfId="0" applyNumberFormat="1" applyFont="1" applyFill="1" applyBorder="1"/>
    <xf numFmtId="0" fontId="13" fillId="21" borderId="1" xfId="0" applyFont="1" applyFill="1" applyBorder="1"/>
    <xf numFmtId="166" fontId="12" fillId="22" borderId="1" xfId="0" applyNumberFormat="1" applyFont="1" applyFill="1" applyBorder="1" applyAlignment="1">
      <alignment horizontal="right"/>
    </xf>
    <xf numFmtId="0" fontId="13" fillId="23" borderId="1" xfId="0" applyFont="1" applyFill="1" applyBorder="1"/>
    <xf numFmtId="165" fontId="12" fillId="24" borderId="1" xfId="0" applyNumberFormat="1" applyFont="1" applyFill="1" applyBorder="1"/>
    <xf numFmtId="9" fontId="12" fillId="0" borderId="1" xfId="0" applyNumberFormat="1" applyFont="1" applyBorder="1"/>
    <xf numFmtId="9" fontId="12" fillId="22" borderId="1" xfId="0" applyNumberFormat="1" applyFont="1" applyFill="1" applyBorder="1"/>
    <xf numFmtId="0" fontId="12" fillId="24" borderId="1" xfId="0" applyFont="1" applyFill="1" applyBorder="1"/>
    <xf numFmtId="9" fontId="13" fillId="0" borderId="1" xfId="0" applyNumberFormat="1" applyFont="1" applyBorder="1"/>
    <xf numFmtId="0" fontId="12" fillId="22" borderId="1" xfId="0" applyFont="1" applyFill="1" applyBorder="1"/>
    <xf numFmtId="0" fontId="12" fillId="23" borderId="1" xfId="0" applyFont="1" applyFill="1" applyBorder="1"/>
    <xf numFmtId="0" fontId="13" fillId="0" borderId="1" xfId="0" applyFont="1" applyBorder="1"/>
    <xf numFmtId="0" fontId="12" fillId="25" borderId="1" xfId="0" applyFont="1" applyFill="1" applyBorder="1"/>
    <xf numFmtId="4" fontId="12" fillId="22" borderId="1" xfId="0" applyNumberFormat="1" applyFont="1" applyFill="1" applyBorder="1"/>
    <xf numFmtId="165" fontId="12" fillId="22" borderId="1" xfId="0" applyNumberFormat="1" applyFont="1" applyFill="1" applyBorder="1"/>
    <xf numFmtId="4" fontId="12" fillId="0" borderId="1" xfId="0" applyNumberFormat="1" applyFont="1" applyBorder="1"/>
    <xf numFmtId="0" fontId="12" fillId="21" borderId="1" xfId="0" applyFont="1" applyFill="1" applyBorder="1"/>
    <xf numFmtId="165" fontId="13" fillId="0" borderId="1" xfId="0" applyNumberFormat="1" applyFont="1" applyBorder="1"/>
    <xf numFmtId="0" fontId="12" fillId="0" borderId="0" xfId="0" applyFont="1"/>
    <xf numFmtId="0" fontId="13" fillId="16" borderId="1" xfId="0" applyFont="1" applyFill="1" applyBorder="1" applyAlignment="1">
      <alignment horizontal="center"/>
    </xf>
    <xf numFmtId="0" fontId="12" fillId="20" borderId="1" xfId="0" applyFont="1" applyFill="1" applyBorder="1"/>
    <xf numFmtId="165" fontId="13" fillId="19" borderId="1" xfId="0" applyNumberFormat="1" applyFont="1" applyFill="1" applyBorder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wrapText="1"/>
    </xf>
    <xf numFmtId="0" fontId="16" fillId="0" borderId="0" xfId="0" applyFont="1"/>
    <xf numFmtId="0" fontId="0" fillId="0" borderId="1" xfId="0" applyBorder="1"/>
    <xf numFmtId="0" fontId="0" fillId="0" borderId="5" xfId="0" applyBorder="1"/>
    <xf numFmtId="0" fontId="16" fillId="0" borderId="1" xfId="0" applyFont="1" applyBorder="1"/>
    <xf numFmtId="0" fontId="0" fillId="0" borderId="1" xfId="0" applyFill="1" applyBorder="1"/>
    <xf numFmtId="0" fontId="3" fillId="0" borderId="0" xfId="4"/>
    <xf numFmtId="0" fontId="5" fillId="0" borderId="0" xfId="0" quotePrefix="1" applyFont="1"/>
    <xf numFmtId="0" fontId="16" fillId="26" borderId="0" xfId="0" applyFont="1" applyFill="1"/>
    <xf numFmtId="0" fontId="0" fillId="26" borderId="0" xfId="0" applyFill="1"/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</cellXfs>
  <cellStyles count="8">
    <cellStyle name="Гиперссылка" xfId="4" builtinId="8"/>
    <cellStyle name="Обычный" xfId="0" builtinId="0"/>
    <cellStyle name="Обычный 3" xfId="5" xr:uid="{00000000-0005-0000-0000-000005000000}"/>
    <cellStyle name="Обычный 4" xfId="6" xr:uid="{00000000-0005-0000-0000-000006000000}"/>
    <cellStyle name="Финансовый" xfId="7" builtinId="3"/>
    <cellStyle name="Excel Built-in Normal" xfId="1" xr:uid="{00000000-0005-0000-0000-000000000000}"/>
    <cellStyle name="Excel Built-in Normal 1" xfId="2" xr:uid="{00000000-0005-0000-0000-000001000000}"/>
    <cellStyle name="Excel Built-in Normal 1 4" xfId="3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:/C:/C:/Users/andreybubnov/Yandex.Disk.localized/Work/&#1087;&#1088;&#1086;&#1077;&#1082;&#1090;&#1099;/&#1040;&#1074;&#1090;&#1086;&#1076;&#1086;&#1088;&#1086;&#1078;&#1085;&#1099;&#1080;&#774;%20&#1082;&#1086;&#1083;&#1083;&#1077;&#1076;&#1078;/&#1056;&#1072;&#1089;&#1095;&#1077;&#1090;&#109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:/C:/C:/C:/Users/andreybubnov/Yandex.Disk.localized/Work/&#1087;&#1088;&#1086;&#1077;&#1082;&#1090;&#1099;/&#1040;&#1074;&#1090;&#1086;&#1076;&#1086;&#1088;&#1086;&#1078;&#1085;&#1099;&#1080;&#774;%20&#1082;&#1086;&#1083;&#1083;&#1077;&#1076;&#1078;/&#1056;&#1072;&#1089;&#1095;&#1077;&#1090;&#1099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Users/andreybubnov/Yandex.Disk.localized/-=&#1054;&#1054;&#1054;%20&#1055;&#1056;&#1054;&#1060;&#1048;&#1058;%20&#1048;&#1053;&#1046;&#1048;&#1053;&#1048;&#1056;&#1048;&#1053;&#1043;=-/Users\andreybubnov\Yandex.Disk.localized\&#1054;&#1054;&#1054;%20&#1055;&#1056;&#1054;&#1060;&#1048;&#1058;%20&#1048;&#1053;&#1046;&#1048;&#1053;&#1048;&#1056;&#1048;&#1053;&#1043;\&#1087;&#1088;&#1086;&#1077;&#1082;&#1090;&#1099;\&#1040;&#1054;%20&#1058;&#1072;&#1085;&#1076;&#1077;&#1088;\&#1050;&#1088;&#1072;&#1089;&#1085;&#1086;&#1076;&#1072;&#1088;&#1089;&#1082;&#1080;&#1080;&#774;%20&#1082;&#1088;&#1072;&#1080;&#774;\&#1056;&#1062;%20&#1050;&#1086;&#1087;&#1086;&#1090;&#1082;&#1080;&#1085;\&#1044;&#1086;&#1082;&#1091;&#1084;&#1077;&#1085;&#1090;&#1072;&#1094;&#1080;&#1103;%20&#1082;%20&#1090;&#1086;&#1088;&#1075;&#1086;&#1074;&#1086;&#1080;&#774;%20&#1087;&#1088;&#1086;&#1094;&#1077;&#1076;&#1091;&#1088;&#1077;\C:\Users\andreybubnov\Yandex.Disk.localized\Work\&#1087;&#1088;&#1086;&#1077;&#1082;&#1090;&#1099;\&#1040;&#1074;&#1090;&#1086;&#1076;&#1086;&#1088;&#1086;&#1078;&#1085;&#1099;&#1080;&#774;%20&#1082;&#1086;&#1083;&#1083;&#1077;&#1076;&#1078;\&#1056;&#1072;&#1089;&#1095;&#1077;&#1090;&#1099;.xlsx?734BE52B" TargetMode="External"/><Relationship Id="rId1" Type="http://schemas.openxmlformats.org/officeDocument/2006/relationships/externalLinkPath" Target="file:///734BE52B/&#1056;&#1072;&#1089;&#1095;&#1077;&#1090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ype"/>
      <sheetName val="Cost"/>
      <sheetName val="Статус-Монтажники-Менеджеры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ype"/>
      <sheetName val="Cost"/>
      <sheetName val="Статус-Монтажники-Менеджеры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yp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nko.ru/catalog/product/216203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itilink.ru/product/ibp-apc-easy-ups-bv1000i-gr-1000va-1064813/properties/" TargetMode="External"/><Relationship Id="rId1" Type="http://schemas.openxmlformats.org/officeDocument/2006/relationships/hyperlink" Target="https://www.dns-shop.ru/product/9fb1fb540a2d3330/238-monitor-lg-24mk430h-cernyj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6"/>
  <sheetViews>
    <sheetView tabSelected="1" topLeftCell="A43" workbookViewId="0">
      <selection activeCell="K41" sqref="K41:L42"/>
    </sheetView>
  </sheetViews>
  <sheetFormatPr baseColWidth="10" defaultColWidth="10.83203125" defaultRowHeight="14"/>
  <cols>
    <col min="1" max="1" width="40.6640625" style="1" bestFit="1" customWidth="1"/>
    <col min="2" max="3" width="10.83203125" style="1" bestFit="1"/>
    <col min="4" max="4" width="13" style="2" bestFit="1" customWidth="1"/>
    <col min="5" max="5" width="10.83203125" style="2" bestFit="1"/>
    <col min="6" max="6" width="12.1640625" style="2" customWidth="1"/>
    <col min="7" max="7" width="10.83203125" style="2" customWidth="1"/>
    <col min="8" max="8" width="15.83203125" style="1" customWidth="1"/>
    <col min="9" max="9" width="15" style="1" customWidth="1"/>
    <col min="10" max="10" width="11.83203125" style="1" customWidth="1"/>
    <col min="11" max="11" width="15" style="1" customWidth="1"/>
    <col min="12" max="12" width="12.1640625" style="1" customWidth="1"/>
    <col min="13" max="16" width="10.83203125" style="1" customWidth="1"/>
    <col min="17" max="16384" width="10.83203125" style="1"/>
  </cols>
  <sheetData>
    <row r="1" spans="1:23">
      <c r="A1" s="3" t="s">
        <v>0</v>
      </c>
      <c r="B1" s="3"/>
      <c r="C1" s="3" t="s">
        <v>1</v>
      </c>
      <c r="D1" s="3" t="s">
        <v>2</v>
      </c>
      <c r="E1" s="4" t="s">
        <v>3</v>
      </c>
      <c r="F1" s="4" t="s">
        <v>4</v>
      </c>
      <c r="G1" s="4" t="s">
        <v>3</v>
      </c>
      <c r="H1" s="4" t="s">
        <v>4</v>
      </c>
      <c r="I1" s="5" t="s">
        <v>5</v>
      </c>
      <c r="J1" s="5" t="s">
        <v>6</v>
      </c>
      <c r="K1" s="5" t="s">
        <v>7</v>
      </c>
      <c r="L1" s="5" t="s">
        <v>6</v>
      </c>
      <c r="M1" s="6"/>
      <c r="N1" s="7"/>
      <c r="O1" s="7"/>
      <c r="P1" s="93" t="s">
        <v>8</v>
      </c>
      <c r="Q1" s="94"/>
      <c r="R1" s="94"/>
      <c r="S1" s="94"/>
      <c r="T1" s="94"/>
      <c r="U1" s="95"/>
    </row>
    <row r="2" spans="1:23">
      <c r="A2" s="8"/>
      <c r="B2" s="8"/>
      <c r="C2" s="8"/>
      <c r="D2" s="8"/>
      <c r="E2" s="4" t="s">
        <v>9</v>
      </c>
      <c r="F2" s="4" t="s">
        <v>9</v>
      </c>
      <c r="G2" s="4" t="s">
        <v>10</v>
      </c>
      <c r="H2" s="4" t="s">
        <v>10</v>
      </c>
      <c r="I2" s="9">
        <v>0.3</v>
      </c>
      <c r="J2" s="10"/>
      <c r="K2" s="9">
        <v>1</v>
      </c>
      <c r="L2" s="10"/>
      <c r="M2" s="11" t="s">
        <v>11</v>
      </c>
      <c r="N2" s="7" t="s">
        <v>12</v>
      </c>
      <c r="O2" s="7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</row>
    <row r="3" spans="1:23">
      <c r="A3" s="13"/>
      <c r="B3" s="13"/>
      <c r="C3" s="13"/>
      <c r="D3" s="13"/>
      <c r="E3" s="14"/>
      <c r="F3" s="14"/>
      <c r="G3" s="14"/>
      <c r="H3" s="14"/>
      <c r="I3" s="15" t="s">
        <v>14</v>
      </c>
      <c r="J3" s="13"/>
      <c r="K3" s="13"/>
      <c r="L3" s="13"/>
      <c r="M3" s="11"/>
      <c r="N3" s="16">
        <v>8.34</v>
      </c>
      <c r="O3" s="16"/>
      <c r="P3" s="13"/>
      <c r="Q3" s="13"/>
      <c r="R3" s="13"/>
      <c r="S3" s="13"/>
      <c r="T3" s="13"/>
      <c r="U3" s="13"/>
    </row>
    <row r="4" spans="1:23" ht="16">
      <c r="A4" s="13" t="s">
        <v>99</v>
      </c>
      <c r="B4" s="17"/>
      <c r="C4" s="83" t="s">
        <v>131</v>
      </c>
      <c r="D4" s="13">
        <v>1</v>
      </c>
      <c r="E4" s="19">
        <f t="shared" ref="E4:E58" si="0">IF(M4=0,ROUND(I4*(1+$I$2),2),M4)</f>
        <v>6461</v>
      </c>
      <c r="F4" s="19">
        <f t="shared" ref="F4:F58" si="1">D4*E4</f>
        <v>6461</v>
      </c>
      <c r="G4" s="19">
        <f t="shared" ref="G4:G58" si="2">ROUND(K4*(1+$K$2),2)</f>
        <v>333.6</v>
      </c>
      <c r="H4" s="19">
        <f t="shared" ref="H4:H60" si="3">D4*G4</f>
        <v>333.6</v>
      </c>
      <c r="I4" s="19">
        <f t="shared" ref="I4:I60" si="4">IF($I$3=$P$2,P4,IF($I$3=$Q$2,Q4,IF($I$3=$R$2,R4,IF($I$3=$S$2,S4,IF($I$3=$T$2,T4,IF($I$3=$U$2,U4,0))))))</f>
        <v>4970</v>
      </c>
      <c r="J4" s="19">
        <f t="shared" ref="J4:J60" si="5">D4*I4</f>
        <v>4970</v>
      </c>
      <c r="K4" s="14">
        <f t="shared" ref="K4:K58" si="6">N4*$N$3</f>
        <v>166.8</v>
      </c>
      <c r="L4" s="19">
        <f t="shared" ref="L4:L60" si="7">D4*K4</f>
        <v>166.8</v>
      </c>
      <c r="M4" s="20"/>
      <c r="N4" s="21">
        <v>20</v>
      </c>
      <c r="O4" s="21">
        <f t="shared" ref="O4:O58" si="8">D4*N4</f>
        <v>20</v>
      </c>
      <c r="P4" s="13">
        <f t="shared" ref="P4:P60" si="9">MIN(Q4:T4)</f>
        <v>4970</v>
      </c>
      <c r="Q4" s="13">
        <v>4970</v>
      </c>
      <c r="R4" s="13"/>
      <c r="S4" s="13"/>
      <c r="T4" s="22"/>
      <c r="U4" s="13">
        <f t="shared" ref="U4:U60" si="10">MAX(Q4:T4)</f>
        <v>4970</v>
      </c>
    </row>
    <row r="5" spans="1:23" ht="16">
      <c r="A5" s="13" t="s">
        <v>100</v>
      </c>
      <c r="B5" s="17"/>
      <c r="C5" s="83" t="s">
        <v>131</v>
      </c>
      <c r="D5" s="13">
        <v>6</v>
      </c>
      <c r="E5" s="19">
        <f t="shared" si="0"/>
        <v>6513</v>
      </c>
      <c r="F5" s="19">
        <f t="shared" si="1"/>
        <v>39078</v>
      </c>
      <c r="G5" s="19">
        <f t="shared" si="2"/>
        <v>333.6</v>
      </c>
      <c r="H5" s="19">
        <f t="shared" si="3"/>
        <v>2001.6000000000001</v>
      </c>
      <c r="I5" s="19">
        <f t="shared" si="4"/>
        <v>5010</v>
      </c>
      <c r="J5" s="19">
        <f t="shared" si="5"/>
        <v>30060</v>
      </c>
      <c r="K5" s="14">
        <f t="shared" si="6"/>
        <v>166.8</v>
      </c>
      <c r="L5" s="19">
        <f t="shared" si="7"/>
        <v>1000.8000000000001</v>
      </c>
      <c r="M5" s="20"/>
      <c r="N5" s="21">
        <v>20</v>
      </c>
      <c r="O5" s="21">
        <f t="shared" si="8"/>
        <v>120</v>
      </c>
      <c r="P5" s="13">
        <f t="shared" si="9"/>
        <v>5010</v>
      </c>
      <c r="Q5" s="13">
        <v>5010</v>
      </c>
      <c r="R5" s="13"/>
      <c r="S5" s="13"/>
      <c r="T5" s="13"/>
      <c r="U5" s="13">
        <f t="shared" si="10"/>
        <v>5010</v>
      </c>
      <c r="V5" s="23"/>
    </row>
    <row r="6" spans="1:23" ht="15">
      <c r="A6" s="13" t="s">
        <v>101</v>
      </c>
      <c r="B6" s="17"/>
      <c r="C6" s="83" t="s">
        <v>131</v>
      </c>
      <c r="D6" s="13">
        <v>6</v>
      </c>
      <c r="E6" s="19">
        <f t="shared" si="0"/>
        <v>2782</v>
      </c>
      <c r="F6" s="19">
        <f t="shared" si="1"/>
        <v>16692</v>
      </c>
      <c r="G6" s="19">
        <f t="shared" si="2"/>
        <v>83.4</v>
      </c>
      <c r="H6" s="19">
        <f t="shared" si="3"/>
        <v>500.40000000000003</v>
      </c>
      <c r="I6" s="19">
        <f t="shared" si="4"/>
        <v>2140</v>
      </c>
      <c r="J6" s="19">
        <f t="shared" si="5"/>
        <v>12840</v>
      </c>
      <c r="K6" s="14">
        <f t="shared" si="6"/>
        <v>41.7</v>
      </c>
      <c r="L6" s="19">
        <f t="shared" si="7"/>
        <v>250.20000000000002</v>
      </c>
      <c r="M6" s="20"/>
      <c r="N6" s="21">
        <v>5</v>
      </c>
      <c r="O6" s="21">
        <f t="shared" si="8"/>
        <v>30</v>
      </c>
      <c r="P6" s="13">
        <f t="shared" si="9"/>
        <v>2140</v>
      </c>
      <c r="Q6" s="13">
        <v>2140</v>
      </c>
      <c r="R6" s="13"/>
      <c r="S6" s="13"/>
      <c r="T6" s="13"/>
      <c r="U6" s="13">
        <f t="shared" si="10"/>
        <v>2140</v>
      </c>
      <c r="V6" s="1" t="s">
        <v>182</v>
      </c>
    </row>
    <row r="7" spans="1:23" ht="15">
      <c r="A7" s="13" t="s">
        <v>102</v>
      </c>
      <c r="B7" s="17"/>
      <c r="C7" s="83" t="s">
        <v>131</v>
      </c>
      <c r="D7" s="13">
        <v>2</v>
      </c>
      <c r="E7" s="19">
        <f t="shared" si="0"/>
        <v>6895.2</v>
      </c>
      <c r="F7" s="19">
        <f t="shared" si="1"/>
        <v>13790.4</v>
      </c>
      <c r="G7" s="19">
        <f t="shared" si="2"/>
        <v>83.4</v>
      </c>
      <c r="H7" s="19">
        <f t="shared" si="3"/>
        <v>166.8</v>
      </c>
      <c r="I7" s="19">
        <f t="shared" si="4"/>
        <v>5304</v>
      </c>
      <c r="J7" s="19">
        <f t="shared" si="5"/>
        <v>10608</v>
      </c>
      <c r="K7" s="14">
        <f t="shared" si="6"/>
        <v>41.7</v>
      </c>
      <c r="L7" s="19">
        <f t="shared" si="7"/>
        <v>83.4</v>
      </c>
      <c r="M7" s="20"/>
      <c r="N7" s="21">
        <v>5</v>
      </c>
      <c r="O7" s="21">
        <f t="shared" si="8"/>
        <v>10</v>
      </c>
      <c r="P7" s="13">
        <f t="shared" si="9"/>
        <v>5304</v>
      </c>
      <c r="Q7" s="13">
        <v>5304</v>
      </c>
      <c r="R7" s="13"/>
      <c r="S7" s="13"/>
      <c r="T7" s="13"/>
      <c r="U7" s="13">
        <f t="shared" si="10"/>
        <v>5304</v>
      </c>
      <c r="V7" s="1" t="s">
        <v>183</v>
      </c>
      <c r="W7" s="1" t="s">
        <v>184</v>
      </c>
    </row>
    <row r="8" spans="1:23" ht="15">
      <c r="A8" s="13" t="s">
        <v>103</v>
      </c>
      <c r="B8" s="17"/>
      <c r="C8" s="83" t="s">
        <v>131</v>
      </c>
      <c r="D8" s="13">
        <v>5</v>
      </c>
      <c r="E8" s="19">
        <f t="shared" si="0"/>
        <v>3588</v>
      </c>
      <c r="F8" s="19">
        <f t="shared" si="1"/>
        <v>17940</v>
      </c>
      <c r="G8" s="19">
        <f t="shared" si="2"/>
        <v>333.6</v>
      </c>
      <c r="H8" s="19">
        <f t="shared" si="3"/>
        <v>1668</v>
      </c>
      <c r="I8" s="19">
        <f t="shared" si="4"/>
        <v>2760</v>
      </c>
      <c r="J8" s="19">
        <f t="shared" si="5"/>
        <v>13800</v>
      </c>
      <c r="K8" s="14">
        <f t="shared" si="6"/>
        <v>166.8</v>
      </c>
      <c r="L8" s="19">
        <f t="shared" si="7"/>
        <v>834</v>
      </c>
      <c r="M8" s="20"/>
      <c r="N8" s="21">
        <v>20</v>
      </c>
      <c r="O8" s="21">
        <f t="shared" si="8"/>
        <v>100</v>
      </c>
      <c r="P8" s="13">
        <f t="shared" si="9"/>
        <v>2760</v>
      </c>
      <c r="Q8" s="13">
        <v>2760</v>
      </c>
      <c r="R8" s="13"/>
      <c r="S8" s="13"/>
      <c r="T8" s="13"/>
      <c r="U8" s="13">
        <f t="shared" si="10"/>
        <v>2760</v>
      </c>
    </row>
    <row r="9" spans="1:23" ht="15">
      <c r="A9" s="13" t="s">
        <v>104</v>
      </c>
      <c r="B9" s="17"/>
      <c r="C9" s="83" t="s">
        <v>131</v>
      </c>
      <c r="D9" s="13">
        <v>8</v>
      </c>
      <c r="E9" s="19">
        <f t="shared" si="0"/>
        <v>988</v>
      </c>
      <c r="F9" s="19">
        <f t="shared" si="1"/>
        <v>7904</v>
      </c>
      <c r="G9" s="19">
        <f t="shared" si="2"/>
        <v>333.6</v>
      </c>
      <c r="H9" s="19">
        <f t="shared" si="3"/>
        <v>2668.8</v>
      </c>
      <c r="I9" s="19">
        <f t="shared" si="4"/>
        <v>760</v>
      </c>
      <c r="J9" s="19">
        <f t="shared" si="5"/>
        <v>6080</v>
      </c>
      <c r="K9" s="14">
        <f t="shared" si="6"/>
        <v>166.8</v>
      </c>
      <c r="L9" s="19">
        <f t="shared" si="7"/>
        <v>1334.4</v>
      </c>
      <c r="M9" s="20"/>
      <c r="N9" s="21">
        <v>20</v>
      </c>
      <c r="O9" s="21">
        <f t="shared" si="8"/>
        <v>160</v>
      </c>
      <c r="P9" s="13">
        <f t="shared" si="9"/>
        <v>760</v>
      </c>
      <c r="Q9" s="13">
        <v>760</v>
      </c>
      <c r="R9" s="13"/>
      <c r="S9" s="13"/>
      <c r="T9" s="13"/>
      <c r="U9" s="13">
        <f t="shared" si="10"/>
        <v>760</v>
      </c>
    </row>
    <row r="10" spans="1:23" ht="15">
      <c r="A10" s="13" t="s">
        <v>105</v>
      </c>
      <c r="B10" s="17"/>
      <c r="C10" s="83" t="s">
        <v>131</v>
      </c>
      <c r="D10" s="13">
        <v>41</v>
      </c>
      <c r="E10" s="19">
        <f t="shared" si="0"/>
        <v>755.3</v>
      </c>
      <c r="F10" s="19">
        <f t="shared" si="1"/>
        <v>30967.3</v>
      </c>
      <c r="G10" s="19">
        <f t="shared" si="2"/>
        <v>250.2</v>
      </c>
      <c r="H10" s="19">
        <f t="shared" si="3"/>
        <v>10258.199999999999</v>
      </c>
      <c r="I10" s="19">
        <f t="shared" si="4"/>
        <v>581</v>
      </c>
      <c r="J10" s="19">
        <f t="shared" si="5"/>
        <v>23821</v>
      </c>
      <c r="K10" s="14">
        <f t="shared" si="6"/>
        <v>125.1</v>
      </c>
      <c r="L10" s="19">
        <f t="shared" si="7"/>
        <v>5129.0999999999995</v>
      </c>
      <c r="M10" s="20"/>
      <c r="N10" s="21">
        <v>15</v>
      </c>
      <c r="O10" s="21">
        <f t="shared" si="8"/>
        <v>615</v>
      </c>
      <c r="P10" s="13">
        <f t="shared" si="9"/>
        <v>581</v>
      </c>
      <c r="Q10" s="13">
        <v>581</v>
      </c>
      <c r="R10" s="13"/>
      <c r="S10" s="13"/>
      <c r="T10" s="13"/>
      <c r="U10" s="13">
        <f t="shared" si="10"/>
        <v>581</v>
      </c>
    </row>
    <row r="11" spans="1:23" ht="15">
      <c r="A11" s="13" t="s">
        <v>106</v>
      </c>
      <c r="B11" s="17"/>
      <c r="C11" s="83" t="s">
        <v>131</v>
      </c>
      <c r="D11" s="13">
        <v>469</v>
      </c>
      <c r="E11" s="19">
        <f t="shared" si="0"/>
        <v>1105</v>
      </c>
      <c r="F11" s="19">
        <f t="shared" si="1"/>
        <v>518245</v>
      </c>
      <c r="G11" s="19">
        <f t="shared" si="2"/>
        <v>250.2</v>
      </c>
      <c r="H11" s="19">
        <f t="shared" si="3"/>
        <v>117343.79999999999</v>
      </c>
      <c r="I11" s="19">
        <f t="shared" si="4"/>
        <v>850</v>
      </c>
      <c r="J11" s="19">
        <f t="shared" si="5"/>
        <v>398650</v>
      </c>
      <c r="K11" s="14">
        <f t="shared" si="6"/>
        <v>125.1</v>
      </c>
      <c r="L11" s="19">
        <f t="shared" si="7"/>
        <v>58671.899999999994</v>
      </c>
      <c r="M11" s="20"/>
      <c r="N11" s="21">
        <v>15</v>
      </c>
      <c r="O11" s="21">
        <f t="shared" si="8"/>
        <v>7035</v>
      </c>
      <c r="P11" s="13">
        <f t="shared" si="9"/>
        <v>850</v>
      </c>
      <c r="Q11" s="13">
        <v>850</v>
      </c>
      <c r="R11" s="13"/>
      <c r="S11" s="13"/>
      <c r="T11" s="13"/>
      <c r="U11" s="13">
        <f t="shared" si="10"/>
        <v>850</v>
      </c>
    </row>
    <row r="12" spans="1:23" ht="15">
      <c r="A12" s="13" t="s">
        <v>107</v>
      </c>
      <c r="B12" s="17"/>
      <c r="C12" s="83" t="s">
        <v>131</v>
      </c>
      <c r="D12" s="13">
        <v>61</v>
      </c>
      <c r="E12" s="19">
        <f t="shared" si="0"/>
        <v>195</v>
      </c>
      <c r="F12" s="19">
        <f t="shared" si="1"/>
        <v>11895</v>
      </c>
      <c r="G12" s="19">
        <f t="shared" si="2"/>
        <v>250.2</v>
      </c>
      <c r="H12" s="19">
        <f t="shared" si="3"/>
        <v>15262.199999999999</v>
      </c>
      <c r="I12" s="19">
        <f t="shared" si="4"/>
        <v>150</v>
      </c>
      <c r="J12" s="19">
        <f t="shared" si="5"/>
        <v>9150</v>
      </c>
      <c r="K12" s="14">
        <f t="shared" si="6"/>
        <v>125.1</v>
      </c>
      <c r="L12" s="19">
        <f t="shared" si="7"/>
        <v>7631.0999999999995</v>
      </c>
      <c r="M12" s="20"/>
      <c r="N12" s="21">
        <v>15</v>
      </c>
      <c r="O12" s="21">
        <f t="shared" si="8"/>
        <v>915</v>
      </c>
      <c r="P12" s="13">
        <f t="shared" si="9"/>
        <v>150</v>
      </c>
      <c r="Q12" s="13">
        <v>150</v>
      </c>
      <c r="R12" s="13"/>
      <c r="S12" s="13"/>
      <c r="T12" s="13"/>
      <c r="U12" s="13">
        <f t="shared" si="10"/>
        <v>150</v>
      </c>
    </row>
    <row r="13" spans="1:23" ht="15">
      <c r="A13" s="13" t="s">
        <v>108</v>
      </c>
      <c r="B13" s="17"/>
      <c r="C13" s="83" t="s">
        <v>131</v>
      </c>
      <c r="D13" s="13">
        <v>79</v>
      </c>
      <c r="E13" s="19">
        <f t="shared" si="0"/>
        <v>226.2</v>
      </c>
      <c r="F13" s="19">
        <f t="shared" si="1"/>
        <v>17869.8</v>
      </c>
      <c r="G13" s="19">
        <f t="shared" si="2"/>
        <v>250.2</v>
      </c>
      <c r="H13" s="19">
        <f t="shared" si="3"/>
        <v>19765.8</v>
      </c>
      <c r="I13" s="19">
        <f t="shared" si="4"/>
        <v>174</v>
      </c>
      <c r="J13" s="19">
        <f t="shared" si="5"/>
        <v>13746</v>
      </c>
      <c r="K13" s="14">
        <f t="shared" si="6"/>
        <v>125.1</v>
      </c>
      <c r="L13" s="19">
        <f t="shared" si="7"/>
        <v>9882.9</v>
      </c>
      <c r="M13" s="20"/>
      <c r="N13" s="21">
        <v>15</v>
      </c>
      <c r="O13" s="21">
        <f t="shared" si="8"/>
        <v>1185</v>
      </c>
      <c r="P13" s="13">
        <f t="shared" si="9"/>
        <v>174</v>
      </c>
      <c r="Q13" s="13">
        <v>174</v>
      </c>
      <c r="R13" s="13"/>
      <c r="S13" s="13"/>
      <c r="T13" s="13"/>
      <c r="U13" s="13">
        <f t="shared" si="10"/>
        <v>174</v>
      </c>
    </row>
    <row r="14" spans="1:23" ht="15">
      <c r="A14" s="13" t="s">
        <v>109</v>
      </c>
      <c r="B14" s="17"/>
      <c r="C14" s="83" t="s">
        <v>131</v>
      </c>
      <c r="D14" s="13">
        <v>1</v>
      </c>
      <c r="E14" s="19">
        <f t="shared" si="0"/>
        <v>9724</v>
      </c>
      <c r="F14" s="19">
        <f t="shared" si="1"/>
        <v>9724</v>
      </c>
      <c r="G14" s="19">
        <f t="shared" si="2"/>
        <v>333.6</v>
      </c>
      <c r="H14" s="19">
        <f t="shared" si="3"/>
        <v>333.6</v>
      </c>
      <c r="I14" s="19">
        <f t="shared" si="4"/>
        <v>7480</v>
      </c>
      <c r="J14" s="19">
        <f t="shared" si="5"/>
        <v>7480</v>
      </c>
      <c r="K14" s="14">
        <f t="shared" si="6"/>
        <v>166.8</v>
      </c>
      <c r="L14" s="19">
        <f t="shared" si="7"/>
        <v>166.8</v>
      </c>
      <c r="M14" s="20"/>
      <c r="N14" s="21">
        <v>20</v>
      </c>
      <c r="O14" s="21">
        <f t="shared" si="8"/>
        <v>20</v>
      </c>
      <c r="P14" s="13">
        <f t="shared" si="9"/>
        <v>7480</v>
      </c>
      <c r="Q14" s="13">
        <v>7480</v>
      </c>
      <c r="R14" s="13"/>
      <c r="S14" s="13"/>
      <c r="T14" s="13"/>
      <c r="U14" s="13">
        <f t="shared" si="10"/>
        <v>7480</v>
      </c>
    </row>
    <row r="15" spans="1:23" ht="15">
      <c r="A15" s="13" t="s">
        <v>111</v>
      </c>
      <c r="B15" s="17"/>
      <c r="C15" s="83" t="s">
        <v>131</v>
      </c>
      <c r="D15" s="13">
        <v>1</v>
      </c>
      <c r="E15" s="19">
        <f t="shared" si="0"/>
        <v>9685</v>
      </c>
      <c r="F15" s="19">
        <f t="shared" si="1"/>
        <v>9685</v>
      </c>
      <c r="G15" s="19">
        <f t="shared" si="2"/>
        <v>333.6</v>
      </c>
      <c r="H15" s="19">
        <f t="shared" si="3"/>
        <v>333.6</v>
      </c>
      <c r="I15" s="19">
        <f t="shared" si="4"/>
        <v>7450</v>
      </c>
      <c r="J15" s="19">
        <f t="shared" si="5"/>
        <v>7450</v>
      </c>
      <c r="K15" s="14">
        <f t="shared" si="6"/>
        <v>166.8</v>
      </c>
      <c r="L15" s="19">
        <f t="shared" si="7"/>
        <v>166.8</v>
      </c>
      <c r="M15" s="20"/>
      <c r="N15" s="21">
        <v>20</v>
      </c>
      <c r="O15" s="21">
        <f t="shared" si="8"/>
        <v>20</v>
      </c>
      <c r="P15" s="13">
        <f t="shared" si="9"/>
        <v>7450</v>
      </c>
      <c r="Q15" s="13">
        <v>7450</v>
      </c>
      <c r="R15" s="13"/>
      <c r="S15" s="13"/>
      <c r="T15" s="13"/>
      <c r="U15" s="13">
        <f t="shared" si="10"/>
        <v>7450</v>
      </c>
    </row>
    <row r="16" spans="1:23" ht="15">
      <c r="A16" s="13" t="s">
        <v>112</v>
      </c>
      <c r="B16" s="17"/>
      <c r="C16" s="83" t="s">
        <v>131</v>
      </c>
      <c r="D16" s="13">
        <v>6</v>
      </c>
      <c r="E16" s="19">
        <f t="shared" si="0"/>
        <v>416</v>
      </c>
      <c r="F16" s="19">
        <f t="shared" si="1"/>
        <v>2496</v>
      </c>
      <c r="G16" s="19">
        <f t="shared" si="2"/>
        <v>166.8</v>
      </c>
      <c r="H16" s="19">
        <f t="shared" si="3"/>
        <v>1000.8000000000001</v>
      </c>
      <c r="I16" s="19">
        <f t="shared" si="4"/>
        <v>320</v>
      </c>
      <c r="J16" s="19">
        <f t="shared" si="5"/>
        <v>1920</v>
      </c>
      <c r="K16" s="14">
        <f t="shared" si="6"/>
        <v>83.4</v>
      </c>
      <c r="L16" s="19">
        <f t="shared" si="7"/>
        <v>500.40000000000003</v>
      </c>
      <c r="M16" s="20"/>
      <c r="N16" s="21">
        <v>10</v>
      </c>
      <c r="O16" s="21">
        <f t="shared" si="8"/>
        <v>60</v>
      </c>
      <c r="P16" s="13">
        <f t="shared" si="9"/>
        <v>320</v>
      </c>
      <c r="Q16" s="13">
        <v>320</v>
      </c>
      <c r="R16" s="13"/>
      <c r="S16" s="13"/>
      <c r="T16" s="13"/>
      <c r="U16" s="13">
        <f t="shared" si="10"/>
        <v>320</v>
      </c>
    </row>
    <row r="17" spans="1:24" ht="15">
      <c r="A17" s="13" t="s">
        <v>110</v>
      </c>
      <c r="B17" s="17"/>
      <c r="C17" s="83" t="s">
        <v>131</v>
      </c>
      <c r="D17" s="13">
        <v>8</v>
      </c>
      <c r="E17" s="19">
        <f t="shared" si="0"/>
        <v>3396.9</v>
      </c>
      <c r="F17" s="19">
        <f t="shared" si="1"/>
        <v>27175.200000000001</v>
      </c>
      <c r="G17" s="19">
        <f t="shared" si="2"/>
        <v>250.2</v>
      </c>
      <c r="H17" s="19">
        <f t="shared" si="3"/>
        <v>2001.6</v>
      </c>
      <c r="I17" s="19">
        <f t="shared" si="4"/>
        <v>2613</v>
      </c>
      <c r="J17" s="19">
        <f t="shared" si="5"/>
        <v>20904</v>
      </c>
      <c r="K17" s="14">
        <f t="shared" si="6"/>
        <v>125.1</v>
      </c>
      <c r="L17" s="19">
        <f t="shared" si="7"/>
        <v>1000.8</v>
      </c>
      <c r="M17" s="20"/>
      <c r="N17" s="21">
        <v>15</v>
      </c>
      <c r="O17" s="21">
        <f t="shared" si="8"/>
        <v>120</v>
      </c>
      <c r="P17" s="13">
        <f t="shared" si="9"/>
        <v>2613</v>
      </c>
      <c r="Q17" s="13">
        <v>2613</v>
      </c>
      <c r="R17" s="13"/>
      <c r="S17" s="13"/>
      <c r="T17" s="13"/>
      <c r="U17" s="13">
        <f t="shared" si="10"/>
        <v>2613</v>
      </c>
    </row>
    <row r="18" spans="1:24" ht="15">
      <c r="A18" s="13" t="s">
        <v>113</v>
      </c>
      <c r="B18" s="17"/>
      <c r="C18" s="83" t="s">
        <v>131</v>
      </c>
      <c r="D18" s="13">
        <v>5</v>
      </c>
      <c r="E18" s="19">
        <f t="shared" si="0"/>
        <v>3396.9</v>
      </c>
      <c r="F18" s="19">
        <f t="shared" si="1"/>
        <v>16984.5</v>
      </c>
      <c r="G18" s="19">
        <f t="shared" si="2"/>
        <v>1000.8</v>
      </c>
      <c r="H18" s="19">
        <f t="shared" si="3"/>
        <v>5004</v>
      </c>
      <c r="I18" s="19">
        <f t="shared" si="4"/>
        <v>2613</v>
      </c>
      <c r="J18" s="19">
        <f t="shared" si="5"/>
        <v>13065</v>
      </c>
      <c r="K18" s="14">
        <f t="shared" si="6"/>
        <v>500.4</v>
      </c>
      <c r="L18" s="19">
        <f t="shared" si="7"/>
        <v>2502</v>
      </c>
      <c r="M18" s="20"/>
      <c r="N18" s="21">
        <v>60</v>
      </c>
      <c r="O18" s="21">
        <f t="shared" si="8"/>
        <v>300</v>
      </c>
      <c r="P18" s="13">
        <f t="shared" si="9"/>
        <v>2613</v>
      </c>
      <c r="Q18" s="13">
        <v>2613</v>
      </c>
      <c r="R18" s="13">
        <v>2850</v>
      </c>
      <c r="S18" s="13"/>
      <c r="T18" s="13"/>
      <c r="U18" s="13">
        <f t="shared" si="10"/>
        <v>2850</v>
      </c>
      <c r="W18" s="1" t="s">
        <v>143</v>
      </c>
    </row>
    <row r="19" spans="1:24" ht="15">
      <c r="A19" s="13" t="s">
        <v>114</v>
      </c>
      <c r="B19" s="17"/>
      <c r="C19" s="83" t="s">
        <v>131</v>
      </c>
      <c r="D19" s="13">
        <v>2</v>
      </c>
      <c r="E19" s="19">
        <f t="shared" si="0"/>
        <v>221</v>
      </c>
      <c r="F19" s="19">
        <f t="shared" si="1"/>
        <v>442</v>
      </c>
      <c r="G19" s="19">
        <f t="shared" si="2"/>
        <v>83.4</v>
      </c>
      <c r="H19" s="19">
        <f t="shared" si="3"/>
        <v>166.8</v>
      </c>
      <c r="I19" s="19">
        <f t="shared" si="4"/>
        <v>170</v>
      </c>
      <c r="J19" s="19">
        <f t="shared" si="5"/>
        <v>340</v>
      </c>
      <c r="K19" s="14">
        <f t="shared" si="6"/>
        <v>41.7</v>
      </c>
      <c r="L19" s="19">
        <f t="shared" si="7"/>
        <v>83.4</v>
      </c>
      <c r="M19" s="20"/>
      <c r="N19" s="21">
        <v>5</v>
      </c>
      <c r="O19" s="21">
        <f t="shared" si="8"/>
        <v>10</v>
      </c>
      <c r="P19" s="13">
        <f t="shared" si="9"/>
        <v>170</v>
      </c>
      <c r="Q19" s="13">
        <v>170</v>
      </c>
      <c r="R19" s="13"/>
      <c r="S19" s="13"/>
      <c r="T19" s="13"/>
      <c r="U19" s="13">
        <f t="shared" si="10"/>
        <v>170</v>
      </c>
    </row>
    <row r="20" spans="1:24" ht="15">
      <c r="A20" s="13" t="s">
        <v>115</v>
      </c>
      <c r="B20" s="17"/>
      <c r="C20" s="83" t="s">
        <v>131</v>
      </c>
      <c r="D20" s="13">
        <v>2</v>
      </c>
      <c r="E20" s="19">
        <f t="shared" si="0"/>
        <v>351</v>
      </c>
      <c r="F20" s="19">
        <f t="shared" si="1"/>
        <v>702</v>
      </c>
      <c r="G20" s="19">
        <f t="shared" si="2"/>
        <v>83.4</v>
      </c>
      <c r="H20" s="19">
        <f t="shared" si="3"/>
        <v>166.8</v>
      </c>
      <c r="I20" s="19">
        <f t="shared" si="4"/>
        <v>270</v>
      </c>
      <c r="J20" s="19">
        <f t="shared" si="5"/>
        <v>540</v>
      </c>
      <c r="K20" s="14">
        <f t="shared" si="6"/>
        <v>41.7</v>
      </c>
      <c r="L20" s="19">
        <f t="shared" si="7"/>
        <v>83.4</v>
      </c>
      <c r="M20" s="20"/>
      <c r="N20" s="21">
        <v>5</v>
      </c>
      <c r="O20" s="21">
        <f t="shared" si="8"/>
        <v>10</v>
      </c>
      <c r="P20" s="13">
        <f t="shared" si="9"/>
        <v>270</v>
      </c>
      <c r="Q20" s="13">
        <v>270</v>
      </c>
      <c r="R20" s="13"/>
      <c r="S20" s="13"/>
      <c r="T20" s="13"/>
      <c r="U20" s="13">
        <f t="shared" si="10"/>
        <v>270</v>
      </c>
    </row>
    <row r="21" spans="1:24" ht="16">
      <c r="A21" s="13" t="s">
        <v>116</v>
      </c>
      <c r="B21" s="17"/>
      <c r="C21" s="83" t="s">
        <v>131</v>
      </c>
      <c r="D21" s="13">
        <v>1</v>
      </c>
      <c r="E21" s="19">
        <f t="shared" si="0"/>
        <v>1950</v>
      </c>
      <c r="F21" s="19">
        <f t="shared" si="1"/>
        <v>1950</v>
      </c>
      <c r="G21" s="19">
        <f t="shared" si="2"/>
        <v>250.2</v>
      </c>
      <c r="H21" s="19">
        <f t="shared" si="3"/>
        <v>250.2</v>
      </c>
      <c r="I21" s="19">
        <f t="shared" si="4"/>
        <v>1500</v>
      </c>
      <c r="J21" s="19">
        <f t="shared" si="5"/>
        <v>1500</v>
      </c>
      <c r="K21" s="14">
        <f t="shared" si="6"/>
        <v>125.1</v>
      </c>
      <c r="L21" s="19">
        <f t="shared" si="7"/>
        <v>125.1</v>
      </c>
      <c r="M21" s="20"/>
      <c r="N21" s="21">
        <v>15</v>
      </c>
      <c r="O21" s="21">
        <f t="shared" si="8"/>
        <v>15</v>
      </c>
      <c r="P21" s="13">
        <f t="shared" si="9"/>
        <v>1500</v>
      </c>
      <c r="Q21" s="13"/>
      <c r="R21" s="13"/>
      <c r="S21" s="13"/>
      <c r="T21" s="13">
        <v>1500</v>
      </c>
      <c r="U21" s="13">
        <f t="shared" si="10"/>
        <v>1500</v>
      </c>
      <c r="V21" s="89" t="s">
        <v>144</v>
      </c>
      <c r="W21" s="89"/>
      <c r="X21" s="1" t="s">
        <v>145</v>
      </c>
    </row>
    <row r="22" spans="1:24" ht="15">
      <c r="A22" s="13" t="s">
        <v>117</v>
      </c>
      <c r="B22" s="17"/>
      <c r="C22" s="83" t="s">
        <v>131</v>
      </c>
      <c r="D22" s="13">
        <v>20</v>
      </c>
      <c r="E22" s="19">
        <f t="shared" ref="E22:E54" si="11">IF(M22=0,ROUND(I22*(1+$I$2),2),M22)</f>
        <v>507</v>
      </c>
      <c r="F22" s="19">
        <f t="shared" ref="F22:F54" si="12">D22*E22</f>
        <v>10140</v>
      </c>
      <c r="G22" s="19">
        <f t="shared" ref="G22:G54" si="13">ROUND(K22*(1+$K$2),2)</f>
        <v>250.2</v>
      </c>
      <c r="H22" s="19">
        <f t="shared" ref="H22:H54" si="14">D22*G22</f>
        <v>5004</v>
      </c>
      <c r="I22" s="19">
        <f t="shared" ref="I22:I54" si="15">IF($I$3=$P$2,P22,IF($I$3=$Q$2,Q22,IF($I$3=$R$2,R22,IF($I$3=$S$2,S22,IF($I$3=$T$2,T22,IF($I$3=$U$2,U22,0))))))</f>
        <v>390</v>
      </c>
      <c r="J22" s="19">
        <f t="shared" ref="J22:J54" si="16">D22*I22</f>
        <v>7800</v>
      </c>
      <c r="K22" s="14">
        <f t="shared" ref="K22:K54" si="17">N22*$N$3</f>
        <v>125.1</v>
      </c>
      <c r="L22" s="19">
        <f t="shared" ref="L22:L54" si="18">D22*K22</f>
        <v>2502</v>
      </c>
      <c r="M22" s="20"/>
      <c r="N22" s="21">
        <v>15</v>
      </c>
      <c r="O22" s="21">
        <f t="shared" ref="O22:O54" si="19">D22*N22</f>
        <v>300</v>
      </c>
      <c r="P22" s="13">
        <f t="shared" ref="P22:P54" si="20">MIN(Q22:T22)</f>
        <v>390</v>
      </c>
      <c r="Q22" s="13">
        <v>390</v>
      </c>
      <c r="R22" s="13"/>
      <c r="S22" s="13"/>
      <c r="T22" s="13"/>
      <c r="U22" s="13">
        <f t="shared" ref="U22:U54" si="21">MAX(Q22:T22)</f>
        <v>390</v>
      </c>
    </row>
    <row r="23" spans="1:24" ht="15">
      <c r="A23" s="13" t="s">
        <v>118</v>
      </c>
      <c r="B23" s="17"/>
      <c r="C23" s="83" t="s">
        <v>131</v>
      </c>
      <c r="D23" s="13">
        <v>4</v>
      </c>
      <c r="E23" s="19">
        <f t="shared" si="11"/>
        <v>195</v>
      </c>
      <c r="F23" s="19">
        <f t="shared" si="12"/>
        <v>780</v>
      </c>
      <c r="G23" s="19">
        <f t="shared" si="13"/>
        <v>250.2</v>
      </c>
      <c r="H23" s="19">
        <f t="shared" si="14"/>
        <v>1000.8</v>
      </c>
      <c r="I23" s="19">
        <f t="shared" si="15"/>
        <v>150</v>
      </c>
      <c r="J23" s="19">
        <f t="shared" si="16"/>
        <v>600</v>
      </c>
      <c r="K23" s="14">
        <f t="shared" si="17"/>
        <v>125.1</v>
      </c>
      <c r="L23" s="19">
        <f t="shared" si="18"/>
        <v>500.4</v>
      </c>
      <c r="M23" s="20"/>
      <c r="N23" s="21">
        <v>15</v>
      </c>
      <c r="O23" s="21">
        <f t="shared" si="19"/>
        <v>60</v>
      </c>
      <c r="P23" s="13">
        <f t="shared" si="20"/>
        <v>150</v>
      </c>
      <c r="Q23" s="13">
        <v>150</v>
      </c>
      <c r="R23" s="13"/>
      <c r="S23" s="13"/>
      <c r="T23" s="13"/>
      <c r="U23" s="13">
        <f t="shared" si="21"/>
        <v>150</v>
      </c>
    </row>
    <row r="24" spans="1:24" ht="15">
      <c r="A24" s="13" t="s">
        <v>119</v>
      </c>
      <c r="B24" s="17"/>
      <c r="C24" s="83" t="s">
        <v>131</v>
      </c>
      <c r="D24" s="13">
        <v>1</v>
      </c>
      <c r="E24" s="19">
        <f t="shared" si="11"/>
        <v>117000</v>
      </c>
      <c r="F24" s="19">
        <f t="shared" si="12"/>
        <v>117000</v>
      </c>
      <c r="G24" s="19">
        <f t="shared" si="13"/>
        <v>1000.8</v>
      </c>
      <c r="H24" s="19">
        <f t="shared" si="14"/>
        <v>1000.8</v>
      </c>
      <c r="I24" s="19">
        <f t="shared" si="15"/>
        <v>90000</v>
      </c>
      <c r="J24" s="19">
        <f t="shared" si="16"/>
        <v>90000</v>
      </c>
      <c r="K24" s="14">
        <f t="shared" si="17"/>
        <v>500.4</v>
      </c>
      <c r="L24" s="19">
        <f t="shared" si="18"/>
        <v>500.4</v>
      </c>
      <c r="M24" s="20"/>
      <c r="N24" s="21">
        <v>60</v>
      </c>
      <c r="O24" s="21">
        <f t="shared" si="19"/>
        <v>60</v>
      </c>
      <c r="P24" s="13">
        <f t="shared" si="20"/>
        <v>90000</v>
      </c>
      <c r="Q24" s="13">
        <v>90000</v>
      </c>
      <c r="R24" s="13"/>
      <c r="S24" s="13"/>
      <c r="T24" s="13"/>
      <c r="U24" s="13">
        <f t="shared" si="21"/>
        <v>90000</v>
      </c>
    </row>
    <row r="25" spans="1:24" ht="15">
      <c r="A25" s="13" t="s">
        <v>171</v>
      </c>
      <c r="B25" s="17"/>
      <c r="C25" s="83" t="s">
        <v>131</v>
      </c>
      <c r="D25" s="13">
        <v>1</v>
      </c>
      <c r="E25" s="19">
        <f t="shared" si="11"/>
        <v>50765</v>
      </c>
      <c r="F25" s="19">
        <f t="shared" si="12"/>
        <v>50765</v>
      </c>
      <c r="G25" s="19">
        <f t="shared" si="13"/>
        <v>1000.8</v>
      </c>
      <c r="H25" s="19">
        <f t="shared" si="14"/>
        <v>1000.8</v>
      </c>
      <c r="I25" s="19">
        <f t="shared" si="15"/>
        <v>39050</v>
      </c>
      <c r="J25" s="19">
        <f t="shared" si="16"/>
        <v>39050</v>
      </c>
      <c r="K25" s="14">
        <f t="shared" si="17"/>
        <v>500.4</v>
      </c>
      <c r="L25" s="19">
        <f t="shared" si="18"/>
        <v>500.4</v>
      </c>
      <c r="M25" s="20"/>
      <c r="N25" s="21">
        <v>60</v>
      </c>
      <c r="O25" s="21">
        <f t="shared" si="19"/>
        <v>60</v>
      </c>
      <c r="P25" s="13">
        <f t="shared" si="20"/>
        <v>39050</v>
      </c>
      <c r="Q25" s="13"/>
      <c r="R25" s="13"/>
      <c r="S25" s="13"/>
      <c r="T25" s="13">
        <v>39050</v>
      </c>
      <c r="U25" s="13">
        <f t="shared" si="21"/>
        <v>39050</v>
      </c>
    </row>
    <row r="26" spans="1:24" ht="15">
      <c r="A26" s="13" t="s">
        <v>120</v>
      </c>
      <c r="B26" s="17"/>
      <c r="C26" s="83" t="s">
        <v>131</v>
      </c>
      <c r="D26" s="13">
        <v>1</v>
      </c>
      <c r="E26" s="19">
        <f t="shared" si="11"/>
        <v>7241</v>
      </c>
      <c r="F26" s="19">
        <f t="shared" si="12"/>
        <v>7241</v>
      </c>
      <c r="G26" s="19">
        <f t="shared" si="13"/>
        <v>500.4</v>
      </c>
      <c r="H26" s="19">
        <f t="shared" si="14"/>
        <v>500.4</v>
      </c>
      <c r="I26" s="19">
        <f t="shared" si="15"/>
        <v>5570</v>
      </c>
      <c r="J26" s="19">
        <f t="shared" si="16"/>
        <v>5570</v>
      </c>
      <c r="K26" s="14">
        <f t="shared" si="17"/>
        <v>250.2</v>
      </c>
      <c r="L26" s="19">
        <f t="shared" si="18"/>
        <v>250.2</v>
      </c>
      <c r="M26" s="20"/>
      <c r="N26" s="21">
        <v>30</v>
      </c>
      <c r="O26" s="21">
        <f t="shared" si="19"/>
        <v>30</v>
      </c>
      <c r="P26" s="13">
        <f t="shared" si="20"/>
        <v>5570</v>
      </c>
      <c r="Q26" s="13"/>
      <c r="R26" s="13"/>
      <c r="S26" s="13"/>
      <c r="T26" s="13">
        <v>5570</v>
      </c>
      <c r="U26" s="13">
        <f t="shared" si="21"/>
        <v>5570</v>
      </c>
    </row>
    <row r="27" spans="1:24" ht="15">
      <c r="A27" s="13" t="s">
        <v>121</v>
      </c>
      <c r="B27" s="17"/>
      <c r="C27" s="83" t="s">
        <v>131</v>
      </c>
      <c r="D27" s="13">
        <v>1</v>
      </c>
      <c r="E27" s="19">
        <f t="shared" si="11"/>
        <v>3640</v>
      </c>
      <c r="F27" s="19">
        <f t="shared" si="12"/>
        <v>3640</v>
      </c>
      <c r="G27" s="19">
        <f t="shared" si="13"/>
        <v>500.4</v>
      </c>
      <c r="H27" s="19">
        <f t="shared" si="14"/>
        <v>500.4</v>
      </c>
      <c r="I27" s="19">
        <f t="shared" si="15"/>
        <v>2800</v>
      </c>
      <c r="J27" s="19">
        <f t="shared" si="16"/>
        <v>2800</v>
      </c>
      <c r="K27" s="14">
        <f t="shared" si="17"/>
        <v>250.2</v>
      </c>
      <c r="L27" s="19">
        <f t="shared" si="18"/>
        <v>250.2</v>
      </c>
      <c r="M27" s="20"/>
      <c r="N27" s="21">
        <v>30</v>
      </c>
      <c r="O27" s="21">
        <f t="shared" si="19"/>
        <v>30</v>
      </c>
      <c r="P27" s="13">
        <f t="shared" si="20"/>
        <v>2800</v>
      </c>
      <c r="Q27" s="13"/>
      <c r="R27" s="13"/>
      <c r="S27" s="13"/>
      <c r="T27" s="13">
        <v>2800</v>
      </c>
      <c r="U27" s="13">
        <f t="shared" si="21"/>
        <v>2800</v>
      </c>
    </row>
    <row r="28" spans="1:24" ht="15">
      <c r="A28" s="13" t="s">
        <v>172</v>
      </c>
      <c r="B28" s="17"/>
      <c r="C28" s="83" t="s">
        <v>131</v>
      </c>
      <c r="D28" s="13">
        <v>1</v>
      </c>
      <c r="E28" s="19">
        <f t="shared" si="11"/>
        <v>14443</v>
      </c>
      <c r="F28" s="19">
        <f t="shared" si="12"/>
        <v>14443</v>
      </c>
      <c r="G28" s="19">
        <f t="shared" si="13"/>
        <v>1000.8</v>
      </c>
      <c r="H28" s="19">
        <f t="shared" si="14"/>
        <v>1000.8</v>
      </c>
      <c r="I28" s="19">
        <f t="shared" si="15"/>
        <v>11110</v>
      </c>
      <c r="J28" s="19">
        <f t="shared" si="16"/>
        <v>11110</v>
      </c>
      <c r="K28" s="14">
        <f t="shared" si="17"/>
        <v>500.4</v>
      </c>
      <c r="L28" s="19">
        <f t="shared" si="18"/>
        <v>500.4</v>
      </c>
      <c r="M28" s="20"/>
      <c r="N28" s="21">
        <v>60</v>
      </c>
      <c r="O28" s="21">
        <f t="shared" si="19"/>
        <v>60</v>
      </c>
      <c r="P28" s="13">
        <f t="shared" si="20"/>
        <v>11110</v>
      </c>
      <c r="Q28" s="13"/>
      <c r="R28" s="13"/>
      <c r="S28" s="13"/>
      <c r="T28" s="13">
        <v>11110</v>
      </c>
      <c r="U28" s="13">
        <f t="shared" si="21"/>
        <v>11110</v>
      </c>
    </row>
    <row r="29" spans="1:24" ht="15">
      <c r="A29" s="13" t="s">
        <v>122</v>
      </c>
      <c r="B29" s="17"/>
      <c r="C29" s="83" t="s">
        <v>141</v>
      </c>
      <c r="D29" s="13">
        <v>5000</v>
      </c>
      <c r="E29" s="19">
        <f t="shared" si="11"/>
        <v>31.2</v>
      </c>
      <c r="F29" s="19">
        <f t="shared" si="12"/>
        <v>156000</v>
      </c>
      <c r="G29" s="19">
        <f t="shared" si="13"/>
        <v>50.04</v>
      </c>
      <c r="H29" s="19">
        <f t="shared" si="14"/>
        <v>250200</v>
      </c>
      <c r="I29" s="19">
        <f t="shared" si="15"/>
        <v>24</v>
      </c>
      <c r="J29" s="19">
        <f t="shared" si="16"/>
        <v>120000</v>
      </c>
      <c r="K29" s="14">
        <f t="shared" si="17"/>
        <v>25.02</v>
      </c>
      <c r="L29" s="19">
        <f t="shared" si="18"/>
        <v>125100</v>
      </c>
      <c r="M29" s="20"/>
      <c r="N29" s="21">
        <v>3</v>
      </c>
      <c r="O29" s="21">
        <f t="shared" si="19"/>
        <v>15000</v>
      </c>
      <c r="P29" s="13">
        <f t="shared" si="20"/>
        <v>24</v>
      </c>
      <c r="Q29" s="13">
        <v>24</v>
      </c>
      <c r="R29" s="13"/>
      <c r="S29" s="13"/>
      <c r="T29" s="13"/>
      <c r="U29" s="13">
        <f t="shared" si="21"/>
        <v>24</v>
      </c>
    </row>
    <row r="30" spans="1:24" ht="15">
      <c r="A30" s="13" t="s">
        <v>123</v>
      </c>
      <c r="B30" s="17"/>
      <c r="C30" s="83" t="s">
        <v>141</v>
      </c>
      <c r="D30" s="13">
        <v>50</v>
      </c>
      <c r="E30" s="19">
        <f t="shared" si="11"/>
        <v>81.900000000000006</v>
      </c>
      <c r="F30" s="19">
        <f t="shared" si="12"/>
        <v>4095.0000000000005</v>
      </c>
      <c r="G30" s="19">
        <f t="shared" si="13"/>
        <v>50.04</v>
      </c>
      <c r="H30" s="19">
        <f t="shared" si="14"/>
        <v>2502</v>
      </c>
      <c r="I30" s="19">
        <f t="shared" si="15"/>
        <v>63</v>
      </c>
      <c r="J30" s="19">
        <f t="shared" si="16"/>
        <v>3150</v>
      </c>
      <c r="K30" s="14">
        <f t="shared" si="17"/>
        <v>25.02</v>
      </c>
      <c r="L30" s="19">
        <f t="shared" si="18"/>
        <v>1251</v>
      </c>
      <c r="M30" s="20"/>
      <c r="N30" s="21">
        <v>3</v>
      </c>
      <c r="O30" s="21">
        <f t="shared" si="19"/>
        <v>150</v>
      </c>
      <c r="P30" s="13">
        <f t="shared" si="20"/>
        <v>63</v>
      </c>
      <c r="Q30" s="13">
        <v>63</v>
      </c>
      <c r="R30" s="13"/>
      <c r="S30" s="13"/>
      <c r="T30" s="13"/>
      <c r="U30" s="13">
        <f t="shared" si="21"/>
        <v>63</v>
      </c>
    </row>
    <row r="31" spans="1:24" ht="15">
      <c r="A31" s="13" t="s">
        <v>124</v>
      </c>
      <c r="B31" s="17"/>
      <c r="C31" s="83" t="s">
        <v>141</v>
      </c>
      <c r="D31" s="13">
        <v>1000</v>
      </c>
      <c r="E31" s="19">
        <f t="shared" si="11"/>
        <v>45.5</v>
      </c>
      <c r="F31" s="19">
        <f t="shared" si="12"/>
        <v>45500</v>
      </c>
      <c r="G31" s="19">
        <f t="shared" si="13"/>
        <v>50.04</v>
      </c>
      <c r="H31" s="19">
        <f t="shared" si="14"/>
        <v>50040</v>
      </c>
      <c r="I31" s="19">
        <f t="shared" si="15"/>
        <v>35</v>
      </c>
      <c r="J31" s="19">
        <f t="shared" si="16"/>
        <v>35000</v>
      </c>
      <c r="K31" s="14">
        <f t="shared" si="17"/>
        <v>25.02</v>
      </c>
      <c r="L31" s="19">
        <f t="shared" si="18"/>
        <v>25020</v>
      </c>
      <c r="M31" s="20"/>
      <c r="N31" s="21">
        <v>3</v>
      </c>
      <c r="O31" s="21">
        <f t="shared" si="19"/>
        <v>3000</v>
      </c>
      <c r="P31" s="13">
        <f t="shared" si="20"/>
        <v>35</v>
      </c>
      <c r="Q31" s="13">
        <v>35</v>
      </c>
      <c r="R31" s="13"/>
      <c r="S31" s="13"/>
      <c r="T31" s="13"/>
      <c r="U31" s="13">
        <f t="shared" si="21"/>
        <v>35</v>
      </c>
    </row>
    <row r="32" spans="1:24" ht="15">
      <c r="A32" s="13" t="s">
        <v>125</v>
      </c>
      <c r="B32" s="17"/>
      <c r="C32" s="83" t="s">
        <v>131</v>
      </c>
      <c r="D32" s="13">
        <v>18000</v>
      </c>
      <c r="E32" s="19">
        <f t="shared" si="11"/>
        <v>2.99</v>
      </c>
      <c r="F32" s="19">
        <f t="shared" si="12"/>
        <v>53820.000000000007</v>
      </c>
      <c r="G32" s="19">
        <f t="shared" si="13"/>
        <v>1.67</v>
      </c>
      <c r="H32" s="19">
        <f t="shared" si="14"/>
        <v>30060</v>
      </c>
      <c r="I32" s="19">
        <f t="shared" si="15"/>
        <v>2.2999999999999998</v>
      </c>
      <c r="J32" s="19">
        <f t="shared" si="16"/>
        <v>41400</v>
      </c>
      <c r="K32" s="14">
        <f t="shared" si="17"/>
        <v>0.83400000000000007</v>
      </c>
      <c r="L32" s="19">
        <f t="shared" si="18"/>
        <v>15012.000000000002</v>
      </c>
      <c r="M32" s="20"/>
      <c r="N32" s="21">
        <v>0.1</v>
      </c>
      <c r="O32" s="21">
        <f t="shared" si="19"/>
        <v>1800</v>
      </c>
      <c r="P32" s="13">
        <f t="shared" si="20"/>
        <v>2.2999999999999998</v>
      </c>
      <c r="Q32" s="13">
        <v>2.2999999999999998</v>
      </c>
      <c r="R32" s="13"/>
      <c r="S32" s="13"/>
      <c r="T32" s="13"/>
      <c r="U32" s="13">
        <f t="shared" si="21"/>
        <v>2.2999999999999998</v>
      </c>
    </row>
    <row r="33" spans="1:23" ht="15">
      <c r="A33" s="13" t="s">
        <v>126</v>
      </c>
      <c r="B33" s="17"/>
      <c r="C33" s="83" t="s">
        <v>141</v>
      </c>
      <c r="D33" s="13">
        <v>90</v>
      </c>
      <c r="E33" s="19">
        <f t="shared" si="11"/>
        <v>123.5</v>
      </c>
      <c r="F33" s="19">
        <f t="shared" si="12"/>
        <v>11115</v>
      </c>
      <c r="G33" s="19">
        <f t="shared" si="13"/>
        <v>50.04</v>
      </c>
      <c r="H33" s="19">
        <f t="shared" si="14"/>
        <v>4503.6000000000004</v>
      </c>
      <c r="I33" s="19">
        <f t="shared" si="15"/>
        <v>95</v>
      </c>
      <c r="J33" s="19">
        <f t="shared" si="16"/>
        <v>8550</v>
      </c>
      <c r="K33" s="14">
        <f t="shared" si="17"/>
        <v>25.02</v>
      </c>
      <c r="L33" s="19">
        <f t="shared" si="18"/>
        <v>2251.8000000000002</v>
      </c>
      <c r="M33" s="20"/>
      <c r="N33" s="21">
        <v>3</v>
      </c>
      <c r="O33" s="21">
        <f t="shared" si="19"/>
        <v>270</v>
      </c>
      <c r="P33" s="13">
        <f t="shared" si="20"/>
        <v>95</v>
      </c>
      <c r="Q33" s="13">
        <v>95</v>
      </c>
      <c r="R33" s="13"/>
      <c r="S33" s="13"/>
      <c r="T33" s="13"/>
      <c r="U33" s="13">
        <f t="shared" si="21"/>
        <v>95</v>
      </c>
    </row>
    <row r="34" spans="1:23" ht="15">
      <c r="A34" s="13" t="s">
        <v>127</v>
      </c>
      <c r="B34" s="17"/>
      <c r="C34" s="83" t="s">
        <v>141</v>
      </c>
      <c r="D34" s="13">
        <v>4500</v>
      </c>
      <c r="E34" s="19">
        <f t="shared" si="11"/>
        <v>29.9</v>
      </c>
      <c r="F34" s="19">
        <f t="shared" si="12"/>
        <v>134550</v>
      </c>
      <c r="G34" s="19">
        <f t="shared" si="13"/>
        <v>50.04</v>
      </c>
      <c r="H34" s="19">
        <f t="shared" si="14"/>
        <v>225180</v>
      </c>
      <c r="I34" s="19">
        <f t="shared" si="15"/>
        <v>23</v>
      </c>
      <c r="J34" s="19">
        <f t="shared" si="16"/>
        <v>103500</v>
      </c>
      <c r="K34" s="14">
        <f t="shared" si="17"/>
        <v>25.02</v>
      </c>
      <c r="L34" s="19">
        <f t="shared" si="18"/>
        <v>112590</v>
      </c>
      <c r="M34" s="20"/>
      <c r="N34" s="21">
        <v>3</v>
      </c>
      <c r="O34" s="21">
        <f t="shared" si="19"/>
        <v>13500</v>
      </c>
      <c r="P34" s="13">
        <f t="shared" si="20"/>
        <v>23</v>
      </c>
      <c r="Q34" s="13">
        <v>23</v>
      </c>
      <c r="R34" s="13"/>
      <c r="S34" s="13"/>
      <c r="T34" s="13"/>
      <c r="U34" s="13">
        <f t="shared" si="21"/>
        <v>23</v>
      </c>
    </row>
    <row r="35" spans="1:23" ht="15">
      <c r="A35" s="13" t="s">
        <v>128</v>
      </c>
      <c r="B35" s="17"/>
      <c r="C35" s="83" t="s">
        <v>141</v>
      </c>
      <c r="D35" s="13">
        <v>2500</v>
      </c>
      <c r="E35" s="19">
        <f t="shared" si="11"/>
        <v>58.5</v>
      </c>
      <c r="F35" s="19">
        <f t="shared" si="12"/>
        <v>146250</v>
      </c>
      <c r="G35" s="19">
        <f t="shared" si="13"/>
        <v>50.04</v>
      </c>
      <c r="H35" s="19">
        <f t="shared" si="14"/>
        <v>125100</v>
      </c>
      <c r="I35" s="19">
        <f t="shared" si="15"/>
        <v>45</v>
      </c>
      <c r="J35" s="19">
        <f t="shared" si="16"/>
        <v>112500</v>
      </c>
      <c r="K35" s="14">
        <f t="shared" si="17"/>
        <v>25.02</v>
      </c>
      <c r="L35" s="19">
        <f t="shared" si="18"/>
        <v>62550</v>
      </c>
      <c r="M35" s="20"/>
      <c r="N35" s="21">
        <v>3</v>
      </c>
      <c r="O35" s="21">
        <f t="shared" si="19"/>
        <v>7500</v>
      </c>
      <c r="P35" s="13">
        <f t="shared" si="20"/>
        <v>45</v>
      </c>
      <c r="Q35" s="13">
        <v>45</v>
      </c>
      <c r="R35" s="13"/>
      <c r="S35" s="13"/>
      <c r="T35" s="13"/>
      <c r="U35" s="13">
        <f t="shared" si="21"/>
        <v>45</v>
      </c>
    </row>
    <row r="36" spans="1:23" ht="15">
      <c r="A36" s="13" t="s">
        <v>129</v>
      </c>
      <c r="B36" s="17"/>
      <c r="C36" s="18" t="s">
        <v>131</v>
      </c>
      <c r="D36" s="13">
        <v>20</v>
      </c>
      <c r="E36" s="19">
        <f t="shared" si="11"/>
        <v>1306.5</v>
      </c>
      <c r="F36" s="19">
        <f t="shared" si="12"/>
        <v>26130</v>
      </c>
      <c r="G36" s="19">
        <f t="shared" si="13"/>
        <v>83.4</v>
      </c>
      <c r="H36" s="19">
        <f t="shared" si="14"/>
        <v>1668</v>
      </c>
      <c r="I36" s="19">
        <f t="shared" si="15"/>
        <v>1005</v>
      </c>
      <c r="J36" s="19">
        <f t="shared" si="16"/>
        <v>20100</v>
      </c>
      <c r="K36" s="14">
        <f t="shared" si="17"/>
        <v>41.7</v>
      </c>
      <c r="L36" s="19">
        <f t="shared" si="18"/>
        <v>834</v>
      </c>
      <c r="M36" s="20"/>
      <c r="N36" s="21">
        <v>5</v>
      </c>
      <c r="O36" s="21">
        <f t="shared" si="19"/>
        <v>100</v>
      </c>
      <c r="P36" s="13">
        <f t="shared" si="20"/>
        <v>1005</v>
      </c>
      <c r="Q36" s="13">
        <v>1005</v>
      </c>
      <c r="R36" s="13"/>
      <c r="S36" s="13"/>
      <c r="T36" s="13"/>
      <c r="U36" s="13">
        <f t="shared" si="21"/>
        <v>1005</v>
      </c>
    </row>
    <row r="37" spans="1:23" ht="15">
      <c r="A37" s="13" t="s">
        <v>130</v>
      </c>
      <c r="B37" s="17"/>
      <c r="C37" s="18" t="s">
        <v>131</v>
      </c>
      <c r="D37" s="13">
        <v>315</v>
      </c>
      <c r="E37" s="19">
        <f t="shared" si="11"/>
        <v>260</v>
      </c>
      <c r="F37" s="19">
        <f t="shared" si="12"/>
        <v>81900</v>
      </c>
      <c r="G37" s="19">
        <f t="shared" si="13"/>
        <v>250.2</v>
      </c>
      <c r="H37" s="19">
        <f t="shared" si="14"/>
        <v>78813</v>
      </c>
      <c r="I37" s="19">
        <f t="shared" si="15"/>
        <v>200</v>
      </c>
      <c r="J37" s="19">
        <f t="shared" si="16"/>
        <v>63000</v>
      </c>
      <c r="K37" s="14">
        <f t="shared" si="17"/>
        <v>125.1</v>
      </c>
      <c r="L37" s="19">
        <f t="shared" si="18"/>
        <v>39406.5</v>
      </c>
      <c r="M37" s="20"/>
      <c r="N37" s="21">
        <v>15</v>
      </c>
      <c r="O37" s="21">
        <f t="shared" si="19"/>
        <v>4725</v>
      </c>
      <c r="P37" s="13">
        <f t="shared" si="20"/>
        <v>200</v>
      </c>
      <c r="Q37" s="13"/>
      <c r="R37" s="13">
        <v>200</v>
      </c>
      <c r="S37" s="13"/>
      <c r="T37" s="13"/>
      <c r="U37" s="13">
        <f t="shared" si="21"/>
        <v>200</v>
      </c>
      <c r="V37" s="1" t="s">
        <v>173</v>
      </c>
      <c r="W37" s="1" t="s">
        <v>174</v>
      </c>
    </row>
    <row r="38" spans="1:23" ht="15">
      <c r="A38" s="13" t="s">
        <v>132</v>
      </c>
      <c r="B38" s="17"/>
      <c r="C38" s="18" t="s">
        <v>133</v>
      </c>
      <c r="D38" s="13">
        <v>5</v>
      </c>
      <c r="E38" s="19">
        <f t="shared" si="11"/>
        <v>169</v>
      </c>
      <c r="F38" s="19">
        <f t="shared" si="12"/>
        <v>845</v>
      </c>
      <c r="G38" s="19">
        <f t="shared" si="13"/>
        <v>500.4</v>
      </c>
      <c r="H38" s="19">
        <f t="shared" si="14"/>
        <v>2502</v>
      </c>
      <c r="I38" s="19">
        <f t="shared" si="15"/>
        <v>130</v>
      </c>
      <c r="J38" s="19">
        <f t="shared" si="16"/>
        <v>650</v>
      </c>
      <c r="K38" s="14">
        <f t="shared" si="17"/>
        <v>250.2</v>
      </c>
      <c r="L38" s="19">
        <f t="shared" si="18"/>
        <v>1251</v>
      </c>
      <c r="M38" s="20"/>
      <c r="N38" s="21">
        <v>30</v>
      </c>
      <c r="O38" s="21">
        <f t="shared" si="19"/>
        <v>150</v>
      </c>
      <c r="P38" s="13">
        <f t="shared" si="20"/>
        <v>130</v>
      </c>
      <c r="Q38" s="13">
        <v>140</v>
      </c>
      <c r="R38" s="13">
        <v>130</v>
      </c>
      <c r="S38" s="13"/>
      <c r="T38" s="13"/>
      <c r="U38" s="13">
        <f t="shared" si="21"/>
        <v>140</v>
      </c>
      <c r="V38" s="1" t="s">
        <v>175</v>
      </c>
    </row>
    <row r="39" spans="1:23" ht="15">
      <c r="A39" s="13" t="s">
        <v>134</v>
      </c>
      <c r="B39" s="17"/>
      <c r="C39" s="83" t="s">
        <v>131</v>
      </c>
      <c r="D39" s="13">
        <v>85</v>
      </c>
      <c r="E39" s="19">
        <f t="shared" si="11"/>
        <v>247</v>
      </c>
      <c r="F39" s="19">
        <f t="shared" si="12"/>
        <v>20995</v>
      </c>
      <c r="G39" s="19">
        <f t="shared" si="13"/>
        <v>333.6</v>
      </c>
      <c r="H39" s="19">
        <f t="shared" si="14"/>
        <v>28356.000000000004</v>
      </c>
      <c r="I39" s="19">
        <f t="shared" si="15"/>
        <v>190</v>
      </c>
      <c r="J39" s="19">
        <f t="shared" si="16"/>
        <v>16150</v>
      </c>
      <c r="K39" s="14">
        <f t="shared" si="17"/>
        <v>166.8</v>
      </c>
      <c r="L39" s="19">
        <f t="shared" si="18"/>
        <v>14178.000000000002</v>
      </c>
      <c r="M39" s="20"/>
      <c r="N39" s="21">
        <v>20</v>
      </c>
      <c r="O39" s="21">
        <f t="shared" si="19"/>
        <v>1700</v>
      </c>
      <c r="P39" s="13">
        <f t="shared" si="20"/>
        <v>190</v>
      </c>
      <c r="Q39" s="13">
        <v>195</v>
      </c>
      <c r="R39" s="13">
        <v>190</v>
      </c>
      <c r="S39" s="13"/>
      <c r="T39" s="13"/>
      <c r="U39" s="13">
        <f t="shared" si="21"/>
        <v>195</v>
      </c>
      <c r="V39" s="1" t="s">
        <v>176</v>
      </c>
    </row>
    <row r="40" spans="1:23" ht="15">
      <c r="A40" s="13" t="s">
        <v>135</v>
      </c>
      <c r="B40" s="17"/>
      <c r="C40" s="83" t="s">
        <v>131</v>
      </c>
      <c r="D40" s="13">
        <v>630</v>
      </c>
      <c r="E40" s="19">
        <f t="shared" si="11"/>
        <v>10.4</v>
      </c>
      <c r="F40" s="19">
        <f t="shared" si="12"/>
        <v>6552</v>
      </c>
      <c r="G40" s="19">
        <f t="shared" si="13"/>
        <v>16.68</v>
      </c>
      <c r="H40" s="19">
        <f t="shared" si="14"/>
        <v>10508.4</v>
      </c>
      <c r="I40" s="19">
        <f t="shared" si="15"/>
        <v>8</v>
      </c>
      <c r="J40" s="19">
        <f t="shared" si="16"/>
        <v>5040</v>
      </c>
      <c r="K40" s="14">
        <f t="shared" si="17"/>
        <v>8.34</v>
      </c>
      <c r="L40" s="19">
        <f t="shared" si="18"/>
        <v>5254.2</v>
      </c>
      <c r="M40" s="20"/>
      <c r="N40" s="21">
        <v>1</v>
      </c>
      <c r="O40" s="21">
        <f t="shared" si="19"/>
        <v>630</v>
      </c>
      <c r="P40" s="13">
        <f t="shared" si="20"/>
        <v>8</v>
      </c>
      <c r="Q40" s="13"/>
      <c r="R40" s="13"/>
      <c r="S40" s="13"/>
      <c r="T40" s="13">
        <v>8</v>
      </c>
      <c r="U40" s="13">
        <f t="shared" si="21"/>
        <v>8</v>
      </c>
      <c r="V40" s="1" t="s">
        <v>177</v>
      </c>
      <c r="W40" s="1" t="s">
        <v>178</v>
      </c>
    </row>
    <row r="41" spans="1:23" ht="15">
      <c r="A41" s="13" t="s">
        <v>136</v>
      </c>
      <c r="B41" s="17"/>
      <c r="C41" s="83" t="s">
        <v>142</v>
      </c>
      <c r="D41" s="13">
        <v>564</v>
      </c>
      <c r="E41" s="19">
        <f t="shared" ref="E41" si="22">IF(M41=0,ROUND(I41*(1+$I$2),2),M41)</f>
        <v>0</v>
      </c>
      <c r="F41" s="19">
        <f t="shared" ref="F41" si="23">D41*E41</f>
        <v>0</v>
      </c>
      <c r="G41" s="19">
        <f t="shared" ref="G41" si="24">ROUND(K41*(1+$K$2),2)</f>
        <v>166.8</v>
      </c>
      <c r="H41" s="19">
        <f t="shared" ref="H41" si="25">D41*G41</f>
        <v>94075.200000000012</v>
      </c>
      <c r="I41" s="19">
        <f t="shared" ref="I41" si="26">IF($I$3=$P$2,P41,IF($I$3=$Q$2,Q41,IF($I$3=$R$2,R41,IF($I$3=$S$2,S41,IF($I$3=$T$2,T41,IF($I$3=$U$2,U41,0))))))</f>
        <v>0</v>
      </c>
      <c r="J41" s="19">
        <f t="shared" ref="J41" si="27">D41*I41</f>
        <v>0</v>
      </c>
      <c r="K41" s="14">
        <f t="shared" ref="K41" si="28">N41*$N$3</f>
        <v>83.4</v>
      </c>
      <c r="L41" s="19">
        <f t="shared" ref="L41" si="29">D41*K41</f>
        <v>47037.600000000006</v>
      </c>
      <c r="M41" s="20"/>
      <c r="N41" s="21">
        <v>10</v>
      </c>
      <c r="O41" s="21">
        <f t="shared" ref="O41" si="30">D41*N41</f>
        <v>5640</v>
      </c>
      <c r="P41" s="13">
        <f t="shared" ref="P41" si="31">MIN(Q41:T41)</f>
        <v>0</v>
      </c>
      <c r="Q41" s="13"/>
      <c r="R41" s="13"/>
      <c r="S41" s="13"/>
      <c r="T41" s="13"/>
      <c r="U41" s="13">
        <f t="shared" ref="U41" si="32">MAX(Q41:T41)</f>
        <v>0</v>
      </c>
    </row>
    <row r="42" spans="1:23" ht="15">
      <c r="A42" s="13" t="s">
        <v>137</v>
      </c>
      <c r="B42" s="17"/>
      <c r="C42" s="83" t="s">
        <v>142</v>
      </c>
      <c r="D42" s="13">
        <v>1</v>
      </c>
      <c r="E42" s="19">
        <f t="shared" si="11"/>
        <v>0</v>
      </c>
      <c r="F42" s="19">
        <f t="shared" si="12"/>
        <v>0</v>
      </c>
      <c r="G42" s="19">
        <f t="shared" si="13"/>
        <v>4003.2</v>
      </c>
      <c r="H42" s="19">
        <f t="shared" si="14"/>
        <v>4003.2</v>
      </c>
      <c r="I42" s="19">
        <f t="shared" si="15"/>
        <v>0</v>
      </c>
      <c r="J42" s="19">
        <f t="shared" si="16"/>
        <v>0</v>
      </c>
      <c r="K42" s="14">
        <f t="shared" si="17"/>
        <v>2001.6</v>
      </c>
      <c r="L42" s="19">
        <f t="shared" si="18"/>
        <v>2001.6</v>
      </c>
      <c r="M42" s="20"/>
      <c r="N42" s="21">
        <v>240</v>
      </c>
      <c r="O42" s="21">
        <f t="shared" si="19"/>
        <v>240</v>
      </c>
      <c r="P42" s="13">
        <f t="shared" si="20"/>
        <v>0</v>
      </c>
      <c r="Q42" s="13"/>
      <c r="R42" s="13"/>
      <c r="S42" s="13"/>
      <c r="T42" s="13"/>
      <c r="U42" s="13">
        <f t="shared" si="21"/>
        <v>0</v>
      </c>
    </row>
    <row r="43" spans="1:23" ht="15">
      <c r="A43" s="13" t="s">
        <v>138</v>
      </c>
      <c r="B43" s="17"/>
      <c r="C43" s="83" t="s">
        <v>131</v>
      </c>
      <c r="D43" s="13">
        <v>25</v>
      </c>
      <c r="E43" s="19">
        <f t="shared" si="11"/>
        <v>780</v>
      </c>
      <c r="F43" s="19">
        <f t="shared" si="12"/>
        <v>19500</v>
      </c>
      <c r="G43" s="19">
        <f t="shared" si="13"/>
        <v>250.2</v>
      </c>
      <c r="H43" s="19">
        <f t="shared" si="14"/>
        <v>6255</v>
      </c>
      <c r="I43" s="19">
        <f t="shared" si="15"/>
        <v>600</v>
      </c>
      <c r="J43" s="19">
        <f t="shared" si="16"/>
        <v>15000</v>
      </c>
      <c r="K43" s="14">
        <f t="shared" si="17"/>
        <v>125.1</v>
      </c>
      <c r="L43" s="19">
        <f t="shared" si="18"/>
        <v>3127.5</v>
      </c>
      <c r="M43" s="20"/>
      <c r="N43" s="21">
        <v>15</v>
      </c>
      <c r="O43" s="21">
        <f t="shared" si="19"/>
        <v>375</v>
      </c>
      <c r="P43" s="13">
        <f t="shared" si="20"/>
        <v>600</v>
      </c>
      <c r="Q43" s="13"/>
      <c r="R43" s="13">
        <v>600</v>
      </c>
      <c r="S43" s="13"/>
      <c r="T43" s="13"/>
      <c r="U43" s="13">
        <f t="shared" si="21"/>
        <v>600</v>
      </c>
      <c r="V43" s="90" t="s">
        <v>179</v>
      </c>
      <c r="W43" s="1" t="s">
        <v>180</v>
      </c>
    </row>
    <row r="44" spans="1:23" ht="15">
      <c r="A44" s="13" t="s">
        <v>139</v>
      </c>
      <c r="B44" s="17"/>
      <c r="C44" s="83" t="s">
        <v>131</v>
      </c>
      <c r="D44" s="13">
        <v>50</v>
      </c>
      <c r="E44" s="19">
        <f t="shared" si="11"/>
        <v>13</v>
      </c>
      <c r="F44" s="19">
        <f t="shared" si="12"/>
        <v>650</v>
      </c>
      <c r="G44" s="19">
        <f t="shared" si="13"/>
        <v>16.68</v>
      </c>
      <c r="H44" s="19">
        <f t="shared" si="14"/>
        <v>834</v>
      </c>
      <c r="I44" s="19">
        <f t="shared" si="15"/>
        <v>10</v>
      </c>
      <c r="J44" s="19">
        <f t="shared" si="16"/>
        <v>500</v>
      </c>
      <c r="K44" s="14">
        <f t="shared" si="17"/>
        <v>8.34</v>
      </c>
      <c r="L44" s="19">
        <f t="shared" si="18"/>
        <v>417</v>
      </c>
      <c r="M44" s="20"/>
      <c r="N44" s="21">
        <v>1</v>
      </c>
      <c r="O44" s="21">
        <f t="shared" si="19"/>
        <v>50</v>
      </c>
      <c r="P44" s="13">
        <f t="shared" si="20"/>
        <v>10</v>
      </c>
      <c r="Q44" s="13"/>
      <c r="R44" s="13"/>
      <c r="S44" s="13"/>
      <c r="T44" s="13">
        <v>10</v>
      </c>
      <c r="U44" s="13">
        <f t="shared" si="21"/>
        <v>10</v>
      </c>
      <c r="V44" s="1" t="s">
        <v>181</v>
      </c>
    </row>
    <row r="45" spans="1:23" ht="15">
      <c r="A45" s="82" t="s">
        <v>140</v>
      </c>
      <c r="B45" s="17"/>
      <c r="C45" s="18" t="s">
        <v>131</v>
      </c>
      <c r="D45" s="13">
        <v>0</v>
      </c>
      <c r="E45" s="19">
        <f t="shared" si="11"/>
        <v>0</v>
      </c>
      <c r="F45" s="19">
        <f t="shared" si="12"/>
        <v>0</v>
      </c>
      <c r="G45" s="19">
        <f t="shared" si="13"/>
        <v>0</v>
      </c>
      <c r="H45" s="19">
        <f t="shared" si="14"/>
        <v>0</v>
      </c>
      <c r="I45" s="19">
        <f t="shared" si="15"/>
        <v>0</v>
      </c>
      <c r="J45" s="19">
        <f t="shared" si="16"/>
        <v>0</v>
      </c>
      <c r="K45" s="14">
        <f t="shared" si="17"/>
        <v>0</v>
      </c>
      <c r="L45" s="19">
        <f t="shared" si="18"/>
        <v>0</v>
      </c>
      <c r="M45" s="20"/>
      <c r="N45" s="21"/>
      <c r="O45" s="21">
        <f t="shared" si="19"/>
        <v>0</v>
      </c>
      <c r="P45" s="13">
        <f t="shared" si="20"/>
        <v>0</v>
      </c>
      <c r="Q45" s="13"/>
      <c r="R45" s="13"/>
      <c r="S45" s="13"/>
      <c r="T45" s="13"/>
      <c r="U45" s="13">
        <f t="shared" si="21"/>
        <v>0</v>
      </c>
    </row>
    <row r="46" spans="1:23" ht="15">
      <c r="A46" s="13" t="s">
        <v>104</v>
      </c>
      <c r="B46" s="17"/>
      <c r="C46" s="83" t="s">
        <v>131</v>
      </c>
      <c r="D46" s="13">
        <v>1</v>
      </c>
      <c r="E46" s="19">
        <f t="shared" si="11"/>
        <v>988</v>
      </c>
      <c r="F46" s="19">
        <f t="shared" si="12"/>
        <v>988</v>
      </c>
      <c r="G46" s="19">
        <f t="shared" si="13"/>
        <v>0</v>
      </c>
      <c r="H46" s="19">
        <f t="shared" si="14"/>
        <v>0</v>
      </c>
      <c r="I46" s="19">
        <f t="shared" si="15"/>
        <v>760</v>
      </c>
      <c r="J46" s="19">
        <f t="shared" si="16"/>
        <v>760</v>
      </c>
      <c r="K46" s="14">
        <f t="shared" si="17"/>
        <v>0</v>
      </c>
      <c r="L46" s="19">
        <f t="shared" si="18"/>
        <v>0</v>
      </c>
      <c r="M46" s="20"/>
      <c r="N46" s="21"/>
      <c r="O46" s="21">
        <f t="shared" si="19"/>
        <v>0</v>
      </c>
      <c r="P46" s="13">
        <f t="shared" si="20"/>
        <v>760</v>
      </c>
      <c r="Q46" s="13">
        <v>760</v>
      </c>
      <c r="R46" s="13"/>
      <c r="S46" s="13"/>
      <c r="T46" s="13"/>
      <c r="U46" s="13">
        <f t="shared" si="21"/>
        <v>760</v>
      </c>
    </row>
    <row r="47" spans="1:23" ht="15">
      <c r="A47" s="13" t="s">
        <v>105</v>
      </c>
      <c r="B47" s="17"/>
      <c r="C47" s="83" t="s">
        <v>131</v>
      </c>
      <c r="D47" s="13">
        <v>5</v>
      </c>
      <c r="E47" s="19">
        <f t="shared" si="11"/>
        <v>755.3</v>
      </c>
      <c r="F47" s="19">
        <f t="shared" si="12"/>
        <v>3776.5</v>
      </c>
      <c r="G47" s="19">
        <f t="shared" si="13"/>
        <v>0</v>
      </c>
      <c r="H47" s="19">
        <f t="shared" si="14"/>
        <v>0</v>
      </c>
      <c r="I47" s="19">
        <f t="shared" si="15"/>
        <v>581</v>
      </c>
      <c r="J47" s="19">
        <f t="shared" si="16"/>
        <v>2905</v>
      </c>
      <c r="K47" s="14">
        <f t="shared" si="17"/>
        <v>0</v>
      </c>
      <c r="L47" s="19">
        <f t="shared" si="18"/>
        <v>0</v>
      </c>
      <c r="M47" s="20"/>
      <c r="N47" s="21"/>
      <c r="O47" s="21">
        <f t="shared" si="19"/>
        <v>0</v>
      </c>
      <c r="P47" s="13">
        <f t="shared" si="20"/>
        <v>581</v>
      </c>
      <c r="Q47" s="13">
        <v>581</v>
      </c>
      <c r="R47" s="13"/>
      <c r="S47" s="13"/>
      <c r="T47" s="13"/>
      <c r="U47" s="13">
        <f t="shared" si="21"/>
        <v>581</v>
      </c>
    </row>
    <row r="48" spans="1:23" ht="15">
      <c r="A48" s="13" t="s">
        <v>106</v>
      </c>
      <c r="B48" s="17"/>
      <c r="C48" s="83" t="s">
        <v>131</v>
      </c>
      <c r="D48" s="13">
        <v>47</v>
      </c>
      <c r="E48" s="19">
        <f t="shared" si="11"/>
        <v>1105</v>
      </c>
      <c r="F48" s="19">
        <f t="shared" si="12"/>
        <v>51935</v>
      </c>
      <c r="G48" s="19">
        <f t="shared" si="13"/>
        <v>0</v>
      </c>
      <c r="H48" s="19">
        <f t="shared" si="14"/>
        <v>0</v>
      </c>
      <c r="I48" s="19">
        <f t="shared" si="15"/>
        <v>850</v>
      </c>
      <c r="J48" s="19">
        <f t="shared" si="16"/>
        <v>39950</v>
      </c>
      <c r="K48" s="14">
        <f t="shared" si="17"/>
        <v>0</v>
      </c>
      <c r="L48" s="19">
        <f t="shared" si="18"/>
        <v>0</v>
      </c>
      <c r="M48" s="20"/>
      <c r="N48" s="21"/>
      <c r="O48" s="21">
        <f t="shared" si="19"/>
        <v>0</v>
      </c>
      <c r="P48" s="13">
        <f t="shared" si="20"/>
        <v>850</v>
      </c>
      <c r="Q48" s="13">
        <v>850</v>
      </c>
      <c r="R48" s="13"/>
      <c r="S48" s="13"/>
      <c r="T48" s="13"/>
      <c r="U48" s="13">
        <f t="shared" si="21"/>
        <v>850</v>
      </c>
    </row>
    <row r="49" spans="1:21" ht="15">
      <c r="A49" s="13" t="s">
        <v>107</v>
      </c>
      <c r="B49" s="17"/>
      <c r="C49" s="83" t="s">
        <v>131</v>
      </c>
      <c r="D49" s="13">
        <v>6</v>
      </c>
      <c r="E49" s="19">
        <f t="shared" si="11"/>
        <v>195</v>
      </c>
      <c r="F49" s="19">
        <f t="shared" si="12"/>
        <v>1170</v>
      </c>
      <c r="G49" s="19">
        <f t="shared" si="13"/>
        <v>0</v>
      </c>
      <c r="H49" s="19">
        <f t="shared" si="14"/>
        <v>0</v>
      </c>
      <c r="I49" s="19">
        <f t="shared" si="15"/>
        <v>150</v>
      </c>
      <c r="J49" s="19">
        <f t="shared" si="16"/>
        <v>900</v>
      </c>
      <c r="K49" s="14">
        <f t="shared" si="17"/>
        <v>0</v>
      </c>
      <c r="L49" s="19">
        <f t="shared" si="18"/>
        <v>0</v>
      </c>
      <c r="M49" s="20"/>
      <c r="N49" s="21"/>
      <c r="O49" s="21">
        <f t="shared" si="19"/>
        <v>0</v>
      </c>
      <c r="P49" s="13">
        <f t="shared" si="20"/>
        <v>150</v>
      </c>
      <c r="Q49" s="13">
        <v>150</v>
      </c>
      <c r="R49" s="13"/>
      <c r="S49" s="13"/>
      <c r="T49" s="13"/>
      <c r="U49" s="13">
        <f t="shared" si="21"/>
        <v>150</v>
      </c>
    </row>
    <row r="50" spans="1:21" ht="15">
      <c r="A50" s="13" t="s">
        <v>108</v>
      </c>
      <c r="B50" s="17"/>
      <c r="C50" s="83" t="s">
        <v>131</v>
      </c>
      <c r="D50" s="13">
        <v>8</v>
      </c>
      <c r="E50" s="19">
        <f t="shared" si="11"/>
        <v>227.5</v>
      </c>
      <c r="F50" s="19">
        <f t="shared" si="12"/>
        <v>1820</v>
      </c>
      <c r="G50" s="19">
        <f t="shared" si="13"/>
        <v>0</v>
      </c>
      <c r="H50" s="19">
        <f t="shared" si="14"/>
        <v>0</v>
      </c>
      <c r="I50" s="19">
        <f t="shared" si="15"/>
        <v>175</v>
      </c>
      <c r="J50" s="19">
        <f t="shared" si="16"/>
        <v>1400</v>
      </c>
      <c r="K50" s="14">
        <f t="shared" si="17"/>
        <v>0</v>
      </c>
      <c r="L50" s="19">
        <f t="shared" si="18"/>
        <v>0</v>
      </c>
      <c r="M50" s="20"/>
      <c r="N50" s="21"/>
      <c r="O50" s="21">
        <f t="shared" si="19"/>
        <v>0</v>
      </c>
      <c r="P50" s="13">
        <f t="shared" si="20"/>
        <v>175</v>
      </c>
      <c r="Q50" s="13">
        <v>175</v>
      </c>
      <c r="R50" s="13"/>
      <c r="S50" s="13"/>
      <c r="T50" s="13"/>
      <c r="U50" s="13">
        <f t="shared" si="21"/>
        <v>175</v>
      </c>
    </row>
    <row r="51" spans="1:21" ht="15">
      <c r="A51" s="13" t="s">
        <v>103</v>
      </c>
      <c r="B51" s="17"/>
      <c r="C51" s="83" t="s">
        <v>131</v>
      </c>
      <c r="D51" s="13">
        <v>1</v>
      </c>
      <c r="E51" s="19">
        <f t="shared" si="11"/>
        <v>3588</v>
      </c>
      <c r="F51" s="19">
        <f t="shared" si="12"/>
        <v>3588</v>
      </c>
      <c r="G51" s="19">
        <f t="shared" si="13"/>
        <v>0</v>
      </c>
      <c r="H51" s="19">
        <f t="shared" si="14"/>
        <v>0</v>
      </c>
      <c r="I51" s="19">
        <f t="shared" si="15"/>
        <v>2760</v>
      </c>
      <c r="J51" s="19">
        <f t="shared" si="16"/>
        <v>2760</v>
      </c>
      <c r="K51" s="14">
        <f t="shared" si="17"/>
        <v>0</v>
      </c>
      <c r="L51" s="19">
        <f t="shared" si="18"/>
        <v>0</v>
      </c>
      <c r="M51" s="20"/>
      <c r="N51" s="21"/>
      <c r="O51" s="21">
        <f t="shared" si="19"/>
        <v>0</v>
      </c>
      <c r="P51" s="13">
        <f t="shared" si="20"/>
        <v>2760</v>
      </c>
      <c r="Q51" s="13">
        <v>2760</v>
      </c>
      <c r="R51" s="13"/>
      <c r="S51" s="13"/>
      <c r="T51" s="13"/>
      <c r="U51" s="13">
        <f t="shared" si="21"/>
        <v>2760</v>
      </c>
    </row>
    <row r="52" spans="1:21" ht="15">
      <c r="A52" s="13" t="s">
        <v>110</v>
      </c>
      <c r="B52" s="17"/>
      <c r="C52" s="83" t="s">
        <v>131</v>
      </c>
      <c r="D52" s="13">
        <v>1</v>
      </c>
      <c r="E52" s="19">
        <f t="shared" si="11"/>
        <v>3419</v>
      </c>
      <c r="F52" s="19">
        <f t="shared" si="12"/>
        <v>3419</v>
      </c>
      <c r="G52" s="19">
        <f t="shared" si="13"/>
        <v>0</v>
      </c>
      <c r="H52" s="19">
        <f t="shared" si="14"/>
        <v>0</v>
      </c>
      <c r="I52" s="19">
        <f t="shared" si="15"/>
        <v>2630</v>
      </c>
      <c r="J52" s="19">
        <f t="shared" si="16"/>
        <v>2630</v>
      </c>
      <c r="K52" s="14">
        <f t="shared" si="17"/>
        <v>0</v>
      </c>
      <c r="L52" s="19">
        <f t="shared" si="18"/>
        <v>0</v>
      </c>
      <c r="M52" s="20"/>
      <c r="N52" s="21"/>
      <c r="O52" s="21">
        <f t="shared" si="19"/>
        <v>0</v>
      </c>
      <c r="P52" s="13">
        <f t="shared" si="20"/>
        <v>2630</v>
      </c>
      <c r="Q52" s="13">
        <v>2630</v>
      </c>
      <c r="R52" s="13"/>
      <c r="S52" s="13"/>
      <c r="T52" s="13"/>
      <c r="U52" s="13">
        <f t="shared" si="21"/>
        <v>2630</v>
      </c>
    </row>
    <row r="53" spans="1:21" ht="15">
      <c r="A53" s="13" t="s">
        <v>117</v>
      </c>
      <c r="B53" s="17"/>
      <c r="C53" s="83" t="s">
        <v>131</v>
      </c>
      <c r="D53" s="13">
        <v>2</v>
      </c>
      <c r="E53" s="19">
        <f t="shared" si="11"/>
        <v>507</v>
      </c>
      <c r="F53" s="19">
        <f t="shared" si="12"/>
        <v>1014</v>
      </c>
      <c r="G53" s="19">
        <f t="shared" si="13"/>
        <v>0</v>
      </c>
      <c r="H53" s="19">
        <f t="shared" si="14"/>
        <v>0</v>
      </c>
      <c r="I53" s="19">
        <f t="shared" si="15"/>
        <v>390</v>
      </c>
      <c r="J53" s="19">
        <f t="shared" si="16"/>
        <v>780</v>
      </c>
      <c r="K53" s="14">
        <f t="shared" si="17"/>
        <v>0</v>
      </c>
      <c r="L53" s="19">
        <f t="shared" si="18"/>
        <v>0</v>
      </c>
      <c r="M53" s="20"/>
      <c r="N53" s="21"/>
      <c r="O53" s="21">
        <f t="shared" si="19"/>
        <v>0</v>
      </c>
      <c r="P53" s="13">
        <f t="shared" si="20"/>
        <v>390</v>
      </c>
      <c r="Q53" s="13">
        <v>390</v>
      </c>
      <c r="R53" s="13"/>
      <c r="S53" s="13"/>
      <c r="T53" s="13"/>
      <c r="U53" s="13">
        <f t="shared" si="21"/>
        <v>390</v>
      </c>
    </row>
    <row r="54" spans="1:21">
      <c r="A54" s="13"/>
      <c r="B54" s="17"/>
      <c r="C54" s="18"/>
      <c r="D54" s="13"/>
      <c r="E54" s="19">
        <f t="shared" si="11"/>
        <v>0</v>
      </c>
      <c r="F54" s="19">
        <f t="shared" si="12"/>
        <v>0</v>
      </c>
      <c r="G54" s="19">
        <f t="shared" si="13"/>
        <v>0</v>
      </c>
      <c r="H54" s="19">
        <f t="shared" si="14"/>
        <v>0</v>
      </c>
      <c r="I54" s="19">
        <f t="shared" si="15"/>
        <v>0</v>
      </c>
      <c r="J54" s="19">
        <f t="shared" si="16"/>
        <v>0</v>
      </c>
      <c r="K54" s="14">
        <f t="shared" si="17"/>
        <v>0</v>
      </c>
      <c r="L54" s="19">
        <f t="shared" si="18"/>
        <v>0</v>
      </c>
      <c r="M54" s="20"/>
      <c r="N54" s="21"/>
      <c r="O54" s="21">
        <f t="shared" si="19"/>
        <v>0</v>
      </c>
      <c r="P54" s="13">
        <f t="shared" si="20"/>
        <v>0</v>
      </c>
      <c r="Q54" s="13"/>
      <c r="R54" s="13"/>
      <c r="S54" s="13"/>
      <c r="T54" s="13"/>
      <c r="U54" s="13">
        <f t="shared" si="21"/>
        <v>0</v>
      </c>
    </row>
    <row r="55" spans="1:21">
      <c r="A55" s="13"/>
      <c r="B55" s="17"/>
      <c r="C55" s="18"/>
      <c r="D55" s="13"/>
      <c r="E55" s="19">
        <f t="shared" si="0"/>
        <v>0</v>
      </c>
      <c r="F55" s="19">
        <f t="shared" si="1"/>
        <v>0</v>
      </c>
      <c r="G55" s="19">
        <f t="shared" si="2"/>
        <v>0</v>
      </c>
      <c r="H55" s="19">
        <f t="shared" si="3"/>
        <v>0</v>
      </c>
      <c r="I55" s="19">
        <f t="shared" si="4"/>
        <v>0</v>
      </c>
      <c r="J55" s="19">
        <f t="shared" si="5"/>
        <v>0</v>
      </c>
      <c r="K55" s="14">
        <f t="shared" si="6"/>
        <v>0</v>
      </c>
      <c r="L55" s="19">
        <f t="shared" si="7"/>
        <v>0</v>
      </c>
      <c r="M55" s="20"/>
      <c r="N55" s="21"/>
      <c r="O55" s="21">
        <f t="shared" si="8"/>
        <v>0</v>
      </c>
      <c r="P55" s="13">
        <f t="shared" si="9"/>
        <v>0</v>
      </c>
      <c r="Q55" s="13"/>
      <c r="R55" s="13"/>
      <c r="S55" s="13"/>
      <c r="T55" s="13"/>
      <c r="U55" s="13">
        <f t="shared" si="10"/>
        <v>0</v>
      </c>
    </row>
    <row r="56" spans="1:21">
      <c r="A56" s="13"/>
      <c r="B56" s="17"/>
      <c r="C56" s="18"/>
      <c r="D56" s="13"/>
      <c r="E56" s="19">
        <f t="shared" si="0"/>
        <v>0</v>
      </c>
      <c r="F56" s="19">
        <f t="shared" si="1"/>
        <v>0</v>
      </c>
      <c r="G56" s="19">
        <f t="shared" si="2"/>
        <v>0</v>
      </c>
      <c r="H56" s="19">
        <f t="shared" si="3"/>
        <v>0</v>
      </c>
      <c r="I56" s="19">
        <f t="shared" si="4"/>
        <v>0</v>
      </c>
      <c r="J56" s="19">
        <f t="shared" si="5"/>
        <v>0</v>
      </c>
      <c r="K56" s="14">
        <f t="shared" si="6"/>
        <v>0</v>
      </c>
      <c r="L56" s="19">
        <f t="shared" si="7"/>
        <v>0</v>
      </c>
      <c r="M56" s="20"/>
      <c r="N56" s="21"/>
      <c r="O56" s="21">
        <f t="shared" si="8"/>
        <v>0</v>
      </c>
      <c r="P56" s="13">
        <f t="shared" si="9"/>
        <v>0</v>
      </c>
      <c r="Q56" s="13"/>
      <c r="R56" s="13"/>
      <c r="S56" s="13"/>
      <c r="T56" s="13"/>
      <c r="U56" s="13">
        <f t="shared" si="10"/>
        <v>0</v>
      </c>
    </row>
    <row r="57" spans="1:21">
      <c r="A57" s="13"/>
      <c r="B57" s="17"/>
      <c r="C57" s="18"/>
      <c r="D57" s="13"/>
      <c r="E57" s="19">
        <f t="shared" si="0"/>
        <v>0</v>
      </c>
      <c r="F57" s="19">
        <f t="shared" si="1"/>
        <v>0</v>
      </c>
      <c r="G57" s="19">
        <f t="shared" si="2"/>
        <v>0</v>
      </c>
      <c r="H57" s="19">
        <f t="shared" si="3"/>
        <v>0</v>
      </c>
      <c r="I57" s="19">
        <f t="shared" si="4"/>
        <v>0</v>
      </c>
      <c r="J57" s="19">
        <f t="shared" si="5"/>
        <v>0</v>
      </c>
      <c r="K57" s="14">
        <f t="shared" si="6"/>
        <v>0</v>
      </c>
      <c r="L57" s="19">
        <f t="shared" si="7"/>
        <v>0</v>
      </c>
      <c r="M57" s="20"/>
      <c r="N57" s="21"/>
      <c r="O57" s="21">
        <f t="shared" si="8"/>
        <v>0</v>
      </c>
      <c r="P57" s="13">
        <f t="shared" si="9"/>
        <v>0</v>
      </c>
      <c r="Q57" s="13"/>
      <c r="R57" s="13"/>
      <c r="S57" s="13"/>
      <c r="T57" s="13"/>
      <c r="U57" s="13">
        <f t="shared" si="10"/>
        <v>0</v>
      </c>
    </row>
    <row r="58" spans="1:21">
      <c r="A58" s="13"/>
      <c r="B58" s="17"/>
      <c r="C58" s="18"/>
      <c r="D58" s="13"/>
      <c r="E58" s="19">
        <f t="shared" si="0"/>
        <v>0</v>
      </c>
      <c r="F58" s="19">
        <f t="shared" si="1"/>
        <v>0</v>
      </c>
      <c r="G58" s="19">
        <f t="shared" si="2"/>
        <v>0</v>
      </c>
      <c r="H58" s="19">
        <f t="shared" si="3"/>
        <v>0</v>
      </c>
      <c r="I58" s="19">
        <f t="shared" si="4"/>
        <v>0</v>
      </c>
      <c r="J58" s="19">
        <f t="shared" si="5"/>
        <v>0</v>
      </c>
      <c r="K58" s="14">
        <f t="shared" si="6"/>
        <v>0</v>
      </c>
      <c r="L58" s="19">
        <f t="shared" si="7"/>
        <v>0</v>
      </c>
      <c r="M58" s="20"/>
      <c r="N58" s="21"/>
      <c r="O58" s="21">
        <f t="shared" si="8"/>
        <v>0</v>
      </c>
      <c r="P58" s="13">
        <f t="shared" si="9"/>
        <v>0</v>
      </c>
      <c r="Q58" s="13"/>
      <c r="R58" s="13"/>
      <c r="S58" s="13"/>
      <c r="T58" s="13"/>
      <c r="U58" s="13">
        <f t="shared" si="10"/>
        <v>0</v>
      </c>
    </row>
    <row r="59" spans="1:21">
      <c r="A59" s="13" t="s">
        <v>20</v>
      </c>
      <c r="B59" s="13"/>
      <c r="C59" s="13"/>
      <c r="D59" s="13">
        <v>1</v>
      </c>
      <c r="E59" s="19"/>
      <c r="F59" s="19"/>
      <c r="G59" s="19">
        <f>IF(M59=0,B65,M59)</f>
        <v>0</v>
      </c>
      <c r="H59" s="19">
        <f t="shared" si="3"/>
        <v>0</v>
      </c>
      <c r="I59" s="19">
        <f t="shared" si="4"/>
        <v>0</v>
      </c>
      <c r="J59" s="19">
        <f t="shared" si="5"/>
        <v>0</v>
      </c>
      <c r="K59" s="24">
        <f>B65</f>
        <v>0</v>
      </c>
      <c r="L59" s="19">
        <f t="shared" si="7"/>
        <v>0</v>
      </c>
      <c r="M59" s="20"/>
      <c r="N59" s="21"/>
      <c r="O59" s="21"/>
      <c r="P59" s="13">
        <f t="shared" si="9"/>
        <v>0</v>
      </c>
      <c r="Q59" s="13"/>
      <c r="R59" s="13"/>
      <c r="S59" s="13"/>
      <c r="T59" s="13"/>
      <c r="U59" s="13">
        <f t="shared" si="10"/>
        <v>0</v>
      </c>
    </row>
    <row r="60" spans="1:21">
      <c r="A60" s="13" t="str">
        <f>"Командировочные на "&amp;B89&amp;" чел в срок "&amp;ROUND(O64,0)&amp;" дней"</f>
        <v>Командировочные на 2 чел в срок 69 дней</v>
      </c>
      <c r="B60" s="13"/>
      <c r="C60" s="13"/>
      <c r="D60" s="13">
        <v>1</v>
      </c>
      <c r="E60" s="19"/>
      <c r="F60" s="19"/>
      <c r="G60" s="19">
        <f>IF(M60=0,D105,M60)</f>
        <v>0</v>
      </c>
      <c r="H60" s="19">
        <f t="shared" si="3"/>
        <v>0</v>
      </c>
      <c r="I60" s="19">
        <f t="shared" si="4"/>
        <v>0</v>
      </c>
      <c r="J60" s="19">
        <f t="shared" si="5"/>
        <v>0</v>
      </c>
      <c r="K60" s="24"/>
      <c r="L60" s="19">
        <f t="shared" si="7"/>
        <v>0</v>
      </c>
      <c r="M60" s="20"/>
      <c r="N60" s="21"/>
      <c r="O60" s="21"/>
      <c r="P60" s="13">
        <f t="shared" si="9"/>
        <v>0</v>
      </c>
      <c r="Q60" s="13"/>
      <c r="R60" s="13"/>
      <c r="S60" s="13"/>
      <c r="T60" s="13"/>
      <c r="U60" s="13">
        <f t="shared" si="10"/>
        <v>0</v>
      </c>
    </row>
    <row r="61" spans="1:21">
      <c r="A61" s="25" t="s">
        <v>21</v>
      </c>
      <c r="B61" s="25"/>
      <c r="C61" s="26"/>
      <c r="D61" s="25">
        <v>0</v>
      </c>
      <c r="E61" s="27"/>
      <c r="F61" s="27"/>
      <c r="G61" s="28">
        <f>F62*M61</f>
        <v>172962.27000000002</v>
      </c>
      <c r="H61" s="28">
        <f>G61*D61</f>
        <v>0</v>
      </c>
      <c r="I61" s="26"/>
      <c r="J61" s="26"/>
      <c r="K61" s="26"/>
      <c r="L61" s="29"/>
      <c r="M61" s="30">
        <v>0.1</v>
      </c>
      <c r="N61" s="31" t="s">
        <v>22</v>
      </c>
      <c r="O61" s="31">
        <f>SUM(O4:O60)</f>
        <v>66175</v>
      </c>
    </row>
    <row r="62" spans="1:21">
      <c r="A62" s="32" t="s">
        <v>23</v>
      </c>
      <c r="B62" s="32"/>
      <c r="C62" s="26"/>
      <c r="D62" s="26"/>
      <c r="E62" s="27"/>
      <c r="F62" s="33">
        <f>SUM(F4:F61)</f>
        <v>1729622.7</v>
      </c>
      <c r="G62" s="27"/>
      <c r="H62" s="33">
        <f>SUM(H4:H61)</f>
        <v>1103835</v>
      </c>
      <c r="I62" s="32"/>
      <c r="J62" s="33">
        <f>SUM(J4:J61)</f>
        <v>1330479</v>
      </c>
      <c r="K62" s="27"/>
      <c r="L62" s="33">
        <f>SUM(L4:L61)</f>
        <v>551899.5</v>
      </c>
      <c r="N62" s="31" t="s">
        <v>24</v>
      </c>
      <c r="O62" s="31">
        <f>O61/60</f>
        <v>1102.9166666666667</v>
      </c>
    </row>
    <row r="63" spans="1:21">
      <c r="A63" s="32" t="s">
        <v>25</v>
      </c>
      <c r="B63" s="32"/>
      <c r="C63" s="32"/>
      <c r="D63" s="32"/>
      <c r="E63" s="27"/>
      <c r="F63" s="27"/>
      <c r="G63" s="27"/>
      <c r="H63" s="33">
        <f>H62+F62</f>
        <v>2833457.7</v>
      </c>
      <c r="I63" s="26"/>
      <c r="J63" s="26"/>
      <c r="K63" s="26"/>
      <c r="L63" s="33">
        <f>L62+J62</f>
        <v>1882378.5</v>
      </c>
      <c r="N63" s="31" t="s">
        <v>26</v>
      </c>
      <c r="O63" s="31">
        <f>O62/8</f>
        <v>137.86458333333334</v>
      </c>
    </row>
    <row r="64" spans="1:21">
      <c r="N64" s="31" t="str">
        <f>"дней на "&amp;B89&amp;" чел"</f>
        <v>дней на 2 чел</v>
      </c>
      <c r="O64" s="31">
        <f>O63/B89</f>
        <v>68.932291666666671</v>
      </c>
    </row>
    <row r="65" spans="1:32">
      <c r="A65" s="1" t="s">
        <v>20</v>
      </c>
    </row>
    <row r="67" spans="1:32">
      <c r="D67" s="2">
        <f>C69+D69</f>
        <v>1882378.5</v>
      </c>
    </row>
    <row r="68" spans="1:32" customFormat="1" ht="48">
      <c r="A68" s="34"/>
      <c r="B68" s="35" t="s">
        <v>27</v>
      </c>
      <c r="C68" s="36" t="s">
        <v>28</v>
      </c>
      <c r="D68" s="35" t="s">
        <v>29</v>
      </c>
      <c r="E68" s="35" t="s">
        <v>30</v>
      </c>
      <c r="F68" s="35" t="s">
        <v>31</v>
      </c>
      <c r="G68" s="37" t="s">
        <v>32</v>
      </c>
      <c r="H68" s="37" t="s">
        <v>33</v>
      </c>
      <c r="I68" s="35" t="s">
        <v>34</v>
      </c>
      <c r="J68" s="35" t="s">
        <v>35</v>
      </c>
      <c r="K68" s="35" t="s">
        <v>36</v>
      </c>
      <c r="L68" s="38" t="s">
        <v>37</v>
      </c>
      <c r="M68" s="35" t="s">
        <v>38</v>
      </c>
      <c r="N68" s="35" t="s">
        <v>39</v>
      </c>
      <c r="O68" s="35" t="s">
        <v>40</v>
      </c>
      <c r="P68" s="35" t="s">
        <v>41</v>
      </c>
      <c r="Q68" s="35" t="s">
        <v>42</v>
      </c>
      <c r="R68" s="35" t="s">
        <v>43</v>
      </c>
      <c r="S68" s="35" t="s">
        <v>44</v>
      </c>
      <c r="T68" s="35" t="s">
        <v>45</v>
      </c>
      <c r="U68" s="35" t="s">
        <v>46</v>
      </c>
      <c r="V68" s="35" t="s">
        <v>47</v>
      </c>
      <c r="W68" s="35" t="s">
        <v>48</v>
      </c>
      <c r="X68" s="35" t="s">
        <v>49</v>
      </c>
      <c r="Y68" s="35" t="s">
        <v>50</v>
      </c>
      <c r="Z68" s="35" t="s">
        <v>51</v>
      </c>
      <c r="AA68" s="35" t="s">
        <v>52</v>
      </c>
      <c r="AB68" s="35" t="s">
        <v>34</v>
      </c>
      <c r="AC68" s="39" t="s">
        <v>53</v>
      </c>
      <c r="AD68" s="39" t="s">
        <v>54</v>
      </c>
      <c r="AE68" s="39" t="s">
        <v>55</v>
      </c>
      <c r="AF68" s="35" t="s">
        <v>56</v>
      </c>
    </row>
    <row r="69" spans="1:32" customFormat="1" ht="16">
      <c r="A69" s="40"/>
      <c r="B69" s="41" t="str">
        <f>IFERROR(VLOOKUP(A69,[1]SubType!$A:$B,2,),"-")</f>
        <v>-</v>
      </c>
      <c r="C69" s="42">
        <f>J62</f>
        <v>1330479</v>
      </c>
      <c r="D69" s="42">
        <f>IF(D70=1,L62,D106)</f>
        <v>551899.5</v>
      </c>
      <c r="E69" s="43">
        <f>H63</f>
        <v>2833457.7</v>
      </c>
      <c r="F69" s="44">
        <v>0.1</v>
      </c>
      <c r="G69" s="45">
        <v>44105</v>
      </c>
      <c r="H69" s="45">
        <f>G69+O64</f>
        <v>44173.932291666664</v>
      </c>
      <c r="I69" s="46">
        <f>Q69*(1-AD69)-(N69-M69)-R69</f>
        <v>604209.06806512538</v>
      </c>
      <c r="J69" s="47">
        <f>E69-I69</f>
        <v>2229248.6319348747</v>
      </c>
      <c r="K69" s="48">
        <f>I69/E69</f>
        <v>0.21324089929598219</v>
      </c>
      <c r="L69" s="49">
        <f>IFERROR(I69*VLOOKUP(#REF!,'[2]Статус-Монтажники-Менеджеры'!$C:$D,2,),0)</f>
        <v>0</v>
      </c>
      <c r="M69" s="49">
        <f>C69+D69*1.08+D69*F69*(1+AE69)</f>
        <v>2005452.0885000001</v>
      </c>
      <c r="N69" s="49">
        <f>M69</f>
        <v>2005452.0885000001</v>
      </c>
      <c r="O69" s="49">
        <f>E69-M69</f>
        <v>828005.61150000012</v>
      </c>
      <c r="P69" s="49">
        <f>O69*(1-Y69)</f>
        <v>703804.76977500005</v>
      </c>
      <c r="Q69" s="49">
        <f>P69*(1-Z69)</f>
        <v>612310.14970425004</v>
      </c>
      <c r="R69" s="49">
        <f>W69*V69/12*U69</f>
        <v>1977.9801420821914</v>
      </c>
      <c r="S69" s="50">
        <v>0</v>
      </c>
      <c r="T69" s="49">
        <f>S69*E69</f>
        <v>0</v>
      </c>
      <c r="U69" s="51">
        <f>B89/(365/12)</f>
        <v>6.575342465753424E-2</v>
      </c>
      <c r="V69" s="48">
        <v>0.18</v>
      </c>
      <c r="W69" s="52">
        <f>IF(N69-T69&gt;0,N69-T69,0)</f>
        <v>2005452.0885000001</v>
      </c>
      <c r="X69" s="49">
        <f>I69/U69</f>
        <v>9189012.9101571161</v>
      </c>
      <c r="Y69" s="48">
        <v>0.15</v>
      </c>
      <c r="Z69" s="48">
        <v>0.13</v>
      </c>
      <c r="AA69" s="42">
        <f>C69+D69</f>
        <v>1882378.5</v>
      </c>
      <c r="AB69" s="49">
        <f>E69-AA69</f>
        <v>951079.20000000019</v>
      </c>
      <c r="AC69" s="42">
        <f>AB69-I69</f>
        <v>346870.13193487481</v>
      </c>
      <c r="AD69" s="48">
        <v>0.01</v>
      </c>
      <c r="AE69" s="48">
        <v>0.43</v>
      </c>
      <c r="AF69" s="53">
        <f ca="1">NOW()</f>
        <v>44579.599460648147</v>
      </c>
    </row>
    <row r="70" spans="1:32">
      <c r="D70" s="2">
        <v>1</v>
      </c>
      <c r="I70" s="46">
        <f>I69-L69</f>
        <v>604209.06806512538</v>
      </c>
      <c r="J70" s="47"/>
      <c r="K70" s="48">
        <f>I70/E69</f>
        <v>0.21324089929598219</v>
      </c>
    </row>
    <row r="71" spans="1:32">
      <c r="A71" s="54" t="s">
        <v>57</v>
      </c>
      <c r="B71" s="54" t="s">
        <v>58</v>
      </c>
      <c r="C71" s="54" t="s">
        <v>59</v>
      </c>
      <c r="D71" s="54" t="s">
        <v>60</v>
      </c>
      <c r="E71" s="54" t="s">
        <v>61</v>
      </c>
      <c r="F71" s="54" t="s">
        <v>62</v>
      </c>
      <c r="L71" s="55">
        <f>I70*0.2</f>
        <v>120841.81361302508</v>
      </c>
    </row>
    <row r="72" spans="1:32">
      <c r="A72" s="56" t="s">
        <v>63</v>
      </c>
      <c r="B72" s="56">
        <f t="shared" ref="B72:B79" si="33">$B$88</f>
        <v>69</v>
      </c>
      <c r="C72" s="57">
        <f t="shared" ref="C72:C79" si="34">IFERROR(VLOOKUP(A72,$C$81:$D$89,2,),0)</f>
        <v>821.91780821917803</v>
      </c>
      <c r="D72" s="57">
        <f t="shared" ref="D72:D79" si="35">B72*C72</f>
        <v>56712.328767123283</v>
      </c>
      <c r="E72" s="57">
        <f t="shared" ref="E72:E79" si="36">IFERROR(F72/B72,0)</f>
        <v>3999.271739130435</v>
      </c>
      <c r="F72" s="57">
        <f t="shared" ref="F72:F79" si="37">G72*$F$80</f>
        <v>275949.75</v>
      </c>
      <c r="G72" s="58">
        <f t="shared" ref="G72:G79" si="38">IFERROR(D72/$D$80,0)</f>
        <v>0.5</v>
      </c>
    </row>
    <row r="73" spans="1:32">
      <c r="A73" s="56" t="s">
        <v>63</v>
      </c>
      <c r="B73" s="56">
        <f t="shared" si="33"/>
        <v>69</v>
      </c>
      <c r="C73" s="57">
        <f t="shared" si="34"/>
        <v>821.91780821917803</v>
      </c>
      <c r="D73" s="57">
        <f t="shared" si="35"/>
        <v>56712.328767123283</v>
      </c>
      <c r="E73" s="57">
        <f t="shared" si="36"/>
        <v>3999.271739130435</v>
      </c>
      <c r="F73" s="57">
        <f t="shared" si="37"/>
        <v>275949.75</v>
      </c>
      <c r="G73" s="58">
        <f t="shared" si="38"/>
        <v>0.5</v>
      </c>
    </row>
    <row r="74" spans="1:32">
      <c r="A74" s="56"/>
      <c r="B74" s="56">
        <f t="shared" si="33"/>
        <v>69</v>
      </c>
      <c r="C74" s="57">
        <f t="shared" si="34"/>
        <v>0</v>
      </c>
      <c r="D74" s="57">
        <f t="shared" si="35"/>
        <v>0</v>
      </c>
      <c r="E74" s="57">
        <f t="shared" si="36"/>
        <v>0</v>
      </c>
      <c r="F74" s="57">
        <f t="shared" si="37"/>
        <v>0</v>
      </c>
      <c r="G74" s="58">
        <f t="shared" si="38"/>
        <v>0</v>
      </c>
    </row>
    <row r="75" spans="1:32">
      <c r="A75" s="56"/>
      <c r="B75" s="56">
        <f t="shared" si="33"/>
        <v>69</v>
      </c>
      <c r="C75" s="57">
        <f t="shared" si="34"/>
        <v>0</v>
      </c>
      <c r="D75" s="57">
        <f t="shared" si="35"/>
        <v>0</v>
      </c>
      <c r="E75" s="57">
        <f t="shared" si="36"/>
        <v>0</v>
      </c>
      <c r="F75" s="57">
        <f t="shared" si="37"/>
        <v>0</v>
      </c>
      <c r="G75" s="58">
        <f t="shared" si="38"/>
        <v>0</v>
      </c>
    </row>
    <row r="76" spans="1:32">
      <c r="A76" s="56"/>
      <c r="B76" s="56">
        <f t="shared" si="33"/>
        <v>69</v>
      </c>
      <c r="C76" s="57">
        <f t="shared" si="34"/>
        <v>0</v>
      </c>
      <c r="D76" s="57">
        <f t="shared" si="35"/>
        <v>0</v>
      </c>
      <c r="E76" s="57">
        <f t="shared" si="36"/>
        <v>0</v>
      </c>
      <c r="F76" s="57">
        <f t="shared" si="37"/>
        <v>0</v>
      </c>
      <c r="G76" s="58">
        <f t="shared" si="38"/>
        <v>0</v>
      </c>
    </row>
    <row r="77" spans="1:32">
      <c r="A77" s="56"/>
      <c r="B77" s="56">
        <f t="shared" si="33"/>
        <v>69</v>
      </c>
      <c r="C77" s="57">
        <f t="shared" si="34"/>
        <v>0</v>
      </c>
      <c r="D77" s="57">
        <f t="shared" si="35"/>
        <v>0</v>
      </c>
      <c r="E77" s="57">
        <f t="shared" si="36"/>
        <v>0</v>
      </c>
      <c r="F77" s="57">
        <f t="shared" si="37"/>
        <v>0</v>
      </c>
      <c r="G77" s="58">
        <f t="shared" si="38"/>
        <v>0</v>
      </c>
    </row>
    <row r="78" spans="1:32">
      <c r="A78" s="56"/>
      <c r="B78" s="56">
        <f t="shared" si="33"/>
        <v>69</v>
      </c>
      <c r="C78" s="57">
        <f t="shared" si="34"/>
        <v>0</v>
      </c>
      <c r="D78" s="57">
        <f t="shared" si="35"/>
        <v>0</v>
      </c>
      <c r="E78" s="57">
        <f t="shared" si="36"/>
        <v>0</v>
      </c>
      <c r="F78" s="57">
        <f t="shared" si="37"/>
        <v>0</v>
      </c>
      <c r="G78" s="58">
        <f t="shared" si="38"/>
        <v>0</v>
      </c>
    </row>
    <row r="79" spans="1:32">
      <c r="A79" s="56"/>
      <c r="B79" s="56">
        <f t="shared" si="33"/>
        <v>69</v>
      </c>
      <c r="C79" s="57">
        <f t="shared" si="34"/>
        <v>0</v>
      </c>
      <c r="D79" s="57">
        <f t="shared" si="35"/>
        <v>0</v>
      </c>
      <c r="E79" s="57">
        <f t="shared" si="36"/>
        <v>0</v>
      </c>
      <c r="F79" s="57">
        <f t="shared" si="37"/>
        <v>0</v>
      </c>
      <c r="G79" s="58">
        <f t="shared" si="38"/>
        <v>0</v>
      </c>
    </row>
    <row r="80" spans="1:32">
      <c r="A80" s="59" t="s">
        <v>64</v>
      </c>
      <c r="B80" s="59"/>
      <c r="C80" s="59"/>
      <c r="D80" s="60">
        <f>SUM(D72:D79)</f>
        <v>113424.65753424657</v>
      </c>
      <c r="E80" s="59"/>
      <c r="F80" s="60">
        <f>L62-D105</f>
        <v>551899.5</v>
      </c>
    </row>
    <row r="81" spans="1:7">
      <c r="A81" s="61" t="s">
        <v>65</v>
      </c>
      <c r="B81" s="62">
        <f>G69</f>
        <v>44105</v>
      </c>
      <c r="C81" s="63" t="s">
        <v>66</v>
      </c>
      <c r="D81" s="64">
        <f t="shared" ref="D81:D83" si="39">(E81/(365/12))*F81</f>
        <v>0</v>
      </c>
      <c r="E81" s="57">
        <v>40000</v>
      </c>
      <c r="F81" s="65">
        <v>0</v>
      </c>
      <c r="G81" s="65">
        <f t="shared" ref="G81:G83" si="40">COUNTIF($A$100:$A$107,C81)*F81</f>
        <v>0</v>
      </c>
    </row>
    <row r="82" spans="1:7">
      <c r="A82" s="61" t="s">
        <v>67</v>
      </c>
      <c r="B82" s="62">
        <f>H69</f>
        <v>44173.932291666664</v>
      </c>
      <c r="C82" s="63" t="s">
        <v>63</v>
      </c>
      <c r="D82" s="64">
        <f t="shared" si="39"/>
        <v>821.91780821917803</v>
      </c>
      <c r="E82" s="57">
        <v>25000</v>
      </c>
      <c r="F82" s="65">
        <v>1</v>
      </c>
      <c r="G82" s="65">
        <f t="shared" si="40"/>
        <v>0</v>
      </c>
    </row>
    <row r="83" spans="1:7">
      <c r="A83" s="61" t="s">
        <v>68</v>
      </c>
      <c r="B83" s="56">
        <f>ROUND(B82-B81,0)</f>
        <v>69</v>
      </c>
      <c r="C83" s="63" t="s">
        <v>69</v>
      </c>
      <c r="D83" s="64">
        <f t="shared" si="39"/>
        <v>1315.0684931506848</v>
      </c>
      <c r="E83" s="57">
        <v>40000</v>
      </c>
      <c r="F83" s="65">
        <v>1</v>
      </c>
      <c r="G83" s="65">
        <f t="shared" si="40"/>
        <v>0</v>
      </c>
    </row>
    <row r="84" spans="1:7">
      <c r="A84" s="61" t="s">
        <v>70</v>
      </c>
      <c r="B84" s="66">
        <v>0</v>
      </c>
      <c r="C84" s="63"/>
      <c r="D84" s="67"/>
      <c r="G84" s="68">
        <f>SUM(G81:G83)</f>
        <v>0</v>
      </c>
    </row>
    <row r="85" spans="1:7">
      <c r="A85" s="61" t="s">
        <v>71</v>
      </c>
      <c r="B85" s="56">
        <f>ROUNDUP(B83*(1+B84),0)</f>
        <v>69</v>
      </c>
      <c r="C85" s="63"/>
      <c r="D85" s="67"/>
    </row>
    <row r="86" spans="1:7">
      <c r="A86" s="61" t="s">
        <v>72</v>
      </c>
      <c r="B86" s="69">
        <v>0</v>
      </c>
      <c r="C86" s="63"/>
      <c r="D86" s="67"/>
    </row>
    <row r="87" spans="1:7">
      <c r="A87" s="61" t="s">
        <v>73</v>
      </c>
      <c r="B87" s="56">
        <f>ROUNDDOWN(B85/7,0)*B86</f>
        <v>0</v>
      </c>
      <c r="C87" s="63"/>
      <c r="D87" s="67"/>
    </row>
    <row r="88" spans="1:7">
      <c r="A88" s="61" t="s">
        <v>74</v>
      </c>
      <c r="B88" s="56">
        <f>B85-B87</f>
        <v>69</v>
      </c>
      <c r="C88" s="70"/>
      <c r="D88" s="67"/>
    </row>
    <row r="89" spans="1:7">
      <c r="A89" s="61" t="s">
        <v>75</v>
      </c>
      <c r="B89" s="56">
        <f>COUNTA(A72:A79)</f>
        <v>2</v>
      </c>
      <c r="C89" s="70"/>
      <c r="D89" s="67"/>
    </row>
    <row r="90" spans="1:7">
      <c r="A90" s="61" t="s">
        <v>76</v>
      </c>
      <c r="B90" s="69">
        <v>0</v>
      </c>
      <c r="C90" s="61"/>
      <c r="D90" s="71"/>
    </row>
    <row r="91" spans="1:7">
      <c r="A91" s="61" t="s">
        <v>77</v>
      </c>
      <c r="B91" s="72">
        <f>ROUNDUP(B90*(365/12),0)</f>
        <v>0</v>
      </c>
      <c r="C91" s="61"/>
      <c r="D91" s="71"/>
    </row>
    <row r="92" spans="1:7">
      <c r="A92" s="61" t="s">
        <v>78</v>
      </c>
      <c r="B92" s="56">
        <f>IF(B90=0, ROUND(B85/(365/12),1),B90)</f>
        <v>2.2999999999999998</v>
      </c>
      <c r="C92" s="61"/>
      <c r="D92" s="71"/>
    </row>
    <row r="93" spans="1:7">
      <c r="A93" s="61" t="s">
        <v>79</v>
      </c>
      <c r="B93" s="73"/>
      <c r="C93" s="61" t="s">
        <v>80</v>
      </c>
      <c r="D93" s="71">
        <f>B93*2</f>
        <v>0</v>
      </c>
    </row>
    <row r="94" spans="1:7">
      <c r="A94" s="61" t="s">
        <v>81</v>
      </c>
      <c r="B94" s="74">
        <v>50</v>
      </c>
      <c r="C94" s="61" t="s">
        <v>82</v>
      </c>
      <c r="D94" s="69">
        <v>9</v>
      </c>
    </row>
    <row r="95" spans="1:7">
      <c r="A95" s="61" t="s">
        <v>83</v>
      </c>
      <c r="B95" s="75">
        <f>D94/100</f>
        <v>0.09</v>
      </c>
      <c r="C95" s="76"/>
      <c r="D95" s="56"/>
    </row>
    <row r="96" spans="1:7">
      <c r="A96" s="61" t="s">
        <v>84</v>
      </c>
      <c r="B96" s="57">
        <f>B95*B94</f>
        <v>4.5</v>
      </c>
      <c r="C96" s="76"/>
      <c r="D96" s="56"/>
    </row>
    <row r="97" spans="1:7">
      <c r="A97" s="61" t="s">
        <v>85</v>
      </c>
      <c r="B97" s="56">
        <f>ROUNDUP(B89/4,0)</f>
        <v>1</v>
      </c>
      <c r="C97" s="61" t="s">
        <v>86</v>
      </c>
      <c r="D97" s="77">
        <f>D93*B96*B97</f>
        <v>0</v>
      </c>
    </row>
    <row r="98" spans="1:7">
      <c r="A98" s="61" t="s">
        <v>87</v>
      </c>
      <c r="B98" s="74"/>
      <c r="C98" s="61"/>
      <c r="D98" s="71"/>
      <c r="F98" s="78"/>
      <c r="G98" s="78"/>
    </row>
    <row r="99" spans="1:7">
      <c r="A99" s="61" t="s">
        <v>88</v>
      </c>
      <c r="B99" s="71">
        <f>B97</f>
        <v>1</v>
      </c>
      <c r="C99" s="61"/>
      <c r="D99" s="71"/>
      <c r="F99" s="78"/>
      <c r="G99" s="78"/>
    </row>
    <row r="100" spans="1:7">
      <c r="A100" s="61" t="s">
        <v>89</v>
      </c>
      <c r="B100" s="57">
        <f>IFERROR(ROUNDUP(ROUNDUP(B92,0)*B98*B99/B98,1)*B98,0)</f>
        <v>0</v>
      </c>
      <c r="C100" s="61"/>
      <c r="D100" s="71"/>
      <c r="F100" s="78"/>
      <c r="G100" s="78"/>
    </row>
    <row r="101" spans="1:7">
      <c r="A101" s="61" t="s">
        <v>90</v>
      </c>
      <c r="B101" s="74"/>
      <c r="C101" s="61"/>
      <c r="D101" s="71"/>
      <c r="E101" s="78"/>
      <c r="F101" s="78"/>
      <c r="G101" s="78"/>
    </row>
    <row r="102" spans="1:7">
      <c r="A102" s="61" t="s">
        <v>91</v>
      </c>
      <c r="B102" s="57">
        <f>IF(B90=0,B101*B85*B99,ROUNDUP(B90*(365/12)*B99*B101,0))</f>
        <v>0</v>
      </c>
      <c r="C102" s="61" t="s">
        <v>92</v>
      </c>
      <c r="D102" s="79" t="str">
        <f>IF(B100&lt;B102,"Помесячно","По суткам")</f>
        <v>По суткам</v>
      </c>
      <c r="E102" s="78"/>
      <c r="F102" s="78"/>
      <c r="G102" s="78"/>
    </row>
    <row r="103" spans="1:7">
      <c r="A103" s="61" t="s">
        <v>93</v>
      </c>
      <c r="B103" s="57">
        <f>IF(B90=0, IFERROR(IF(B100&lt;B102,(B100/B89)/B85,(B102/B89)/B85),0), IFERROR(IF(B100&lt;B102,(B100/B89)/B91,(B102/B89)/B91),0))</f>
        <v>0</v>
      </c>
      <c r="C103" s="61" t="s">
        <v>94</v>
      </c>
      <c r="D103" s="77">
        <f>IF(B90=0,B103*B89*B85,B89*B91*B103)</f>
        <v>0</v>
      </c>
      <c r="E103" s="78"/>
      <c r="F103" s="78"/>
      <c r="G103" s="78"/>
    </row>
    <row r="104" spans="1:7">
      <c r="A104" s="61" t="s">
        <v>95</v>
      </c>
      <c r="B104" s="74"/>
      <c r="C104" s="61" t="s">
        <v>96</v>
      </c>
      <c r="D104" s="77">
        <f>IF(B90=0,B104*B89*B85,ROUNDUP(B90*(365/12),0)*B104*B89)</f>
        <v>0</v>
      </c>
      <c r="E104" s="78"/>
      <c r="F104" s="78"/>
      <c r="G104" s="78"/>
    </row>
    <row r="105" spans="1:7">
      <c r="A105" s="59" t="s">
        <v>97</v>
      </c>
      <c r="B105" s="80"/>
      <c r="C105" s="80"/>
      <c r="D105" s="60">
        <f>SUM(D97:D104)</f>
        <v>0</v>
      </c>
      <c r="E105" s="78"/>
      <c r="F105" s="78"/>
      <c r="G105" s="78"/>
    </row>
    <row r="106" spans="1:7">
      <c r="A106" s="54" t="s">
        <v>98</v>
      </c>
      <c r="B106" s="54"/>
      <c r="C106" s="54"/>
      <c r="D106" s="81">
        <f>D80+D105</f>
        <v>113424.65753424657</v>
      </c>
      <c r="E106" s="78"/>
      <c r="F106" s="78"/>
      <c r="G106" s="78"/>
    </row>
  </sheetData>
  <mergeCells count="1">
    <mergeCell ref="P1:U1"/>
  </mergeCells>
  <dataValidations disablePrompts="1" count="2">
    <dataValidation type="custom" allowBlank="1" showDropDown="1" sqref="G68:H69" xr:uid="{00000000-0002-0000-0000-000000000000}">
      <formula1>OR(NOT(ISERROR(DATEVALUE(G68))), AND(ISNUMBER(G68), LEFT(CELL("format", G68))="D"))</formula1>
    </dataValidation>
    <dataValidation type="list" allowBlank="1" sqref="A72:A79" xr:uid="{00000000-0002-0000-0000-000001000000}">
      <formula1>$C$81:$C$89</formula1>
    </dataValidation>
  </dataValidations>
  <hyperlinks>
    <hyperlink ref="V21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00000000-0002-0000-0000-000002000000}">
          <x14:formula1>
            <xm:f>'/Users/andreybubnov/Yandex.Disk.localized/-=ООО ПРОФИТ ИНЖИНИРИНГ=-/\Users\andreybubnov\Yandex.Disk.localized\ООО ПРОФИТ ИНЖИНИРИНГ\проекты\АО Тандер\Краснодарский край\РЦ Копоткин\Документация к торговой процедуре\C:\Users\andreybubnov\Yandex.Disk.localized\Work\проекты\Автодорожный колледж\[Расчеты.xlsx]SubType'!#REF!</xm:f>
          </x14:formula1>
          <xm:sqref>A68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21"/>
  <sheetViews>
    <sheetView workbookViewId="0">
      <selection activeCell="H11" sqref="H11"/>
    </sheetView>
  </sheetViews>
  <sheetFormatPr baseColWidth="10" defaultColWidth="8.83203125" defaultRowHeight="16"/>
  <cols>
    <col min="2" max="2" width="31.1640625" customWidth="1"/>
    <col min="6" max="6" width="16.83203125" customWidth="1"/>
    <col min="7" max="7" width="15.1640625" customWidth="1"/>
  </cols>
  <sheetData>
    <row r="3" spans="2:9">
      <c r="B3" s="84" t="s">
        <v>146</v>
      </c>
    </row>
    <row r="4" spans="2:9">
      <c r="B4" s="84" t="s">
        <v>147</v>
      </c>
      <c r="C4" s="84">
        <v>1</v>
      </c>
      <c r="D4">
        <v>23500</v>
      </c>
      <c r="E4">
        <f>D4*C4</f>
        <v>23500</v>
      </c>
      <c r="G4" t="s">
        <v>148</v>
      </c>
    </row>
    <row r="5" spans="2:9">
      <c r="E5">
        <f t="shared" ref="E5:E11" si="0">D5*C5</f>
        <v>0</v>
      </c>
    </row>
    <row r="6" spans="2:9">
      <c r="E6">
        <f t="shared" si="0"/>
        <v>0</v>
      </c>
    </row>
    <row r="7" spans="2:9">
      <c r="E7">
        <f t="shared" si="0"/>
        <v>0</v>
      </c>
    </row>
    <row r="8" spans="2:9">
      <c r="E8">
        <f t="shared" si="0"/>
        <v>0</v>
      </c>
    </row>
    <row r="9" spans="2:9">
      <c r="E9">
        <f t="shared" si="0"/>
        <v>0</v>
      </c>
    </row>
    <row r="10" spans="2:9">
      <c r="E10">
        <f t="shared" si="0"/>
        <v>0</v>
      </c>
    </row>
    <row r="11" spans="2:9">
      <c r="E11">
        <f t="shared" si="0"/>
        <v>0</v>
      </c>
    </row>
    <row r="13" spans="2:9">
      <c r="B13" s="91" t="s">
        <v>185</v>
      </c>
    </row>
    <row r="14" spans="2:9">
      <c r="B14" s="85" t="s">
        <v>150</v>
      </c>
      <c r="C14" s="85">
        <v>1</v>
      </c>
      <c r="D14" s="85">
        <v>50000</v>
      </c>
      <c r="E14" s="85">
        <f>D14*C14</f>
        <v>50000</v>
      </c>
      <c r="F14" t="s">
        <v>151</v>
      </c>
      <c r="G14" t="s">
        <v>149</v>
      </c>
    </row>
    <row r="15" spans="2:9">
      <c r="B15" s="87" t="s">
        <v>152</v>
      </c>
      <c r="C15" s="85">
        <v>1</v>
      </c>
      <c r="D15" s="85">
        <v>16000</v>
      </c>
      <c r="E15" s="85">
        <f>D15*C15</f>
        <v>16000</v>
      </c>
      <c r="F15" s="84" t="s">
        <v>154</v>
      </c>
      <c r="G15" t="s">
        <v>153</v>
      </c>
    </row>
    <row r="16" spans="2:9">
      <c r="B16" s="87" t="s">
        <v>155</v>
      </c>
      <c r="C16" s="85">
        <v>1</v>
      </c>
      <c r="D16" s="85">
        <v>12000</v>
      </c>
      <c r="E16" s="85">
        <f t="shared" ref="E16:E19" si="1">D16*C16</f>
        <v>12000</v>
      </c>
      <c r="F16" s="84" t="s">
        <v>156</v>
      </c>
      <c r="G16" s="89" t="s">
        <v>157</v>
      </c>
      <c r="H16" t="s">
        <v>158</v>
      </c>
      <c r="I16" t="s">
        <v>159</v>
      </c>
    </row>
    <row r="17" spans="2:9">
      <c r="B17" s="87" t="s">
        <v>160</v>
      </c>
      <c r="C17" s="86">
        <v>1</v>
      </c>
      <c r="D17" s="86">
        <v>400</v>
      </c>
      <c r="E17" s="86">
        <f t="shared" si="1"/>
        <v>400</v>
      </c>
      <c r="F17" s="84" t="s">
        <v>163</v>
      </c>
      <c r="G17" t="s">
        <v>162</v>
      </c>
      <c r="H17" t="s">
        <v>164</v>
      </c>
    </row>
    <row r="18" spans="2:9">
      <c r="B18" s="87" t="s">
        <v>161</v>
      </c>
      <c r="C18" s="85">
        <v>1</v>
      </c>
      <c r="D18" s="85">
        <v>320</v>
      </c>
      <c r="E18" s="85">
        <f t="shared" si="1"/>
        <v>320</v>
      </c>
      <c r="F18" t="s">
        <v>165</v>
      </c>
      <c r="G18" t="s">
        <v>166</v>
      </c>
    </row>
    <row r="19" spans="2:9">
      <c r="B19" s="87" t="s">
        <v>167</v>
      </c>
      <c r="C19" s="88">
        <v>1</v>
      </c>
      <c r="D19" s="88">
        <v>6000</v>
      </c>
      <c r="E19" s="88">
        <f t="shared" si="1"/>
        <v>6000</v>
      </c>
      <c r="G19" t="s">
        <v>168</v>
      </c>
      <c r="H19" t="s">
        <v>169</v>
      </c>
      <c r="I19" s="89" t="s">
        <v>170</v>
      </c>
    </row>
    <row r="21" spans="2:9">
      <c r="E21" s="92">
        <f>SUM(E14:E20)</f>
        <v>84720</v>
      </c>
    </row>
  </sheetData>
  <hyperlinks>
    <hyperlink ref="G16" r:id="rId1" xr:uid="{00000000-0004-0000-0100-000000000000}"/>
    <hyperlink ref="I19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2</cp:revision>
  <dcterms:created xsi:type="dcterms:W3CDTF">2020-06-01T12:46:08Z</dcterms:created>
  <dcterms:modified xsi:type="dcterms:W3CDTF">2022-01-18T11:23:29Z</dcterms:modified>
</cp:coreProperties>
</file>